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B:\2020-CNPF\1.CARBONE\1.Projets\Deceuninck Quick-Step\CNPF C+for n° 47 Tour de France 2021 (Deceuninck Quick-Step n° 1)\Dossier LBC\"/>
    </mc:Choice>
  </mc:AlternateContent>
  <bookViews>
    <workbookView xWindow="0" yWindow="0" windowWidth="28800" windowHeight="10608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2" i="1" l="1"/>
  <c r="D120" i="1" l="1"/>
  <c r="D72" i="1" l="1"/>
  <c r="D70" i="1"/>
  <c r="D68" i="1"/>
  <c r="D66" i="1"/>
  <c r="D64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FR4" i="2"/>
  <c r="FQ4" i="2"/>
  <c r="B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B7" i="2"/>
  <c r="HI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W18" i="2"/>
  <c r="EV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FS20" i="2"/>
  <c r="HH20" i="2"/>
  <c r="HG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B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C22" i="2"/>
  <c r="HH22" i="2"/>
  <c r="EB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B28" i="2"/>
  <c r="EV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G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HH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X38" i="2"/>
  <c r="HG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C64" i="2"/>
  <c r="EA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HI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X87" i="2"/>
  <c r="EA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W98" i="2"/>
  <c r="HI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HI112" i="2"/>
  <c r="EX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B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W155" i="2" l="1"/>
  <c r="EX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FR164" i="2" l="1"/>
  <c r="DI163" i="2"/>
  <c r="EA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EC167" i="2"/>
  <c r="EA167" i="2"/>
  <c r="HH167" i="2"/>
  <c r="EB167" i="2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HH169" i="2"/>
  <c r="FS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V172" i="2"/>
  <c r="EA172" i="2"/>
  <c r="ED172" i="2" s="1"/>
  <c r="HI172" i="2"/>
  <c r="EB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EB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A178" i="2"/>
  <c r="EB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B179" i="2" l="1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HG185" i="2" s="1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A185" i="2"/>
  <c r="EW185" i="2"/>
  <c r="HH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HH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G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EV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HI192" i="2"/>
  <c r="EV192" i="2"/>
  <c r="EB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FQ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HH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HH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HG203" i="2" l="1"/>
  <c r="FR203" i="2"/>
  <c r="BC34" i="2" a="1"/>
  <c r="BC34" i="2" s="1"/>
  <c r="BC38" i="2" a="1"/>
  <c r="BC38" i="2" s="1"/>
  <c r="BC31" i="2" a="1"/>
  <c r="BC31" i="2" s="1"/>
  <c r="BC32" i="2" a="1"/>
  <c r="BC32" i="2" s="1"/>
  <c r="BC83" i="2" a="1"/>
  <c r="BC83" i="2" s="1"/>
  <c r="BC164" i="2" a="1"/>
  <c r="BC164" i="2" s="1"/>
  <c r="BC181" i="2" a="1"/>
  <c r="BC181" i="2" s="1"/>
  <c r="BC114" i="2" a="1"/>
  <c r="BC114" i="2" s="1"/>
  <c r="BC126" i="2" a="1"/>
  <c r="BC126" i="2" s="1"/>
  <c r="BC18" i="2" a="1"/>
  <c r="BC18" i="2" s="1"/>
  <c r="BC84" i="2" a="1"/>
  <c r="BC84" i="2" s="1"/>
  <c r="BC65" i="2" a="1"/>
  <c r="BC65" i="2" s="1"/>
  <c r="BC151" i="2" a="1"/>
  <c r="BC151" i="2" s="1"/>
  <c r="BC192" i="2" a="1"/>
  <c r="BC192" i="2" s="1"/>
  <c r="BC82" i="2" a="1"/>
  <c r="BC82" i="2" s="1"/>
  <c r="BC55" i="2" a="1"/>
  <c r="BC55" i="2" s="1"/>
  <c r="BC47" i="2" a="1"/>
  <c r="BC47" i="2" s="1"/>
  <c r="BC7" i="2" a="1"/>
  <c r="BC7" i="2" s="1"/>
  <c r="BD7" i="2" s="1"/>
  <c r="BC185" i="2" a="1"/>
  <c r="BC185" i="2" s="1"/>
  <c r="BC130" i="2" a="1"/>
  <c r="BC130" i="2" s="1"/>
  <c r="BC68" i="2" a="1"/>
  <c r="BC68" i="2" s="1"/>
  <c r="BC143" i="2" a="1"/>
  <c r="BC143" i="2" s="1"/>
  <c r="BC117" i="2" a="1"/>
  <c r="BC117" i="2" s="1"/>
  <c r="BC58" i="2" a="1"/>
  <c r="BC58" i="2" s="1"/>
  <c r="AH151" i="2" a="1"/>
  <c r="AH151" i="2" s="1"/>
  <c r="AH62" i="2" a="1"/>
  <c r="AH62" i="2" s="1"/>
  <c r="AH199" i="2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I178" i="2" s="1"/>
  <c r="BE109" i="2"/>
  <c r="BS107" i="2"/>
  <c r="BI108" i="2" l="1"/>
  <c r="BI57" i="2"/>
  <c r="BI153" i="2"/>
  <c r="BI200" i="2"/>
  <c r="BI27" i="2"/>
  <c r="BI89" i="2"/>
  <c r="BI99" i="2"/>
  <c r="BI158" i="2"/>
  <c r="BI191" i="2"/>
  <c r="BI176" i="2"/>
  <c r="BI43" i="2"/>
  <c r="BI126" i="2"/>
  <c r="BI106" i="2"/>
  <c r="BI141" i="2"/>
  <c r="BI175" i="2"/>
  <c r="BI151" i="2"/>
  <c r="BI168" i="2"/>
  <c r="BI143" i="2"/>
  <c r="BI12" i="2"/>
  <c r="BI36" i="2"/>
  <c r="BI171" i="2"/>
  <c r="BI56" i="2"/>
  <c r="BI75" i="2"/>
  <c r="BI79" i="2"/>
  <c r="BI96" i="2"/>
  <c r="BI74" i="2"/>
  <c r="BI44" i="2"/>
  <c r="BI73" i="2"/>
  <c r="BI139" i="2"/>
  <c r="BI62" i="2"/>
  <c r="BI189" i="2"/>
  <c r="BI182" i="2"/>
  <c r="BI121" i="2"/>
  <c r="BI162" i="2"/>
  <c r="BI183" i="2"/>
  <c r="BI180" i="2"/>
  <c r="BI163" i="2"/>
  <c r="BI112" i="2"/>
  <c r="BI136" i="2"/>
  <c r="BI110" i="2"/>
  <c r="BI38" i="2"/>
  <c r="BI10" i="2"/>
  <c r="BI128" i="2"/>
  <c r="BI49" i="2"/>
  <c r="BI41" i="2"/>
  <c r="BI80" i="2"/>
  <c r="BI145" i="2"/>
  <c r="BI164" i="2"/>
  <c r="BI53" i="2"/>
  <c r="BI55" i="2"/>
  <c r="BI35" i="2"/>
  <c r="BI54" i="2"/>
  <c r="BI93" i="2"/>
  <c r="BI193" i="2"/>
  <c r="BI167" i="2"/>
  <c r="BI185" i="2"/>
  <c r="BI196" i="2"/>
  <c r="BI173" i="2"/>
  <c r="BI61" i="2"/>
  <c r="BI98" i="2"/>
  <c r="BI63" i="2"/>
  <c r="BI115" i="2"/>
  <c r="BI101" i="2"/>
  <c r="BI32" i="2"/>
  <c r="BI19" i="2"/>
  <c r="BI169" i="2"/>
  <c r="BI131" i="2"/>
  <c r="BI84" i="2"/>
  <c r="BI116" i="2"/>
  <c r="BI104" i="2"/>
  <c r="BI102" i="2"/>
  <c r="BI160" i="2"/>
  <c r="BI39" i="2"/>
  <c r="BI7" i="2"/>
  <c r="BI22" i="2"/>
  <c r="BI181" i="2"/>
  <c r="BI184" i="2"/>
  <c r="BI11" i="2"/>
  <c r="BI152" i="2"/>
  <c r="BI9" i="2"/>
  <c r="BI70" i="2"/>
  <c r="BI42" i="2"/>
  <c r="BI138" i="2"/>
  <c r="BI15" i="2"/>
  <c r="BI125" i="2"/>
  <c r="BI190" i="2"/>
  <c r="BI46" i="2"/>
  <c r="BI71" i="2"/>
  <c r="BI13" i="2"/>
  <c r="BI52" i="2"/>
  <c r="BI59" i="2"/>
  <c r="BI37" i="2"/>
  <c r="BI67" i="2"/>
  <c r="BI34" i="2"/>
  <c r="BI83" i="2"/>
  <c r="BI45" i="2"/>
  <c r="BI147" i="2"/>
  <c r="BI186" i="2"/>
  <c r="BI4" i="2"/>
  <c r="BI40" i="2"/>
  <c r="BI118" i="2"/>
  <c r="BI202" i="2"/>
  <c r="BI21" i="2"/>
  <c r="BI132" i="2"/>
  <c r="BI76" i="2"/>
  <c r="BI123" i="2"/>
  <c r="BI51" i="2"/>
  <c r="BI172" i="2"/>
  <c r="BI149" i="2"/>
  <c r="BI198" i="2"/>
  <c r="BI72" i="2"/>
  <c r="BI28" i="2"/>
  <c r="BI127" i="2"/>
  <c r="BI156" i="2"/>
  <c r="BI129" i="2"/>
  <c r="BI157" i="2"/>
  <c r="BI8" i="2"/>
  <c r="BI109" i="2"/>
  <c r="BI107" i="2"/>
  <c r="BI92" i="2"/>
  <c r="BI161" i="2"/>
  <c r="BI33" i="2"/>
  <c r="BI50" i="2"/>
  <c r="BI177" i="2"/>
  <c r="BI47" i="2"/>
  <c r="BI111" i="2"/>
  <c r="BI140" i="2"/>
  <c r="BI154" i="2"/>
  <c r="BI90" i="2"/>
  <c r="BI6" i="2"/>
  <c r="BI134" i="2"/>
  <c r="BI31" i="2"/>
  <c r="BI192" i="2"/>
  <c r="BI137" i="2"/>
  <c r="BI113" i="2"/>
  <c r="BI68" i="2"/>
  <c r="BI199" i="2"/>
  <c r="BI159" i="2"/>
  <c r="BI24" i="2"/>
  <c r="BI60" i="2"/>
  <c r="BI174" i="2"/>
  <c r="BI148" i="2"/>
  <c r="BI14" i="2"/>
  <c r="BI146" i="2"/>
  <c r="BI94" i="2"/>
  <c r="BI114" i="2"/>
  <c r="BI105" i="2"/>
  <c r="BI130" i="2"/>
  <c r="BI187" i="2"/>
  <c r="BI97" i="2"/>
  <c r="BI5" i="2"/>
  <c r="BI135" i="2"/>
  <c r="BI77" i="2"/>
  <c r="BI166" i="2"/>
  <c r="BI194" i="2"/>
  <c r="BI65" i="2"/>
  <c r="BI23" i="2"/>
  <c r="BI78" i="2"/>
  <c r="BI88" i="2"/>
  <c r="BI195" i="2"/>
  <c r="BI117" i="2"/>
  <c r="BI85" i="2"/>
  <c r="BI69" i="2"/>
  <c r="BI26" i="2"/>
  <c r="BI155" i="2"/>
  <c r="BI203" i="2"/>
  <c r="BI100" i="2"/>
  <c r="BI81" i="2"/>
  <c r="BI124" i="2"/>
  <c r="BI170" i="2"/>
  <c r="BI197" i="2"/>
  <c r="BI188" i="2"/>
  <c r="BI119" i="2"/>
  <c r="BI48" i="2"/>
  <c r="BI142" i="2"/>
  <c r="BI95" i="2"/>
  <c r="BI144" i="2"/>
  <c r="BI150" i="2"/>
  <c r="BI64" i="2"/>
  <c r="BI122" i="2"/>
  <c r="BI16" i="2"/>
  <c r="BI86" i="2"/>
  <c r="BI201" i="2"/>
  <c r="BI91" i="2"/>
  <c r="BI103" i="2"/>
  <c r="BI133" i="2"/>
  <c r="BI3" i="2"/>
  <c r="C8" i="4" s="1"/>
  <c r="E8" i="4" s="1"/>
  <c r="F8" i="4" s="1"/>
  <c r="G8" i="4" s="1"/>
  <c r="L8" i="4" s="1"/>
  <c r="BI87" i="2"/>
  <c r="BI179" i="2"/>
  <c r="BI30" i="2"/>
  <c r="BI82" i="2"/>
  <c r="BI18" i="2"/>
  <c r="BI29" i="2"/>
  <c r="BI25" i="2"/>
  <c r="BI120" i="2"/>
  <c r="BI20" i="2"/>
  <c r="BI165" i="2"/>
  <c r="BI17" i="2"/>
  <c r="BI58" i="2"/>
  <c r="BI66" i="2"/>
  <c r="FE197" i="2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<sst xmlns="http://schemas.openxmlformats.org/spreadsheetml/2006/main" count="1173" uniqueCount="324">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</sst>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161.75563241829539</c:v>
                </c:pt>
                <c:pt idx="22">
                  <c:v>175.89351283227515</c:v>
                </c:pt>
                <c:pt idx="23">
                  <c:v>190.00471981377623</c:v>
                </c:pt>
                <c:pt idx="24">
                  <c:v>204.09151430529414</c:v>
                </c:pt>
                <c:pt idx="25">
                  <c:v>218.15581931274576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262.56193918616879</c:v>
                </c:pt>
                <c:pt idx="32">
                  <c:v>283.53519379457339</c:v>
                </c:pt>
                <c:pt idx="33">
                  <c:v>304.47370954373434</c:v>
                </c:pt>
                <c:pt idx="34">
                  <c:v>325.38021038250321</c:v>
                </c:pt>
                <c:pt idx="35">
                  <c:v>346.25704166537042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302.92383728372175</c:v>
                </c:pt>
                <c:pt idx="39">
                  <c:v>324.60643807826506</c:v>
                </c:pt>
                <c:pt idx="40">
                  <c:v>346.25704166537042</c:v>
                </c:pt>
                <c:pt idx="41">
                  <c:v>368.2637587173711</c:v>
                </c:pt>
                <c:pt idx="42">
                  <c:v>390.24178515868516</c:v>
                </c:pt>
                <c:pt idx="43">
                  <c:v>412.19296293548695</c:v>
                </c:pt>
                <c:pt idx="44">
                  <c:v>434.11892190865478</c:v>
                </c:pt>
                <c:pt idx="45">
                  <c:v>456.02111397099458</c:v>
                </c:pt>
                <c:pt idx="46">
                  <c:v>369.42119511414563</c:v>
                </c:pt>
                <c:pt idx="47">
                  <c:v>390.62711987432004</c:v>
                </c:pt>
                <c:pt idx="48">
                  <c:v>411.8080763786877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473.68012971962668</c:v>
                </c:pt>
                <c:pt idx="52">
                  <c:v>493.24225474849794</c:v>
                </c:pt>
                <c:pt idx="53">
                  <c:v>512.78793950323291</c:v>
                </c:pt>
                <c:pt idx="54">
                  <c:v>532.31789836558266</c:v>
                </c:pt>
                <c:pt idx="55">
                  <c:v>551.83278906179726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551.45028504666311</c:v>
                </c:pt>
                <c:pt idx="62">
                  <c:v>568.27526097606199</c:v>
                </c:pt>
                <c:pt idx="63">
                  <c:v>585.08982917045773</c:v>
                </c:pt>
                <c:pt idx="64">
                  <c:v>601.89433065861692</c:v>
                </c:pt>
                <c:pt idx="65">
                  <c:v>618.68908588691215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604.56686745724687</c:v>
                </c:pt>
                <c:pt idx="72">
                  <c:v>619.07067399707296</c:v>
                </c:pt>
                <c:pt idx="73">
                  <c:v>633.56744133236327</c:v>
                </c:pt>
                <c:pt idx="74">
                  <c:v>648.05735312955619</c:v>
                </c:pt>
                <c:pt idx="75">
                  <c:v>662.54058417706926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637.38123339273841</c:v>
                </c:pt>
                <c:pt idx="82">
                  <c:v>650.34461886630663</c:v>
                </c:pt>
                <c:pt idx="83">
                  <c:v>663.30267762477672</c:v>
                </c:pt>
                <c:pt idx="84">
                  <c:v>676.25552834120583</c:v>
                </c:pt>
                <c:pt idx="85">
                  <c:v>689.203284774287</c:v>
                </c:pt>
                <c:pt idx="86">
                  <c:v>594.44810225296681</c:v>
                </c:pt>
                <c:pt idx="87">
                  <c:v>606.47567200029653</c:v>
                </c:pt>
                <c:pt idx="88">
                  <c:v>618.4982900029172</c:v>
                </c:pt>
                <c:pt idx="89">
                  <c:v>630.51606604803339</c:v>
                </c:pt>
                <c:pt idx="90">
                  <c:v>642.52910539795516</c:v>
                </c:pt>
                <c:pt idx="91">
                  <c:v>654.5375090594797</c:v>
                </c:pt>
                <c:pt idx="92">
                  <c:v>666.54137403248592</c:v>
                </c:pt>
                <c:pt idx="93">
                  <c:v>678.54079353970099</c:v>
                </c:pt>
                <c:pt idx="94">
                  <c:v>690.53585723937374</c:v>
                </c:pt>
                <c:pt idx="95">
                  <c:v>702.52665142241483</c:v>
                </c:pt>
                <c:pt idx="96">
                  <c:v>606.2847971671714</c:v>
                </c:pt>
                <c:pt idx="97">
                  <c:v>616.78107210210942</c:v>
                </c:pt>
                <c:pt idx="98">
                  <c:v>627.27364503811225</c:v>
                </c:pt>
                <c:pt idx="99">
                  <c:v>637.76258661477414</c:v>
                </c:pt>
                <c:pt idx="100">
                  <c:v>648.24796495924147</c:v>
                </c:pt>
                <c:pt idx="101">
                  <c:v>658.72984581562707</c:v>
                </c:pt>
                <c:pt idx="102">
                  <c:v>669.20829266576197</c:v>
                </c:pt>
                <c:pt idx="103">
                  <c:v>679.68336684199494</c:v>
                </c:pt>
                <c:pt idx="104">
                  <c:v>690.15512763267873</c:v>
                </c:pt>
                <c:pt idx="105">
                  <c:v>700.62363238092428</c:v>
                </c:pt>
                <c:pt idx="106">
                  <c:v>608.95693147091299</c:v>
                </c:pt>
                <c:pt idx="107">
                  <c:v>618.30749289907305</c:v>
                </c:pt>
                <c:pt idx="108">
                  <c:v>627.65512429961279</c:v>
                </c:pt>
                <c:pt idx="109">
                  <c:v>636.99987545603437</c:v>
                </c:pt>
                <c:pt idx="110">
                  <c:v>646.34179457229243</c:v>
                </c:pt>
                <c:pt idx="111">
                  <c:v>655.68092834550419</c:v>
                </c:pt>
                <c:pt idx="112">
                  <c:v>665.01732203430026</c:v>
                </c:pt>
                <c:pt idx="113">
                  <c:v>674.35101952314142</c:v>
                </c:pt>
                <c:pt idx="114">
                  <c:v>683.68206338288792</c:v>
                </c:pt>
                <c:pt idx="115">
                  <c:v>693.01049492789389</c:v>
                </c:pt>
                <c:pt idx="116">
                  <c:v>607.62089481714168</c:v>
                </c:pt>
                <c:pt idx="117">
                  <c:v>615.63620511985016</c:v>
                </c:pt>
                <c:pt idx="118">
                  <c:v>623.64935210528438</c:v>
                </c:pt>
                <c:pt idx="119">
                  <c:v>631.66036748923932</c:v>
                </c:pt>
                <c:pt idx="120">
                  <c:v>639.6692821174388</c:v>
                </c:pt>
                <c:pt idx="121">
                  <c:v>647.67612600023597</c:v>
                </c:pt>
                <c:pt idx="122">
                  <c:v>655.68092834550373</c:v>
                </c:pt>
                <c:pt idx="123">
                  <c:v>663.6837175898421</c:v>
                </c:pt>
                <c:pt idx="124">
                  <c:v>671.68452142819626</c:v>
                </c:pt>
                <c:pt idx="125">
                  <c:v>679.68336684199437</c:v>
                </c:pt>
                <c:pt idx="126">
                  <c:v>601.51251958281682</c:v>
                </c:pt>
                <c:pt idx="127">
                  <c:v>609.1477888796602</c:v>
                </c:pt>
                <c:pt idx="128">
                  <c:v>616.78107210210862</c:v>
                </c:pt>
                <c:pt idx="129">
                  <c:v>624.41239729750191</c:v>
                </c:pt>
                <c:pt idx="130">
                  <c:v>632.0417917716685</c:v>
                </c:pt>
                <c:pt idx="131">
                  <c:v>639.6692821174388</c:v>
                </c:pt>
                <c:pt idx="132">
                  <c:v>647.29489424172436</c:v>
                </c:pt>
                <c:pt idx="133">
                  <c:v>654.91865339125741</c:v>
                </c:pt>
                <c:pt idx="134">
                  <c:v>662.54058417706881</c:v>
                </c:pt>
                <c:pt idx="135">
                  <c:v>670.16071059778062</c:v>
                </c:pt>
                <c:pt idx="136">
                  <c:v>595.02095762588738</c:v>
                </c:pt>
                <c:pt idx="137">
                  <c:v>601.8943306586167</c:v>
                </c:pt>
                <c:pt idx="138">
                  <c:v>608.76607282046416</c:v>
                </c:pt>
                <c:pt idx="139">
                  <c:v>615.63620511985016</c:v>
                </c:pt>
                <c:pt idx="140">
                  <c:v>622.50474805800354</c:v>
                </c:pt>
                <c:pt idx="141">
                  <c:v>629.37172164679032</c:v>
                </c:pt>
                <c:pt idx="142">
                  <c:v>636.237145425721</c:v>
                </c:pt>
                <c:pt idx="143">
                  <c:v>643.1010384781888</c:v>
                </c:pt>
                <c:pt idx="144">
                  <c:v>649.96341944697588</c:v>
                </c:pt>
                <c:pt idx="145">
                  <c:v>656.82430654907193</c:v>
                </c:pt>
                <c:pt idx="146">
                  <c:v>663.68371758984244</c:v>
                </c:pt>
                <c:pt idx="147">
                  <c:v>670.54166997657956</c:v>
                </c:pt>
                <c:pt idx="148">
                  <c:v>677.39818073146898</c:v>
                </c:pt>
                <c:pt idx="149">
                  <c:v>684.25326650400723</c:v>
                </c:pt>
                <c:pt idx="150">
                  <c:v>691.10694358289368</c:v>
                </c:pt>
                <c:pt idx="151">
                  <c:v>4.107100892103012E-12</c:v>
                </c:pt>
                <c:pt idx="152">
                  <c:v>4.107100892103012E-12</c:v>
                </c:pt>
                <c:pt idx="153">
                  <c:v>4.107100892103012E-12</c:v>
                </c:pt>
                <c:pt idx="154">
                  <c:v>4.107100892103012E-12</c:v>
                </c:pt>
                <c:pt idx="155">
                  <c:v>4.107100892103012E-12</c:v>
                </c:pt>
                <c:pt idx="156">
                  <c:v>4.107100892103012E-12</c:v>
                </c:pt>
                <c:pt idx="157">
                  <c:v>4.107100892103012E-12</c:v>
                </c:pt>
                <c:pt idx="158">
                  <c:v>4.107100892103012E-12</c:v>
                </c:pt>
                <c:pt idx="159">
                  <c:v>4.107100892103012E-12</c:v>
                </c:pt>
                <c:pt idx="160">
                  <c:v>4.107100892103012E-12</c:v>
                </c:pt>
                <c:pt idx="161">
                  <c:v>4.107100892103012E-12</c:v>
                </c:pt>
                <c:pt idx="162">
                  <c:v>4.107100892103012E-12</c:v>
                </c:pt>
                <c:pt idx="163">
                  <c:v>4.107100892103012E-12</c:v>
                </c:pt>
                <c:pt idx="164">
                  <c:v>4.107100892103012E-12</c:v>
                </c:pt>
                <c:pt idx="165">
                  <c:v>4.107100892103012E-12</c:v>
                </c:pt>
                <c:pt idx="166">
                  <c:v>4.107100892103012E-12</c:v>
                </c:pt>
                <c:pt idx="167">
                  <c:v>4.107100892103012E-12</c:v>
                </c:pt>
                <c:pt idx="168">
                  <c:v>4.107100892103012E-12</c:v>
                </c:pt>
                <c:pt idx="169">
                  <c:v>4.107100892103012E-12</c:v>
                </c:pt>
                <c:pt idx="170">
                  <c:v>4.107100892103012E-12</c:v>
                </c:pt>
                <c:pt idx="171">
                  <c:v>4.107100892103012E-12</c:v>
                </c:pt>
                <c:pt idx="172">
                  <c:v>4.107100892103012E-12</c:v>
                </c:pt>
                <c:pt idx="173">
                  <c:v>4.107100892103012E-12</c:v>
                </c:pt>
                <c:pt idx="174">
                  <c:v>4.107100892103012E-12</c:v>
                </c:pt>
                <c:pt idx="175">
                  <c:v>4.107100892103012E-12</c:v>
                </c:pt>
                <c:pt idx="176">
                  <c:v>4.107100892103012E-12</c:v>
                </c:pt>
                <c:pt idx="177">
                  <c:v>4.107100892103012E-12</c:v>
                </c:pt>
                <c:pt idx="178">
                  <c:v>4.107100892103012E-12</c:v>
                </c:pt>
                <c:pt idx="179">
                  <c:v>4.107100892103012E-12</c:v>
                </c:pt>
                <c:pt idx="180">
                  <c:v>4.107100892103012E-12</c:v>
                </c:pt>
                <c:pt idx="181">
                  <c:v>4.107100892103012E-12</c:v>
                </c:pt>
                <c:pt idx="182">
                  <c:v>4.107100892103012E-12</c:v>
                </c:pt>
                <c:pt idx="183">
                  <c:v>4.107100892103012E-12</c:v>
                </c:pt>
                <c:pt idx="184">
                  <c:v>4.107100892103012E-12</c:v>
                </c:pt>
                <c:pt idx="185">
                  <c:v>4.107100892103012E-12</c:v>
                </c:pt>
                <c:pt idx="186">
                  <c:v>4.107100892103012E-12</c:v>
                </c:pt>
                <c:pt idx="187">
                  <c:v>4.107100892103012E-12</c:v>
                </c:pt>
                <c:pt idx="188">
                  <c:v>4.107100892103012E-12</c:v>
                </c:pt>
                <c:pt idx="189">
                  <c:v>4.107100892103012E-12</c:v>
                </c:pt>
                <c:pt idx="190">
                  <c:v>4.107100892103012E-12</c:v>
                </c:pt>
                <c:pt idx="191">
                  <c:v>4.107100892103012E-12</c:v>
                </c:pt>
                <c:pt idx="192">
                  <c:v>4.107100892103012E-12</c:v>
                </c:pt>
                <c:pt idx="193">
                  <c:v>4.107100892103012E-12</c:v>
                </c:pt>
                <c:pt idx="194">
                  <c:v>4.107100892103012E-12</c:v>
                </c:pt>
                <c:pt idx="195">
                  <c:v>4.107100892103012E-12</c:v>
                </c:pt>
                <c:pt idx="196">
                  <c:v>4.107100892103012E-12</c:v>
                </c:pt>
                <c:pt idx="197">
                  <c:v>4.107100892103012E-12</c:v>
                </c:pt>
                <c:pt idx="198">
                  <c:v>4.107100892103012E-12</c:v>
                </c:pt>
                <c:pt idx="199">
                  <c:v>4.107100892103012E-12</c:v>
                </c:pt>
                <c:pt idx="200">
                  <c:v>4.107100892103012E-12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51102368"/>
        <c:axId val="61896160"/>
      </c:scatterChart>
      <c:valAx>
        <c:axId val="19511023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1896160"/>
        <c:crosses val="autoZero"/>
        <c:crossBetween val="midCat"/>
      </c:valAx>
      <c:valAx>
        <c:axId val="61896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11023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909760"/>
        <c:axId val="61895072"/>
      </c:scatterChart>
      <c:valAx>
        <c:axId val="619097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1895072"/>
        <c:crosses val="autoZero"/>
        <c:crossBetween val="midCat"/>
      </c:valAx>
      <c:valAx>
        <c:axId val="61895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19097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2.031907402748768</c:v>
                </c:pt>
                <c:pt idx="2">
                  <c:v>2.6623840980288702</c:v>
                </c:pt>
                <c:pt idx="3">
                  <c:v>3.4892924617433518</c:v>
                </c:pt>
                <c:pt idx="4">
                  <c:v>4.5740685657030165</c:v>
                </c:pt>
                <c:pt idx="5">
                  <c:v>5.9974322325810041</c:v>
                </c:pt>
                <c:pt idx="6">
                  <c:v>7.8654599863275783</c:v>
                </c:pt>
                <c:pt idx="7">
                  <c:v>10.317576370738935</c:v>
                </c:pt>
                <c:pt idx="8">
                  <c:v>13.53707131484501</c:v>
                </c:pt>
                <c:pt idx="9">
                  <c:v>17.764944205134721</c:v>
                </c:pt>
                <c:pt idx="10">
                  <c:v>23.318129731757608</c:v>
                </c:pt>
                <c:pt idx="11">
                  <c:v>30.613496000795752</c:v>
                </c:pt>
                <c:pt idx="12">
                  <c:v>40.19944770009392</c:v>
                </c:pt>
                <c:pt idx="13">
                  <c:v>52.797550388930141</c:v>
                </c:pt>
                <c:pt idx="14">
                  <c:v>69.357361279449364</c:v>
                </c:pt>
                <c:pt idx="15">
                  <c:v>91.128666622788032</c:v>
                </c:pt>
                <c:pt idx="16">
                  <c:v>119.75666445822681</c:v>
                </c:pt>
                <c:pt idx="17">
                  <c:v>157.40739759934175</c:v>
                </c:pt>
                <c:pt idx="18">
                  <c:v>172.12401645728221</c:v>
                </c:pt>
                <c:pt idx="19">
                  <c:v>186.81103618147219</c:v>
                </c:pt>
                <c:pt idx="20">
                  <c:v>201.47111266072739</c:v>
                </c:pt>
                <c:pt idx="21">
                  <c:v>222.64187737742952</c:v>
                </c:pt>
                <c:pt idx="22">
                  <c:v>243.76646443655662</c:v>
                </c:pt>
                <c:pt idx="23">
                  <c:v>264.84943784854443</c:v>
                </c:pt>
                <c:pt idx="24">
                  <c:v>285.89457521279797</c:v>
                </c:pt>
                <c:pt idx="25">
                  <c:v>306.9050523897962</c:v>
                </c:pt>
                <c:pt idx="26">
                  <c:v>244.79583422246174</c:v>
                </c:pt>
                <c:pt idx="27">
                  <c:v>267.4178751004946</c:v>
                </c:pt>
                <c:pt idx="28">
                  <c:v>289.99681160231415</c:v>
                </c:pt>
                <c:pt idx="29">
                  <c:v>312.53647021104263</c:v>
                </c:pt>
                <c:pt idx="30">
                  <c:v>335.04008037896637</c:v>
                </c:pt>
                <c:pt idx="31">
                  <c:v>359.04131937574454</c:v>
                </c:pt>
                <c:pt idx="32">
                  <c:v>383.00746563699335</c:v>
                </c:pt>
                <c:pt idx="33">
                  <c:v>406.94102200891194</c:v>
                </c:pt>
                <c:pt idx="34">
                  <c:v>430.8441730789794</c:v>
                </c:pt>
                <c:pt idx="35">
                  <c:v>454.7188414179887</c:v>
                </c:pt>
                <c:pt idx="36">
                  <c:v>342.19321863218715</c:v>
                </c:pt>
                <c:pt idx="37">
                  <c:v>364.65346486081336</c:v>
                </c:pt>
                <c:pt idx="38">
                  <c:v>387.08350012671559</c:v>
                </c:pt>
                <c:pt idx="39">
                  <c:v>409.48531996489629</c:v>
                </c:pt>
                <c:pt idx="40">
                  <c:v>431.86068387305704</c:v>
                </c:pt>
                <c:pt idx="41">
                  <c:v>457.25709576545205</c:v>
                </c:pt>
                <c:pt idx="42">
                  <c:v>482.6233918117498</c:v>
                </c:pt>
                <c:pt idx="43">
                  <c:v>507.96137574936262</c:v>
                </c:pt>
                <c:pt idx="44">
                  <c:v>533.2726568645827</c:v>
                </c:pt>
                <c:pt idx="45">
                  <c:v>558.55867937490291</c:v>
                </c:pt>
                <c:pt idx="46">
                  <c:v>447.61011165255633</c:v>
                </c:pt>
                <c:pt idx="47">
                  <c:v>469.69022691951341</c:v>
                </c:pt>
                <c:pt idx="48">
                  <c:v>491.74823970258666</c:v>
                </c:pt>
                <c:pt idx="49">
                  <c:v>513.78528004261909</c:v>
                </c:pt>
                <c:pt idx="50">
                  <c:v>535.80237321728123</c:v>
                </c:pt>
                <c:pt idx="51">
                  <c:v>560.07506661288232</c:v>
                </c:pt>
                <c:pt idx="52">
                  <c:v>584.32575150478181</c:v>
                </c:pt>
                <c:pt idx="53">
                  <c:v>608.5554687301377</c:v>
                </c:pt>
                <c:pt idx="54">
                  <c:v>632.76516957990441</c:v>
                </c:pt>
                <c:pt idx="55">
                  <c:v>656.9557267023356</c:v>
                </c:pt>
                <c:pt idx="56">
                  <c:v>558.55867937490257</c:v>
                </c:pt>
                <c:pt idx="57">
                  <c:v>580.03291566489895</c:v>
                </c:pt>
                <c:pt idx="58">
                  <c:v>601.49057626451452</c:v>
                </c:pt>
                <c:pt idx="59">
                  <c:v>622.93233512534789</c:v>
                </c:pt>
                <c:pt idx="60">
                  <c:v>644.35881606732414</c:v>
                </c:pt>
                <c:pt idx="61">
                  <c:v>666.27423217309422</c:v>
                </c:pt>
                <c:pt idx="62">
                  <c:v>688.17482656653544</c:v>
                </c:pt>
                <c:pt idx="63">
                  <c:v>710.06113678611473</c:v>
                </c:pt>
                <c:pt idx="64">
                  <c:v>731.9336645703728</c:v>
                </c:pt>
                <c:pt idx="65">
                  <c:v>753.79287926214772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904864"/>
        <c:axId val="61899968"/>
      </c:scatterChart>
      <c:valAx>
        <c:axId val="619048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1899968"/>
        <c:crosses val="autoZero"/>
        <c:crossBetween val="midCat"/>
      </c:valAx>
      <c:valAx>
        <c:axId val="61899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19048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2.3282881589658171</c:v>
                </c:pt>
                <c:pt idx="2">
                  <c:v>2.4692516704359786</c:v>
                </c:pt>
                <c:pt idx="3">
                  <c:v>2.6187782350426345</c:v>
                </c:pt>
                <c:pt idx="4">
                  <c:v>2.7773896752981226</c:v>
                </c:pt>
                <c:pt idx="5">
                  <c:v>2.9456397074755554</c:v>
                </c:pt>
                <c:pt idx="6">
                  <c:v>3.1241158963615416</c:v>
                </c:pt>
                <c:pt idx="7">
                  <c:v>3.3134417301233028</c:v>
                </c:pt>
                <c:pt idx="8">
                  <c:v>3.514278822688425</c:v>
                </c:pt>
                <c:pt idx="9">
                  <c:v>3.7273292514922112</c:v>
                </c:pt>
                <c:pt idx="10">
                  <c:v>3.9533380389325044</c:v>
                </c:pt>
                <c:pt idx="11">
                  <c:v>4.1930957863867819</c:v>
                </c:pt>
                <c:pt idx="12">
                  <c:v>4.4474414701931062</c:v>
                </c:pt>
                <c:pt idx="13">
                  <c:v>4.7172654095771263</c:v>
                </c:pt>
                <c:pt idx="14">
                  <c:v>5.003512417123857</c:v>
                </c:pt>
                <c:pt idx="15">
                  <c:v>5.3071851430476604</c:v>
                </c:pt>
                <c:pt idx="16">
                  <c:v>5.6293476252090633</c:v>
                </c:pt>
                <c:pt idx="17">
                  <c:v>5.9711290575652809</c:v>
                </c:pt>
                <c:pt idx="18">
                  <c:v>6.333727790525292</c:v>
                </c:pt>
                <c:pt idx="19">
                  <c:v>15.035436191157146</c:v>
                </c:pt>
                <c:pt idx="20">
                  <c:v>23.578782929008216</c:v>
                </c:pt>
                <c:pt idx="21">
                  <c:v>32.032421116321167</c:v>
                </c:pt>
                <c:pt idx="22">
                  <c:v>51.647109078738964</c:v>
                </c:pt>
                <c:pt idx="23">
                  <c:v>71.060821810548774</c:v>
                </c:pt>
                <c:pt idx="24">
                  <c:v>90.337363448897307</c:v>
                </c:pt>
                <c:pt idx="25">
                  <c:v>109.51040959893373</c:v>
                </c:pt>
                <c:pt idx="26">
                  <c:v>128.6007226213413</c:v>
                </c:pt>
                <c:pt idx="27">
                  <c:v>147.62234714684953</c:v>
                </c:pt>
                <c:pt idx="28">
                  <c:v>148.24496805506811</c:v>
                </c:pt>
                <c:pt idx="29">
                  <c:v>171.24037882872651</c:v>
                </c:pt>
                <c:pt idx="30">
                  <c:v>194.16304064471555</c:v>
                </c:pt>
                <c:pt idx="31">
                  <c:v>196.32800949959145</c:v>
                </c:pt>
                <c:pt idx="32">
                  <c:v>222.57460194352402</c:v>
                </c:pt>
                <c:pt idx="33">
                  <c:v>248.75016451475827</c:v>
                </c:pt>
                <c:pt idx="34">
                  <c:v>274.86322161173609</c:v>
                </c:pt>
                <c:pt idx="35">
                  <c:v>300.92054389894366</c:v>
                </c:pt>
                <c:pt idx="36">
                  <c:v>326.9276331083118</c:v>
                </c:pt>
                <c:pt idx="37">
                  <c:v>244.44339805963327</c:v>
                </c:pt>
                <c:pt idx="38">
                  <c:v>272.40799274231136</c:v>
                </c:pt>
                <c:pt idx="39">
                  <c:v>300.30802702917384</c:v>
                </c:pt>
                <c:pt idx="40">
                  <c:v>328.1503383149593</c:v>
                </c:pt>
                <c:pt idx="41">
                  <c:v>355.94050870298332</c:v>
                </c:pt>
                <c:pt idx="42">
                  <c:v>383.6831775834537</c:v>
                </c:pt>
                <c:pt idx="43">
                  <c:v>304.2888920593129</c:v>
                </c:pt>
                <c:pt idx="44">
                  <c:v>333.04015745702907</c:v>
                </c:pt>
                <c:pt idx="45">
                  <c:v>361.73671774155088</c:v>
                </c:pt>
                <c:pt idx="46">
                  <c:v>390.38351842752627</c:v>
                </c:pt>
                <c:pt idx="47">
                  <c:v>418.98472026564724</c:v>
                </c:pt>
                <c:pt idx="48">
                  <c:v>447.5438699506708</c:v>
                </c:pt>
                <c:pt idx="49">
                  <c:v>360.82166278303589</c:v>
                </c:pt>
                <c:pt idx="50">
                  <c:v>389.16546165993583</c:v>
                </c:pt>
                <c:pt idx="51">
                  <c:v>417.46446772037785</c:v>
                </c:pt>
                <c:pt idx="52">
                  <c:v>445.72214076928805</c:v>
                </c:pt>
                <c:pt idx="53">
                  <c:v>473.94146647365955</c:v>
                </c:pt>
                <c:pt idx="54">
                  <c:v>502.125046274314</c:v>
                </c:pt>
                <c:pt idx="55">
                  <c:v>412.59885500930062</c:v>
                </c:pt>
                <c:pt idx="56">
                  <c:v>439.6485541302448</c:v>
                </c:pt>
                <c:pt idx="57">
                  <c:v>466.66258036748872</c:v>
                </c:pt>
                <c:pt idx="58">
                  <c:v>493.64328668822759</c:v>
                </c:pt>
                <c:pt idx="59">
                  <c:v>520.59274811782768</c:v>
                </c:pt>
                <c:pt idx="60">
                  <c:v>547.51280754879247</c:v>
                </c:pt>
                <c:pt idx="61">
                  <c:v>461.70751193736891</c:v>
                </c:pt>
                <c:pt idx="62">
                  <c:v>486.77483940109096</c:v>
                </c:pt>
                <c:pt idx="63">
                  <c:v>511.81477745903248</c:v>
                </c:pt>
                <c:pt idx="64">
                  <c:v>536.82885307947356</c:v>
                </c:pt>
                <c:pt idx="65">
                  <c:v>561.81843946972958</c:v>
                </c:pt>
                <c:pt idx="66">
                  <c:v>586.78477784679262</c:v>
                </c:pt>
                <c:pt idx="67">
                  <c:v>611.72899531220708</c:v>
                </c:pt>
                <c:pt idx="68">
                  <c:v>636.65211966178947</c:v>
                </c:pt>
                <c:pt idx="69">
                  <c:v>661.55509175751888</c:v>
                </c:pt>
                <c:pt idx="70">
                  <c:v>532.19103450300565</c:v>
                </c:pt>
                <c:pt idx="71">
                  <c:v>554.96881965653654</c:v>
                </c:pt>
                <c:pt idx="72">
                  <c:v>577.72702726054183</c:v>
                </c:pt>
                <c:pt idx="73">
                  <c:v>600.46653622697943</c:v>
                </c:pt>
                <c:pt idx="74">
                  <c:v>623.18815354114236</c:v>
                </c:pt>
                <c:pt idx="75">
                  <c:v>645.89262260822341</c:v>
                </c:pt>
                <c:pt idx="76">
                  <c:v>668.58063036620888</c:v>
                </c:pt>
                <c:pt idx="77">
                  <c:v>691.25281338392233</c:v>
                </c:pt>
                <c:pt idx="78">
                  <c:v>713.90976311819611</c:v>
                </c:pt>
                <c:pt idx="79">
                  <c:v>665.16841660226919</c:v>
                </c:pt>
                <c:pt idx="80">
                  <c:v>686.8399721021666</c:v>
                </c:pt>
                <c:pt idx="81">
                  <c:v>708.49751068429669</c:v>
                </c:pt>
                <c:pt idx="82">
                  <c:v>730.14152063681968</c:v>
                </c:pt>
                <c:pt idx="83">
                  <c:v>751.77245897300372</c:v>
                </c:pt>
                <c:pt idx="84">
                  <c:v>773.39075429462139</c:v>
                </c:pt>
                <c:pt idx="85">
                  <c:v>794.09679639066474</c:v>
                </c:pt>
                <c:pt idx="86">
                  <c:v>814.79193114229065</c:v>
                </c:pt>
                <c:pt idx="87">
                  <c:v>835.47647425032699</c:v>
                </c:pt>
                <c:pt idx="88">
                  <c:v>856.15072452917377</c:v>
                </c:pt>
                <c:pt idx="89">
                  <c:v>876.81496520415214</c:v>
                </c:pt>
                <c:pt idx="90">
                  <c:v>897.46946508035228</c:v>
                </c:pt>
                <c:pt idx="91">
                  <c:v>917.81534306490391</c:v>
                </c:pt>
                <c:pt idx="92">
                  <c:v>938.15224136386041</c:v>
                </c:pt>
                <c:pt idx="93">
                  <c:v>958.48038177822752</c:v>
                </c:pt>
                <c:pt idx="94">
                  <c:v>978.79997594718259</c:v>
                </c:pt>
                <c:pt idx="95">
                  <c:v>999.11122601914394</c:v>
                </c:pt>
                <c:pt idx="96">
                  <c:v>1019.4143252655093</c:v>
                </c:pt>
                <c:pt idx="97">
                  <c:v>1039.7094586430337</c:v>
                </c:pt>
                <c:pt idx="98">
                  <c:v>1059.9968033100852</c:v>
                </c:pt>
                <c:pt idx="99">
                  <c:v>1080.2765291013793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906496"/>
        <c:axId val="61908672"/>
      </c:scatterChart>
      <c:valAx>
        <c:axId val="619064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1908672"/>
        <c:crosses val="autoZero"/>
        <c:crossBetween val="midCat"/>
      </c:valAx>
      <c:valAx>
        <c:axId val="61908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1906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2.1038524459940571</c:v>
                </c:pt>
                <c:pt idx="2">
                  <c:v>2.6753392324507881</c:v>
                </c:pt>
                <c:pt idx="3">
                  <c:v>3.4026820800521249</c:v>
                </c:pt>
                <c:pt idx="4">
                  <c:v>4.3285452555219912</c:v>
                </c:pt>
                <c:pt idx="5">
                  <c:v>5.5073128016140283</c:v>
                </c:pt>
                <c:pt idx="6">
                  <c:v>7.0083183516322913</c:v>
                </c:pt>
                <c:pt idx="7">
                  <c:v>8.9199676895008899</c:v>
                </c:pt>
                <c:pt idx="8">
                  <c:v>11.355001489754338</c:v>
                </c:pt>
                <c:pt idx="9">
                  <c:v>14.457214421138618</c:v>
                </c:pt>
                <c:pt idx="10">
                  <c:v>18.410034691650861</c:v>
                </c:pt>
                <c:pt idx="11">
                  <c:v>23.447480493914242</c:v>
                </c:pt>
                <c:pt idx="12">
                  <c:v>29.868153513249059</c:v>
                </c:pt>
                <c:pt idx="13">
                  <c:v>38.053113433622627</c:v>
                </c:pt>
                <c:pt idx="14">
                  <c:v>48.488712412678922</c:v>
                </c:pt>
                <c:pt idx="15">
                  <c:v>61.795769122540442</c:v>
                </c:pt>
                <c:pt idx="16">
                  <c:v>78.766846504640924</c:v>
                </c:pt>
                <c:pt idx="17">
                  <c:v>100.41388933568287</c:v>
                </c:pt>
                <c:pt idx="18">
                  <c:v>128.02910709356067</c:v>
                </c:pt>
                <c:pt idx="19">
                  <c:v>163.26279291097688</c:v>
                </c:pt>
                <c:pt idx="20">
                  <c:v>208.22279985540203</c:v>
                </c:pt>
                <c:pt idx="21">
                  <c:v>153.06083286724046</c:v>
                </c:pt>
                <c:pt idx="22">
                  <c:v>171.40056960056117</c:v>
                </c:pt>
                <c:pt idx="23">
                  <c:v>189.69411134533797</c:v>
                </c:pt>
                <c:pt idx="24">
                  <c:v>207.94654176456083</c:v>
                </c:pt>
                <c:pt idx="25">
                  <c:v>226.1619778999507</c:v>
                </c:pt>
                <c:pt idx="26">
                  <c:v>244.34381876555503</c:v>
                </c:pt>
                <c:pt idx="27">
                  <c:v>262.49491586049169</c:v>
                </c:pt>
                <c:pt idx="28">
                  <c:v>280.61769394422129</c:v>
                </c:pt>
                <c:pt idx="29">
                  <c:v>298.71423892515395</c:v>
                </c:pt>
                <c:pt idx="30">
                  <c:v>316.7863633086269</c:v>
                </c:pt>
                <c:pt idx="31">
                  <c:v>333.74238269276697</c:v>
                </c:pt>
                <c:pt idx="32">
                  <c:v>350.67942292850302</c:v>
                </c:pt>
                <c:pt idx="33">
                  <c:v>367.59852946775533</c:v>
                </c:pt>
                <c:pt idx="34">
                  <c:v>384.50064368815424</c:v>
                </c:pt>
                <c:pt idx="35">
                  <c:v>401.38661746821305</c:v>
                </c:pt>
                <c:pt idx="36">
                  <c:v>418.25722518152548</c:v>
                </c:pt>
                <c:pt idx="37">
                  <c:v>435.1131736547743</c:v>
                </c:pt>
                <c:pt idx="38">
                  <c:v>451.95511050228197</c:v>
                </c:pt>
                <c:pt idx="39">
                  <c:v>468.78363115361259</c:v>
                </c:pt>
                <c:pt idx="40">
                  <c:v>485.59928481965943</c:v>
                </c:pt>
                <c:pt idx="41">
                  <c:v>318.29132258259511</c:v>
                </c:pt>
                <c:pt idx="42">
                  <c:v>334.83565591359394</c:v>
                </c:pt>
                <c:pt idx="43">
                  <c:v>351.36198531676382</c:v>
                </c:pt>
                <c:pt idx="44">
                  <c:v>367.87127663620663</c:v>
                </c:pt>
                <c:pt idx="45">
                  <c:v>384.36440196309781</c:v>
                </c:pt>
                <c:pt idx="46">
                  <c:v>400.84215245230735</c:v>
                </c:pt>
                <c:pt idx="47">
                  <c:v>417.30524892132627</c:v>
                </c:pt>
                <c:pt idx="48">
                  <c:v>433.75435068932893</c:v>
                </c:pt>
                <c:pt idx="49">
                  <c:v>450.19006300556947</c:v>
                </c:pt>
                <c:pt idx="50">
                  <c:v>466.612943336554</c:v>
                </c:pt>
                <c:pt idx="51">
                  <c:v>403.97260843617079</c:v>
                </c:pt>
                <c:pt idx="52">
                  <c:v>418.80119064069623</c:v>
                </c:pt>
                <c:pt idx="53">
                  <c:v>433.61846336982154</c:v>
                </c:pt>
                <c:pt idx="54">
                  <c:v>448.4248674304261</c:v>
                </c:pt>
                <c:pt idx="55">
                  <c:v>463.2208121514729</c:v>
                </c:pt>
                <c:pt idx="56">
                  <c:v>478.00667858644039</c:v>
                </c:pt>
                <c:pt idx="57">
                  <c:v>492.78282229894677</c:v>
                </c:pt>
                <c:pt idx="58">
                  <c:v>507.5495757969374</c:v>
                </c:pt>
                <c:pt idx="59">
                  <c:v>522.30725066891466</c:v>
                </c:pt>
                <c:pt idx="60">
                  <c:v>537.05613946623419</c:v>
                </c:pt>
                <c:pt idx="61">
                  <c:v>551.52612680199479</c:v>
                </c:pt>
                <c:pt idx="62">
                  <c:v>565.98815814820966</c:v>
                </c:pt>
                <c:pt idx="63">
                  <c:v>580.4424653455477</c:v>
                </c:pt>
                <c:pt idx="64">
                  <c:v>594.88926775174889</c:v>
                </c:pt>
                <c:pt idx="65">
                  <c:v>609.32877320685304</c:v>
                </c:pt>
                <c:pt idx="66">
                  <c:v>623.76117890222179</c:v>
                </c:pt>
                <c:pt idx="67">
                  <c:v>638.18667216499239</c:v>
                </c:pt>
                <c:pt idx="68">
                  <c:v>652.60543116795679</c:v>
                </c:pt>
                <c:pt idx="69">
                  <c:v>667.01762557347843</c:v>
                </c:pt>
                <c:pt idx="70">
                  <c:v>681.42341711889878</c:v>
                </c:pt>
                <c:pt idx="71">
                  <c:v>694.208364539228</c:v>
                </c:pt>
                <c:pt idx="72">
                  <c:v>706.98848993044794</c:v>
                </c:pt>
                <c:pt idx="73">
                  <c:v>719.76389269405729</c:v>
                </c:pt>
                <c:pt idx="74">
                  <c:v>732.53466841729471</c:v>
                </c:pt>
                <c:pt idx="75">
                  <c:v>745.30090908482862</c:v>
                </c:pt>
                <c:pt idx="76">
                  <c:v>758.0627032751986</c:v>
                </c:pt>
                <c:pt idx="77">
                  <c:v>770.82013634335442</c:v>
                </c:pt>
                <c:pt idx="78">
                  <c:v>783.5732905904855</c:v>
                </c:pt>
                <c:pt idx="79">
                  <c:v>796.32224542223469</c:v>
                </c:pt>
                <c:pt idx="80">
                  <c:v>809.06707749625537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909216"/>
        <c:axId val="61903232"/>
      </c:scatterChart>
      <c:valAx>
        <c:axId val="619092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1903232"/>
        <c:crosses val="autoZero"/>
        <c:crossBetween val="midCat"/>
      </c:valAx>
      <c:valAx>
        <c:axId val="61903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19092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902688"/>
        <c:axId val="61896704"/>
      </c:scatterChart>
      <c:valAx>
        <c:axId val="619026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1896704"/>
        <c:crosses val="autoZero"/>
        <c:crossBetween val="midCat"/>
      </c:valAx>
      <c:valAx>
        <c:axId val="61896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19026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903776"/>
        <c:axId val="61904320"/>
      </c:scatterChart>
      <c:valAx>
        <c:axId val="619037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1904320"/>
        <c:crosses val="autoZero"/>
        <c:crossBetween val="midCat"/>
      </c:valAx>
      <c:valAx>
        <c:axId val="61904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19037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898880"/>
        <c:axId val="61901056"/>
      </c:scatterChart>
      <c:valAx>
        <c:axId val="618988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1901056"/>
        <c:crosses val="autoZero"/>
        <c:crossBetween val="midCat"/>
      </c:valAx>
      <c:valAx>
        <c:axId val="61901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1898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905408"/>
        <c:axId val="61899424"/>
      </c:scatterChart>
      <c:valAx>
        <c:axId val="619054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1899424"/>
        <c:crosses val="autoZero"/>
        <c:crossBetween val="midCat"/>
      </c:valAx>
      <c:valAx>
        <c:axId val="61899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1905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907040"/>
        <c:axId val="61894528"/>
      </c:scatterChart>
      <c:valAx>
        <c:axId val="619070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1894528"/>
        <c:crosses val="autoZero"/>
        <c:crossBetween val="midCat"/>
      </c:valAx>
      <c:valAx>
        <c:axId val="618945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1907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55" zoomScale="90" zoomScaleNormal="90" workbookViewId="0">
      <selection activeCell="B70" sqref="B70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2.9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0.60099999999999998</v>
      </c>
      <c r="D9" s="36">
        <f t="shared" ref="D9:D18" si="0">C9*$C$5</f>
        <v>1.7428999999999999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35</v>
      </c>
      <c r="C10" s="35">
        <v>0.1502</v>
      </c>
      <c r="D10" s="36">
        <f t="shared" si="0"/>
        <v>0.43557999999999997</v>
      </c>
      <c r="E10" s="37">
        <v>65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25</v>
      </c>
      <c r="C11" s="35">
        <v>0.1502</v>
      </c>
      <c r="D11" s="36">
        <f t="shared" si="0"/>
        <v>0.43557999999999997</v>
      </c>
      <c r="E11" s="37">
        <v>99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321</v>
      </c>
      <c r="C12" s="35">
        <v>1.0999999999999999E-2</v>
      </c>
      <c r="D12" s="36">
        <f t="shared" si="0"/>
        <v>3.1899999999999998E-2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0.91239999999999999</v>
      </c>
      <c r="D19" s="41">
        <f>SUM(D9:D18)</f>
        <v>2.6459599999999996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73</v>
      </c>
      <c r="C36" s="63"/>
      <c r="D36" s="63"/>
      <c r="E36" s="54"/>
      <c r="F36" s="54"/>
      <c r="G36" s="54"/>
      <c r="H36" s="54"/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3">
        <v>109</v>
      </c>
      <c r="C37" s="63">
        <v>1</v>
      </c>
      <c r="D37" s="63">
        <v>34</v>
      </c>
      <c r="E37" s="54"/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v>121</v>
      </c>
      <c r="C38" s="63"/>
      <c r="D38" s="63"/>
      <c r="E38" s="54"/>
      <c r="F38" s="54"/>
      <c r="G38" s="54"/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3">
        <v>175</v>
      </c>
      <c r="C39" s="63">
        <v>2</v>
      </c>
      <c r="D39" s="63">
        <v>56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3">
        <v>175</v>
      </c>
      <c r="C40" s="63"/>
      <c r="D40" s="63"/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3">
        <v>232</v>
      </c>
      <c r="C41" s="63">
        <v>3</v>
      </c>
      <c r="D41" s="63">
        <v>56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3">
        <v>231</v>
      </c>
      <c r="C42" s="63"/>
      <c r="D42" s="63"/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55</v>
      </c>
      <c r="B43" s="63">
        <v>282</v>
      </c>
      <c r="C43" s="63">
        <v>4</v>
      </c>
      <c r="D43" s="63">
        <v>56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60</v>
      </c>
      <c r="B44" s="63">
        <v>273</v>
      </c>
      <c r="C44" s="63"/>
      <c r="D44" s="63"/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65</v>
      </c>
      <c r="B45" s="63">
        <v>317</v>
      </c>
      <c r="C45" s="63">
        <v>5</v>
      </c>
      <c r="D45" s="63">
        <v>56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70</v>
      </c>
      <c r="B46" s="63">
        <v>302</v>
      </c>
      <c r="C46" s="63"/>
      <c r="D46" s="63"/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75</v>
      </c>
      <c r="B47" s="63">
        <v>340</v>
      </c>
      <c r="C47" s="63">
        <v>6</v>
      </c>
      <c r="D47" s="63">
        <v>56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80</v>
      </c>
      <c r="B48" s="63">
        <v>320</v>
      </c>
      <c r="C48" s="63"/>
      <c r="D48" s="63"/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85</v>
      </c>
      <c r="B49" s="63">
        <v>354</v>
      </c>
      <c r="C49" s="63">
        <v>7</v>
      </c>
      <c r="D49" s="63">
        <v>56</v>
      </c>
      <c r="E49" s="54"/>
      <c r="F49" s="54"/>
      <c r="G49" s="54"/>
      <c r="H49" s="54"/>
      <c r="I49" s="52">
        <f t="shared" si="1"/>
        <v>6.8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>
        <v>95</v>
      </c>
      <c r="B50" s="53">
        <v>361</v>
      </c>
      <c r="C50" s="53">
        <v>8</v>
      </c>
      <c r="D50" s="53">
        <v>56</v>
      </c>
      <c r="E50" s="54"/>
      <c r="F50" s="54"/>
      <c r="G50" s="54"/>
      <c r="H50" s="54"/>
      <c r="I50" s="52">
        <f t="shared" si="1"/>
        <v>6.3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>
        <v>105</v>
      </c>
      <c r="B51" s="53">
        <v>360</v>
      </c>
      <c r="C51" s="53">
        <v>9</v>
      </c>
      <c r="D51" s="53">
        <v>53</v>
      </c>
      <c r="E51" s="54"/>
      <c r="F51" s="54"/>
      <c r="G51" s="54"/>
      <c r="H51" s="54"/>
      <c r="I51" s="52">
        <f t="shared" si="1"/>
        <v>5.5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>
        <v>115</v>
      </c>
      <c r="B52" s="53">
        <v>356</v>
      </c>
      <c r="C52" s="53">
        <v>10</v>
      </c>
      <c r="D52" s="53">
        <v>49</v>
      </c>
      <c r="E52" s="54"/>
      <c r="F52" s="54"/>
      <c r="G52" s="54"/>
      <c r="H52" s="54"/>
      <c r="I52" s="52">
        <f t="shared" si="1"/>
        <v>4.9000000000000004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>
        <v>125</v>
      </c>
      <c r="B53" s="53">
        <v>349</v>
      </c>
      <c r="C53" s="53">
        <v>11</v>
      </c>
      <c r="D53" s="53">
        <v>45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>
        <v>135</v>
      </c>
      <c r="B54" s="53">
        <v>344</v>
      </c>
      <c r="C54" s="53">
        <v>12</v>
      </c>
      <c r="D54" s="53">
        <v>43</v>
      </c>
      <c r="E54" s="54"/>
      <c r="F54" s="54"/>
      <c r="G54" s="54"/>
      <c r="H54" s="54"/>
      <c r="I54" s="52">
        <f t="shared" si="1"/>
        <v>4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>
        <v>150</v>
      </c>
      <c r="B55" s="53">
        <v>355</v>
      </c>
      <c r="C55" s="53">
        <v>13</v>
      </c>
      <c r="D55" s="53">
        <v>355</v>
      </c>
      <c r="E55" s="54"/>
      <c r="F55" s="54"/>
      <c r="G55" s="54"/>
      <c r="H55" s="54"/>
      <c r="I55" s="52">
        <f t="shared" si="1"/>
        <v>3.6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Pin laricio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17</v>
      </c>
      <c r="B62" s="63">
        <v>118</v>
      </c>
      <c r="C62" s="63"/>
      <c r="D62" s="63"/>
      <c r="E62" s="54"/>
      <c r="F62" s="54"/>
      <c r="G62" s="54"/>
      <c r="H62" s="54"/>
      <c r="I62" s="56">
        <f>IFERROR(B62/A62,"")</f>
        <v>6.9411764705882355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20</v>
      </c>
      <c r="B63" s="63">
        <v>152</v>
      </c>
      <c r="C63" s="63"/>
      <c r="D63" s="63"/>
      <c r="E63" s="54"/>
      <c r="F63" s="54"/>
      <c r="G63" s="54"/>
      <c r="H63" s="54"/>
      <c r="I63" s="52">
        <f>IF(A63&lt;&gt;0,(B63-(B62-D62))/(A63-A62),"")</f>
        <v>11.333333333333334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25</v>
      </c>
      <c r="B64" s="63">
        <v>234</v>
      </c>
      <c r="C64" s="63">
        <v>1</v>
      </c>
      <c r="D64" s="63">
        <f>36+30</f>
        <v>66</v>
      </c>
      <c r="E64" s="54"/>
      <c r="F64" s="54"/>
      <c r="G64" s="54"/>
      <c r="H64" s="54">
        <v>1</v>
      </c>
      <c r="I64" s="52">
        <f>IF(A64&lt;&gt;0,(B64-(B63-D63))/(A64-A63),"")</f>
        <v>16.399999999999999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30</v>
      </c>
      <c r="B65" s="63">
        <v>256</v>
      </c>
      <c r="C65" s="63"/>
      <c r="D65" s="63"/>
      <c r="E65" s="54"/>
      <c r="F65" s="54"/>
      <c r="G65" s="54"/>
      <c r="H65" s="54"/>
      <c r="I65" s="52">
        <f>IF(A65&lt;&gt;0,(B65-(B64-D64))/(A65-A64),"")</f>
        <v>17.600000000000001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35</v>
      </c>
      <c r="B66" s="63">
        <v>350</v>
      </c>
      <c r="C66" s="63">
        <v>2</v>
      </c>
      <c r="D66" s="63">
        <f>52+54</f>
        <v>106</v>
      </c>
      <c r="E66" s="54"/>
      <c r="F66" s="54"/>
      <c r="G66" s="54"/>
      <c r="H66" s="54"/>
      <c r="I66" s="52">
        <f t="shared" ref="I66:I81" si="2">IF(A66&lt;&gt;0,(B66-(B65-D65))/(A66-A65),"")</f>
        <v>18.8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40</v>
      </c>
      <c r="B67" s="63">
        <v>332</v>
      </c>
      <c r="C67" s="63"/>
      <c r="D67" s="63"/>
      <c r="E67" s="54"/>
      <c r="F67" s="54"/>
      <c r="G67" s="54"/>
      <c r="H67" s="54"/>
      <c r="I67" s="52">
        <f t="shared" si="2"/>
        <v>17.600000000000001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45</v>
      </c>
      <c r="B68" s="63">
        <v>432</v>
      </c>
      <c r="C68" s="63">
        <v>3</v>
      </c>
      <c r="D68" s="63">
        <f>57+48</f>
        <v>105</v>
      </c>
      <c r="E68" s="54"/>
      <c r="F68" s="54"/>
      <c r="G68" s="54"/>
      <c r="H68" s="54"/>
      <c r="I68" s="52">
        <f t="shared" si="2"/>
        <v>20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50</v>
      </c>
      <c r="B69" s="53">
        <v>414</v>
      </c>
      <c r="C69" s="53"/>
      <c r="D69" s="53"/>
      <c r="E69" s="54"/>
      <c r="F69" s="54"/>
      <c r="G69" s="54"/>
      <c r="H69" s="54"/>
      <c r="I69" s="52">
        <f t="shared" si="2"/>
        <v>17.399999999999999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55</v>
      </c>
      <c r="B70" s="53">
        <v>510</v>
      </c>
      <c r="C70" s="53">
        <v>4</v>
      </c>
      <c r="D70" s="53">
        <f>48+47</f>
        <v>95</v>
      </c>
      <c r="E70" s="54"/>
      <c r="F70" s="54"/>
      <c r="G70" s="54"/>
      <c r="H70" s="54"/>
      <c r="I70" s="52">
        <f t="shared" si="2"/>
        <v>19.2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60</v>
      </c>
      <c r="B71" s="53">
        <v>500</v>
      </c>
      <c r="C71" s="53"/>
      <c r="D71" s="53"/>
      <c r="E71" s="54"/>
      <c r="F71" s="54"/>
      <c r="G71" s="54"/>
      <c r="H71" s="54"/>
      <c r="I71" s="52">
        <f t="shared" si="2"/>
        <v>17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65</v>
      </c>
      <c r="B72" s="53">
        <v>587</v>
      </c>
      <c r="C72" s="53">
        <v>5</v>
      </c>
      <c r="D72" s="53">
        <f>B72</f>
        <v>587</v>
      </c>
      <c r="E72" s="54"/>
      <c r="F72" s="54"/>
      <c r="G72" s="54"/>
      <c r="H72" s="54"/>
      <c r="I72" s="52">
        <f t="shared" si="2"/>
        <v>17.399999999999999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Hêtre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18</v>
      </c>
      <c r="B88" s="63">
        <v>3</v>
      </c>
      <c r="C88" s="63"/>
      <c r="D88" s="63"/>
      <c r="E88" s="54"/>
      <c r="F88" s="54"/>
      <c r="G88" s="54"/>
      <c r="H88" s="93"/>
      <c r="I88" s="56">
        <f>IFERROR(B88/A88,"")</f>
        <v>0.16666666666666666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21</v>
      </c>
      <c r="B89" s="63">
        <v>16</v>
      </c>
      <c r="C89" s="63"/>
      <c r="D89" s="63"/>
      <c r="E89" s="54"/>
      <c r="F89" s="54"/>
      <c r="G89" s="54"/>
      <c r="H89" s="93"/>
      <c r="I89" s="56">
        <f t="shared" ref="I89:I98" si="3">IF(A89&lt;&gt;0,(B89-(B88-D88))/(A89-A88),"")</f>
        <v>4.333333333333333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27</v>
      </c>
      <c r="B90" s="63">
        <v>77</v>
      </c>
      <c r="C90" s="63">
        <v>1</v>
      </c>
      <c r="D90" s="63">
        <v>12</v>
      </c>
      <c r="E90" s="93"/>
      <c r="F90" s="93"/>
      <c r="G90" s="93"/>
      <c r="H90" s="93">
        <v>1</v>
      </c>
      <c r="I90" s="56">
        <f t="shared" si="3"/>
        <v>10.166666666666666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30</v>
      </c>
      <c r="B91" s="63">
        <v>102</v>
      </c>
      <c r="C91" s="63">
        <v>2</v>
      </c>
      <c r="D91" s="63">
        <v>13</v>
      </c>
      <c r="E91" s="93"/>
      <c r="F91" s="93"/>
      <c r="G91" s="93"/>
      <c r="H91" s="93">
        <v>1</v>
      </c>
      <c r="I91" s="56">
        <f t="shared" si="3"/>
        <v>12.333333333333334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36</v>
      </c>
      <c r="B92" s="63">
        <v>174</v>
      </c>
      <c r="C92" s="63">
        <v>3</v>
      </c>
      <c r="D92" s="63">
        <v>60</v>
      </c>
      <c r="E92" s="93"/>
      <c r="F92" s="93"/>
      <c r="G92" s="93"/>
      <c r="H92" s="93"/>
      <c r="I92" s="56">
        <f t="shared" si="3"/>
        <v>14.166666666666666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42</v>
      </c>
      <c r="B93" s="63">
        <v>205</v>
      </c>
      <c r="C93" s="63">
        <v>4</v>
      </c>
      <c r="D93" s="63">
        <v>59</v>
      </c>
      <c r="E93" s="93"/>
      <c r="F93" s="93"/>
      <c r="G93" s="93"/>
      <c r="H93" s="93"/>
      <c r="I93" s="56">
        <f t="shared" si="3"/>
        <v>15.166666666666666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63">
        <v>48</v>
      </c>
      <c r="B94" s="63">
        <v>240</v>
      </c>
      <c r="C94" s="63">
        <v>5</v>
      </c>
      <c r="D94" s="63">
        <v>63</v>
      </c>
      <c r="E94" s="93"/>
      <c r="F94" s="93"/>
      <c r="G94" s="93"/>
      <c r="H94" s="93"/>
      <c r="I94" s="56">
        <f t="shared" si="3"/>
        <v>15.666666666666666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54</v>
      </c>
      <c r="B95" s="63">
        <v>270</v>
      </c>
      <c r="C95" s="63">
        <v>6</v>
      </c>
      <c r="D95" s="63">
        <v>64</v>
      </c>
      <c r="E95" s="93"/>
      <c r="F95" s="93"/>
      <c r="G95" s="93"/>
      <c r="H95" s="93"/>
      <c r="I95" s="56">
        <f t="shared" si="3"/>
        <v>15.5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60</v>
      </c>
      <c r="B96" s="63">
        <v>295</v>
      </c>
      <c r="C96" s="63">
        <v>7</v>
      </c>
      <c r="D96" s="63">
        <v>61</v>
      </c>
      <c r="E96" s="93"/>
      <c r="F96" s="93"/>
      <c r="G96" s="93"/>
      <c r="H96" s="93"/>
      <c r="I96" s="56">
        <f t="shared" si="3"/>
        <v>14.833333333333334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>
        <v>69</v>
      </c>
      <c r="B97" s="63">
        <v>358</v>
      </c>
      <c r="C97" s="63">
        <v>8</v>
      </c>
      <c r="D97" s="63">
        <v>84</v>
      </c>
      <c r="E97" s="93"/>
      <c r="F97" s="93"/>
      <c r="G97" s="93"/>
      <c r="H97" s="93"/>
      <c r="I97" s="56">
        <f t="shared" si="3"/>
        <v>13.777777777777779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>
        <v>78</v>
      </c>
      <c r="B98" s="63">
        <v>387</v>
      </c>
      <c r="C98" s="63">
        <v>9</v>
      </c>
      <c r="D98" s="63">
        <v>39</v>
      </c>
      <c r="E98" s="93"/>
      <c r="F98" s="93"/>
      <c r="G98" s="93"/>
      <c r="H98" s="93"/>
      <c r="I98" s="56">
        <f t="shared" si="3"/>
        <v>12.555555555555555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>
        <v>84</v>
      </c>
      <c r="B99" s="63">
        <v>420</v>
      </c>
      <c r="C99" s="63"/>
      <c r="D99" s="63"/>
      <c r="E99" s="93"/>
      <c r="F99" s="93"/>
      <c r="G99" s="93"/>
      <c r="H99" s="93"/>
      <c r="I99" s="56">
        <f t="shared" ref="I99:I107" si="4">IF(A99&lt;&gt;0,(B99-(B98-D98))/(A99-A98),"")</f>
        <v>12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>
        <v>90</v>
      </c>
      <c r="B100" s="63">
        <v>489</v>
      </c>
      <c r="C100" s="63"/>
      <c r="D100" s="63"/>
      <c r="E100" s="68"/>
      <c r="F100" s="68"/>
      <c r="G100" s="68"/>
      <c r="H100" s="68"/>
      <c r="I100" s="56">
        <f t="shared" si="4"/>
        <v>11.5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>
        <v>96</v>
      </c>
      <c r="B101" s="63">
        <v>557</v>
      </c>
      <c r="C101" s="63"/>
      <c r="D101" s="63"/>
      <c r="E101" s="68"/>
      <c r="F101" s="68"/>
      <c r="G101" s="68"/>
      <c r="H101" s="68"/>
      <c r="I101" s="56">
        <f t="shared" si="4"/>
        <v>11.333333333333334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>
        <v>99</v>
      </c>
      <c r="B102" s="53">
        <v>591</v>
      </c>
      <c r="C102" s="63">
        <v>10</v>
      </c>
      <c r="D102" s="53">
        <f>B102</f>
        <v>591</v>
      </c>
      <c r="E102" s="57"/>
      <c r="F102" s="57"/>
      <c r="G102" s="57"/>
      <c r="H102" s="57"/>
      <c r="I102" s="56">
        <f t="shared" si="4"/>
        <v>11.333333333333334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4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4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4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4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4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Tulipier de Virginie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20</v>
      </c>
      <c r="B114" s="63">
        <v>147</v>
      </c>
      <c r="C114" s="53">
        <v>1</v>
      </c>
      <c r="D114" s="63">
        <v>53</v>
      </c>
      <c r="E114" s="54"/>
      <c r="F114" s="54"/>
      <c r="G114" s="54"/>
      <c r="H114" s="54">
        <v>1</v>
      </c>
      <c r="I114" s="56">
        <f>IFERROR(B114/A114,"")</f>
        <v>7.35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30</v>
      </c>
      <c r="B115" s="63">
        <v>226</v>
      </c>
      <c r="C115" s="53"/>
      <c r="D115" s="63"/>
      <c r="E115" s="54"/>
      <c r="F115" s="54"/>
      <c r="G115" s="54"/>
      <c r="H115" s="54"/>
      <c r="I115" s="56">
        <f t="shared" ref="I115:I133" si="5">IF(A115&lt;&gt;0,(B115-(B114-D114))/(A115-A114),"")</f>
        <v>13.2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40</v>
      </c>
      <c r="B116" s="63">
        <v>350</v>
      </c>
      <c r="C116" s="53">
        <v>2</v>
      </c>
      <c r="D116" s="63">
        <v>135</v>
      </c>
      <c r="E116" s="54"/>
      <c r="F116" s="54"/>
      <c r="G116" s="54"/>
      <c r="H116" s="54"/>
      <c r="I116" s="56">
        <f t="shared" si="5"/>
        <v>12.4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50</v>
      </c>
      <c r="B117" s="63">
        <v>336</v>
      </c>
      <c r="C117" s="53">
        <v>3</v>
      </c>
      <c r="D117" s="63">
        <v>57</v>
      </c>
      <c r="E117" s="54"/>
      <c r="F117" s="54"/>
      <c r="G117" s="54"/>
      <c r="H117" s="54"/>
      <c r="I117" s="56">
        <f t="shared" si="5"/>
        <v>12.1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60</v>
      </c>
      <c r="B118" s="63">
        <v>388</v>
      </c>
      <c r="C118" s="53"/>
      <c r="D118" s="63"/>
      <c r="E118" s="54"/>
      <c r="F118" s="54"/>
      <c r="G118" s="54"/>
      <c r="H118" s="54"/>
      <c r="I118" s="56">
        <f t="shared" si="5"/>
        <v>10.9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70</v>
      </c>
      <c r="B119" s="63">
        <v>495</v>
      </c>
      <c r="C119" s="53"/>
      <c r="D119" s="63"/>
      <c r="E119" s="54"/>
      <c r="F119" s="54"/>
      <c r="G119" s="54"/>
      <c r="H119" s="54"/>
      <c r="I119" s="56">
        <f t="shared" si="5"/>
        <v>10.7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80</v>
      </c>
      <c r="B120" s="63">
        <v>590</v>
      </c>
      <c r="C120" s="63">
        <v>4</v>
      </c>
      <c r="D120" s="63">
        <f>B120</f>
        <v>590</v>
      </c>
      <c r="E120" s="93"/>
      <c r="F120" s="93"/>
      <c r="G120" s="93"/>
      <c r="H120" s="93"/>
      <c r="I120" s="56">
        <f t="shared" si="5"/>
        <v>9.5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5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5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5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5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5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5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5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5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5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5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5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5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5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6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6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6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6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6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6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6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6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6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6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6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6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6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6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6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6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6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6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7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7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7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7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7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7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7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7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7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7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7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7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7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7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7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7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7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7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7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8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8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8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8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8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8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8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8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8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8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8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8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8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8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8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8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8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8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8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9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9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9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9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9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9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9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9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9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9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9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9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9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9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9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9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9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9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9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10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10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10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10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10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10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10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10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10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10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10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0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0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0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0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0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0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1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1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1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1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1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1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1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1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1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1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1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1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1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1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1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1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1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1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A13" zoomScale="115" zoomScaleNormal="115" workbookViewId="0">
      <selection activeCell="B17" sqref="B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laricio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Hêtre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Tulipier de Virginie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551.36480098497589</v>
      </c>
      <c r="T3" s="62">
        <f>IF('Données projet'!E9&gt;30,$R$33-$H$33,LOOKUP('Données projet'!$E$9,$A$3:$A$203,R3:R203)-LOOKUP('Données projet'!$E$9,$A$3:$A$203,$H$3:$H$203))</f>
        <v>297.32483725004136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388.30126110099434</v>
      </c>
      <c r="AO3" s="62">
        <f>IF('Données projet'!E10&gt;30,$AM$33-$H$33,LOOKUP('Données projet'!$E$10,$A$3:$A$203,AM3:AM203)-LOOKUP('Données projet'!$E$10,$A$3:$A$203,$H$3:$H$203))</f>
        <v>390.81417197867495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475.48669758994771</v>
      </c>
      <c r="BJ3" s="62">
        <f>IF('Données projet'!E11&gt;30,$BH$33-$H$33,LOOKUP('Données projet'!$E$11,$A$3:$A$203,BH3:BH203)-LOOKUP('Données projet'!$E$11,$A$3:$A$203,$H$3:$H$203))</f>
        <v>249.93713224442419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420.47368055225792</v>
      </c>
      <c r="CE3" s="62">
        <f>IF('Données projet'!E12&gt;30,$CC$33-$H$33,LOOKUP('Données projet'!$E$12,$A$3:$A$203,CC3:CC203)-LOOKUP('Données projet'!$E$12,$A$3:$A$203,$H$3:$H$203))</f>
        <v>372.56045490833549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170.65342372509684</v>
      </c>
      <c r="S4" s="62">
        <f ca="1">AVERAGE(OFFSET($R$3,0,0,'Données projet'!$E$9+1,1))-AVERAGE(OFFSET($H$3,0,0,'Données projet'!$E$9+1,1))</f>
        <v>551.36480098497589</v>
      </c>
      <c r="T4" s="62">
        <f>$T$3</f>
        <v>297.32483725004136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6.9411764705882355</v>
      </c>
      <c r="AI4" s="14">
        <f>IF('Données projet'!$A$62&gt;35,AI3+AH4-AQ3,IF(A4&lt;'Données projet'!$A$62,$AF$205^A4,IF(A4='Données projet'!$A$62,'Données projet'!$B$62,AI3+AH4-AQ3)))</f>
        <v>1.3239616704988877</v>
      </c>
      <c r="AJ4" s="14">
        <f>AI4*VLOOKUP('Données projet'!$B$10,Paramètres!$A$1:$I$89,3,0)*VLOOKUP('Données projet'!$B$10,Paramètres!$A$1:$I$89,5,0)</f>
        <v>0.79172907895833489</v>
      </c>
      <c r="AK4" s="14">
        <f>EXP(-1.0587+0.8836*LN(AJ4)+0.284)</f>
        <v>0.37491631974909195</v>
      </c>
      <c r="AL4" s="22">
        <f t="shared" ref="AL4:AL67" si="4">(AJ4+AK4)*0.475*44/12</f>
        <v>2.031907402748768</v>
      </c>
      <c r="AM4" s="62">
        <f t="shared" ref="AM4:AM67" si="5">AL4+(AD4+AE4)*44/12</f>
        <v>169.84434135567261</v>
      </c>
      <c r="AN4" s="62">
        <f ca="1">AVERAGE(OFFSET($AM$3,0,0,'Données projet'!$E$10+1,1))-AVERAGE(OFFSET($H$3,0,0,'Données projet'!$E$10+1,1))</f>
        <v>388.30126110099434</v>
      </c>
      <c r="AO4" s="62">
        <f>$AO$3</f>
        <v>390.81417197867495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0.16666666666666666</v>
      </c>
      <c r="BD4" s="13">
        <f>IF('Données projet'!$A$88&gt;35,BD3+BC4-BL3,IF(A4&lt;'Données projet'!$A$88,$BA$205^A4,IF(A4='Données projet'!$A$88,'Données projet'!$B$88,BD3+BC4-BL3)))</f>
        <v>1.0629350704110543</v>
      </c>
      <c r="BE4" s="14">
        <f>BD4*VLOOKUP('Données projet'!$B$11,Paramètres!$A$1:$I$89,3,0)*VLOOKUP('Données projet'!$B$11,Paramètres!$A$1:$I$89,5,0)</f>
        <v>0.91199829041268465</v>
      </c>
      <c r="BF4" s="14">
        <f>EXP(-1.0587+0.8836*LN(BE4)+0.284)</f>
        <v>0.42481787741457866</v>
      </c>
      <c r="BG4" s="22">
        <f t="shared" ref="BG4:BG67" si="7">(BE4+BF4)*0.475*44/12</f>
        <v>2.3282881589658171</v>
      </c>
      <c r="BH4" s="62">
        <f t="shared" ref="BH4:BH67" si="8">BG4+(AY4+AZ4)*44/12</f>
        <v>170.14072211188966</v>
      </c>
      <c r="BI4" s="62">
        <f ca="1">AVERAGE(OFFSET($BH$3,0,0,'Données projet'!$E$11+1,1))-AVERAGE(OFFSET($H$3,0,0,'Données projet'!$E$11+1,1))</f>
        <v>475.48669758994771</v>
      </c>
      <c r="BJ4" s="62">
        <f>$BJ$3</f>
        <v>249.93713224442419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7.35</v>
      </c>
      <c r="BY4" s="13">
        <f>IF('Données projet'!$A$114&gt;35,BY3+BX4-CG3,IF(A4&lt;'Données projet'!$A$114,$BV$205^A4,IF(A4='Données projet'!$A$114,'Données projet'!$B$114,BY3+BX4-CG3)))</f>
        <v>1.2834113234941327</v>
      </c>
      <c r="BZ4" s="14">
        <f>BY4*VLOOKUP('Données projet'!$B$12,Paramètres!$A$1:$I$89,3,0)*VLOOKUP('Données projet'!$B$12,Paramètres!$A$1:$I$89,5,0)</f>
        <v>0.82086988250684734</v>
      </c>
      <c r="CA4" s="14">
        <f>EXP(-1.0587+0.8836*LN(BZ4)+0.284)</f>
        <v>0.38708367500170232</v>
      </c>
      <c r="CB4" s="22">
        <f t="shared" ref="CB4:CB67" si="10">(BZ4+CA4)*0.475*44/12</f>
        <v>2.1038524459940571</v>
      </c>
      <c r="CC4" s="62">
        <f t="shared" ref="CC4:CC67" si="11">CB4+(BT4+BU4)*44/12</f>
        <v>169.91628639891789</v>
      </c>
      <c r="CD4" s="62">
        <f ca="1">AVERAGE(OFFSET($CC$3,0,0,'Données projet'!$E$12+1,1))-AVERAGE(OFFSET($H$3,0,0,'Données projet'!$E$12+1,1))</f>
        <v>420.47368055225792</v>
      </c>
      <c r="CE4" s="62">
        <f>$CE$3</f>
        <v>372.56045490833549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174.0908950642665</v>
      </c>
      <c r="S5" s="62">
        <f ca="1">AVERAGE(OFFSET($R$3,0,0,'Données projet'!$E$9+1,1))-AVERAGE(OFFSET($H$3,0,0,'Données projet'!$E$9+1,1))</f>
        <v>551.36480098497589</v>
      </c>
      <c r="T5" s="62">
        <f t="shared" ref="T5:T68" si="34">$T$3</f>
        <v>297.32483725004136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6.9411764705882355</v>
      </c>
      <c r="AI5" s="14">
        <f>IF('Données projet'!$A$62&gt;35,AI4+AH5-AQ4,IF(A5&lt;'Données projet'!$A$62,$AF$205^A5,IF(A5='Données projet'!$A$62,'Données projet'!$B$62,AI4+AH5-AQ4)))</f>
        <v>1.7528745049502052</v>
      </c>
      <c r="AJ5" s="14">
        <f>AI5*VLOOKUP('Données projet'!$B$10,Paramètres!$A$1:$I$89,3,0)*VLOOKUP('Données projet'!$B$10,Paramètres!$A$1:$I$89,5,0)</f>
        <v>1.0482189539602227</v>
      </c>
      <c r="AK5" s="14">
        <f t="shared" ref="AK5:AK68" si="35">EXP(-1.0587+0.8836*LN(AJ5)+0.284)</f>
        <v>0.48042263342477459</v>
      </c>
      <c r="AL5" s="22">
        <f t="shared" si="4"/>
        <v>2.6623840980288702</v>
      </c>
      <c r="AM5" s="62">
        <f t="shared" si="5"/>
        <v>173.2596653855297</v>
      </c>
      <c r="AN5" s="62">
        <f ca="1">AVERAGE(OFFSET($AM$3,0,0,'Données projet'!$E$10+1,1))-AVERAGE(OFFSET($H$3,0,0,'Données projet'!$E$10+1,1))</f>
        <v>388.30126110099434</v>
      </c>
      <c r="AO5" s="62">
        <f t="shared" ref="AO5:AO68" si="36">$AO$3</f>
        <v>390.81417197867495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0.16666666666666666</v>
      </c>
      <c r="BD5" s="13">
        <f>IF('Données projet'!$A$88&gt;35,BD4+BC5-BL4,IF(A5&lt;'Données projet'!$A$88,$BA$205^A5,IF(A5='Données projet'!$A$88,'Données projet'!$B$88,BD4+BC5-BL4)))</f>
        <v>1.129830963909753</v>
      </c>
      <c r="BE5" s="14">
        <f>BD5*VLOOKUP('Données projet'!$B$11,Paramètres!$A$1:$I$89,3,0)*VLOOKUP('Données projet'!$B$11,Paramètres!$A$1:$I$89,5,0)</f>
        <v>0.96939496703456829</v>
      </c>
      <c r="BF5" s="14">
        <f t="shared" ref="BF5:BF68" si="37">EXP(-1.0587+0.8836*LN(BE5)+0.284)</f>
        <v>0.44835718823967796</v>
      </c>
      <c r="BG5" s="22">
        <f t="shared" si="7"/>
        <v>2.4692516704359786</v>
      </c>
      <c r="BH5" s="62">
        <f t="shared" si="8"/>
        <v>173.0665329579368</v>
      </c>
      <c r="BI5" s="62">
        <f ca="1">AVERAGE(OFFSET($BH$3,0,0,'Données projet'!$E$11+1,1))-AVERAGE(OFFSET($H$3,0,0,'Données projet'!$E$11+1,1))</f>
        <v>475.48669758994771</v>
      </c>
      <c r="BJ5" s="62">
        <f t="shared" ref="BJ5:BJ68" si="38">$BJ$3</f>
        <v>249.93713224442419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7.35</v>
      </c>
      <c r="BY5" s="13">
        <f>IF('Données projet'!$A$114&gt;35,BY4+BX5-CG4,IF(A5&lt;'Données projet'!$A$114,$BV$205^A5,IF(A5='Données projet'!$A$114,'Données projet'!$B$114,BY4+BX5-CG4)))</f>
        <v>1.6471446252729613</v>
      </c>
      <c r="BZ5" s="14">
        <f>BY5*VLOOKUP('Données projet'!$B$12,Paramètres!$A$1:$I$89,3,0)*VLOOKUP('Données projet'!$B$12,Paramètres!$A$1:$I$89,5,0)</f>
        <v>1.053513702324586</v>
      </c>
      <c r="CA5" s="14">
        <f t="shared" ref="CA5:CA68" si="39">EXP(-1.0587+0.8836*LN(BZ5)+0.284)</f>
        <v>0.4825662397524213</v>
      </c>
      <c r="CB5" s="22">
        <f t="shared" si="10"/>
        <v>2.6753392324507881</v>
      </c>
      <c r="CC5" s="62">
        <f t="shared" si="11"/>
        <v>173.27262051995163</v>
      </c>
      <c r="CD5" s="62">
        <f ca="1">AVERAGE(OFFSET($CC$3,0,0,'Données projet'!$E$12+1,1))-AVERAGE(OFFSET($H$3,0,0,'Données projet'!$E$12+1,1))</f>
        <v>420.47368055225792</v>
      </c>
      <c r="CE5" s="62">
        <f t="shared" ref="CE5:CE68" si="40">$CE$3</f>
        <v>372.56045490833549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177.65174746089073</v>
      </c>
      <c r="S6" s="62">
        <f ca="1">AVERAGE(OFFSET($R$3,0,0,'Données projet'!$E$9+1,1))-AVERAGE(OFFSET($H$3,0,0,'Données projet'!$E$9+1,1))</f>
        <v>551.36480098497589</v>
      </c>
      <c r="T6" s="62">
        <f t="shared" si="34"/>
        <v>297.32483725004136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6.9411764705882355</v>
      </c>
      <c r="AI6" s="14">
        <f>IF('Données projet'!$A$62&gt;35,AI5+AH6-AQ5,IF(A6&lt;'Données projet'!$A$62,$AF$205^A6,IF(A6='Données projet'!$A$62,'Données projet'!$B$62,AI5+AH6-AQ5)))</f>
        <v>2.3207386577487843</v>
      </c>
      <c r="AJ6" s="14">
        <f>AI6*VLOOKUP('Données projet'!$B$10,Paramètres!$A$1:$I$89,3,0)*VLOOKUP('Données projet'!$B$10,Paramètres!$A$1:$I$89,5,0)</f>
        <v>1.3878017173337731</v>
      </c>
      <c r="AK6" s="14">
        <f t="shared" si="35"/>
        <v>0.61561979180116611</v>
      </c>
      <c r="AL6" s="22">
        <f t="shared" si="4"/>
        <v>3.4892924617433518</v>
      </c>
      <c r="AM6" s="62">
        <f t="shared" si="5"/>
        <v>176.84431303162825</v>
      </c>
      <c r="AN6" s="62">
        <f ca="1">AVERAGE(OFFSET($AM$3,0,0,'Données projet'!$E$10+1,1))-AVERAGE(OFFSET($H$3,0,0,'Données projet'!$E$10+1,1))</f>
        <v>388.30126110099434</v>
      </c>
      <c r="AO6" s="62">
        <f t="shared" si="36"/>
        <v>390.81417197867495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0.16666666666666666</v>
      </c>
      <c r="BD6" s="13">
        <f>IF('Données projet'!$A$88&gt;35,BD5+BC6-BL5,IF(A6&lt;'Données projet'!$A$88,$BA$205^A6,IF(A6='Données projet'!$A$88,'Données projet'!$B$88,BD5+BC6-BL5)))</f>
        <v>1.2009369551760027</v>
      </c>
      <c r="BE6" s="14">
        <f>BD6*VLOOKUP('Données projet'!$B$11,Paramètres!$A$1:$I$89,3,0)*VLOOKUP('Données projet'!$B$11,Paramètres!$A$1:$I$89,5,0)</f>
        <v>1.0304039075410105</v>
      </c>
      <c r="BF6" s="14">
        <f t="shared" si="37"/>
        <v>0.47320082071313369</v>
      </c>
      <c r="BG6" s="22">
        <f t="shared" si="7"/>
        <v>2.6187782350426345</v>
      </c>
      <c r="BH6" s="62">
        <f t="shared" si="8"/>
        <v>175.97379880492753</v>
      </c>
      <c r="BI6" s="62">
        <f ca="1">AVERAGE(OFFSET($BH$3,0,0,'Données projet'!$E$11+1,1))-AVERAGE(OFFSET($H$3,0,0,'Données projet'!$E$11+1,1))</f>
        <v>475.48669758994771</v>
      </c>
      <c r="BJ6" s="62">
        <f t="shared" si="38"/>
        <v>249.93713224442419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7.35</v>
      </c>
      <c r="BY6" s="13">
        <f>IF('Données projet'!$A$114&gt;35,BY5+BX6-CG5,IF(A6&lt;'Données projet'!$A$114,$BV$205^A6,IF(A6='Données projet'!$A$114,'Données projet'!$B$114,BY5+BX6-CG5)))</f>
        <v>2.1139640635078187</v>
      </c>
      <c r="BZ6" s="14">
        <f>BY6*VLOOKUP('Données projet'!$B$12,Paramètres!$A$1:$I$89,3,0)*VLOOKUP('Données projet'!$B$12,Paramètres!$A$1:$I$89,5,0)</f>
        <v>1.3520914150196008</v>
      </c>
      <c r="CA6" s="14">
        <f t="shared" si="39"/>
        <v>0.60160164529740856</v>
      </c>
      <c r="CB6" s="22">
        <f t="shared" si="10"/>
        <v>3.4026820800521249</v>
      </c>
      <c r="CC6" s="62">
        <f t="shared" si="11"/>
        <v>176.75770264993702</v>
      </c>
      <c r="CD6" s="62">
        <f ca="1">AVERAGE(OFFSET($CC$3,0,0,'Données projet'!$E$12+1,1))-AVERAGE(OFFSET($H$3,0,0,'Données projet'!$E$12+1,1))</f>
        <v>420.47368055225792</v>
      </c>
      <c r="CE6" s="62">
        <f t="shared" si="40"/>
        <v>372.56045490833549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181.37127654212841</v>
      </c>
      <c r="S7" s="62">
        <f ca="1">AVERAGE(OFFSET($R$3,0,0,'Données projet'!$E$9+1,1))-AVERAGE(OFFSET($H$3,0,0,'Données projet'!$E$9+1,1))</f>
        <v>551.36480098497589</v>
      </c>
      <c r="T7" s="62">
        <f t="shared" si="34"/>
        <v>297.32483725004136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6.9411764705882355</v>
      </c>
      <c r="AI7" s="14">
        <f>IF('Données projet'!$A$62&gt;35,AI6+AH7-AQ6,IF(A7&lt;'Données projet'!$A$62,$AF$205^A7,IF(A7='Données projet'!$A$62,'Données projet'!$B$62,AI6+AH7-AQ6)))</f>
        <v>3.0725690301044271</v>
      </c>
      <c r="AJ7" s="14">
        <f>AI7*VLOOKUP('Données projet'!$B$10,Paramètres!$A$1:$I$89,3,0)*VLOOKUP('Données projet'!$B$10,Paramètres!$A$1:$I$89,5,0)</f>
        <v>1.8373962800024475</v>
      </c>
      <c r="AK7" s="14">
        <f t="shared" si="35"/>
        <v>0.78886318355909346</v>
      </c>
      <c r="AL7" s="22">
        <f t="shared" si="4"/>
        <v>4.5740685657030165</v>
      </c>
      <c r="AM7" s="62">
        <f t="shared" si="5"/>
        <v>180.66019062987996</v>
      </c>
      <c r="AN7" s="62">
        <f ca="1">AVERAGE(OFFSET($AM$3,0,0,'Données projet'!$E$10+1,1))-AVERAGE(OFFSET($H$3,0,0,'Données projet'!$E$10+1,1))</f>
        <v>388.30126110099434</v>
      </c>
      <c r="AO7" s="62">
        <f t="shared" si="36"/>
        <v>390.81417197867495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0.16666666666666666</v>
      </c>
      <c r="BD7" s="13">
        <f>IF('Données projet'!$A$88&gt;35,BD6+BC7-BL6,IF(A7&lt;'Données projet'!$A$88,$BA$205^A7,IF(A7='Données projet'!$A$88,'Données projet'!$B$88,BD6+BC7-BL6)))</f>
        <v>1.2765180070092417</v>
      </c>
      <c r="BE7" s="14">
        <f>BD7*VLOOKUP('Données projet'!$B$11,Paramètres!$A$1:$I$89,3,0)*VLOOKUP('Données projet'!$B$11,Paramètres!$A$1:$I$89,5,0)</f>
        <v>1.0952524500139293</v>
      </c>
      <c r="BF7" s="14">
        <f t="shared" si="37"/>
        <v>0.49942104776489715</v>
      </c>
      <c r="BG7" s="22">
        <f t="shared" si="7"/>
        <v>2.7773896752981226</v>
      </c>
      <c r="BH7" s="62">
        <f t="shared" si="8"/>
        <v>178.86351173947506</v>
      </c>
      <c r="BI7" s="62">
        <f ca="1">AVERAGE(OFFSET($BH$3,0,0,'Données projet'!$E$11+1,1))-AVERAGE(OFFSET($H$3,0,0,'Données projet'!$E$11+1,1))</f>
        <v>475.48669758994771</v>
      </c>
      <c r="BJ7" s="62">
        <f t="shared" si="38"/>
        <v>249.93713224442419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7.35</v>
      </c>
      <c r="BY7" s="13">
        <f>IF('Données projet'!$A$114&gt;35,BY6+BX7-CG6,IF(A7&lt;'Données projet'!$A$114,$BV$205^A7,IF(A7='Données projet'!$A$114,'Données projet'!$B$114,BY6+BX7-CG6)))</f>
        <v>2.7130854165656042</v>
      </c>
      <c r="BZ7" s="14">
        <f>BY7*VLOOKUP('Données projet'!$B$12,Paramètres!$A$1:$I$89,3,0)*VLOOKUP('Données projet'!$B$12,Paramètres!$A$1:$I$89,5,0)</f>
        <v>1.7352894324353603</v>
      </c>
      <c r="CA7" s="14">
        <f t="shared" si="39"/>
        <v>0.74999970949114203</v>
      </c>
      <c r="CB7" s="22">
        <f t="shared" si="10"/>
        <v>4.3285452555219912</v>
      </c>
      <c r="CC7" s="62">
        <f t="shared" si="11"/>
        <v>180.41466731969894</v>
      </c>
      <c r="CD7" s="62">
        <f ca="1">AVERAGE(OFFSET($CC$3,0,0,'Données projet'!$E$12+1,1))-AVERAGE(OFFSET($H$3,0,0,'Données projet'!$E$12+1,1))</f>
        <v>420.47368055225792</v>
      </c>
      <c r="CE7" s="62">
        <f t="shared" si="40"/>
        <v>372.56045490833549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185.29285571551281</v>
      </c>
      <c r="S8" s="62">
        <f ca="1">AVERAGE(OFFSET($R$3,0,0,'Données projet'!$E$9+1,1))-AVERAGE(OFFSET($H$3,0,0,'Données projet'!$E$9+1,1))</f>
        <v>551.36480098497589</v>
      </c>
      <c r="T8" s="62">
        <f t="shared" si="34"/>
        <v>297.32483725004136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6.9411764705882355</v>
      </c>
      <c r="AI8" s="14">
        <f>IF('Données projet'!$A$62&gt;35,AI7+AH8-AQ7,IF(A8&lt;'Données projet'!$A$62,$AF$205^A8,IF(A8='Données projet'!$A$62,'Données projet'!$B$62,AI7+AH8-AQ7)))</f>
        <v>4.0679636258202043</v>
      </c>
      <c r="AJ8" s="14">
        <f>AI8*VLOOKUP('Données projet'!$B$10,Paramètres!$A$1:$I$89,3,0)*VLOOKUP('Données projet'!$B$10,Paramètres!$A$1:$I$89,5,0)</f>
        <v>2.4326422482404824</v>
      </c>
      <c r="AK8" s="14">
        <f t="shared" si="35"/>
        <v>1.0108595120931088</v>
      </c>
      <c r="AL8" s="22">
        <f t="shared" si="4"/>
        <v>5.9974322325810041</v>
      </c>
      <c r="AM8" s="62">
        <f t="shared" si="5"/>
        <v>184.78848010902834</v>
      </c>
      <c r="AN8" s="62">
        <f ca="1">AVERAGE(OFFSET($AM$3,0,0,'Données projet'!$E$10+1,1))-AVERAGE(OFFSET($H$3,0,0,'Données projet'!$E$10+1,1))</f>
        <v>388.30126110099434</v>
      </c>
      <c r="AO8" s="62">
        <f t="shared" si="36"/>
        <v>390.81417197867495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0.16666666666666666</v>
      </c>
      <c r="BD8" s="13">
        <f>IF('Données projet'!$A$88&gt;35,BD7+BC8-BL7,IF(A8&lt;'Données projet'!$A$88,$BA$205^A8,IF(A8='Données projet'!$A$88,'Données projet'!$B$88,BD7+BC8-BL7)))</f>
        <v>1.3568557576613469</v>
      </c>
      <c r="BE8" s="14">
        <f>BD8*VLOOKUP('Données projet'!$B$11,Paramètres!$A$1:$I$89,3,0)*VLOOKUP('Données projet'!$B$11,Paramètres!$A$1:$I$89,5,0)</f>
        <v>1.1641822400734358</v>
      </c>
      <c r="BF8" s="14">
        <f t="shared" si="37"/>
        <v>0.5270941469938687</v>
      </c>
      <c r="BG8" s="22">
        <f t="shared" si="7"/>
        <v>2.9456397074755554</v>
      </c>
      <c r="BH8" s="62">
        <f t="shared" si="8"/>
        <v>181.7366875839229</v>
      </c>
      <c r="BI8" s="62">
        <f ca="1">AVERAGE(OFFSET($BH$3,0,0,'Données projet'!$E$11+1,1))-AVERAGE(OFFSET($H$3,0,0,'Données projet'!$E$11+1,1))</f>
        <v>475.48669758994771</v>
      </c>
      <c r="BJ8" s="62">
        <f t="shared" si="38"/>
        <v>249.93713224442419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7.35</v>
      </c>
      <c r="BY8" s="13">
        <f>IF('Données projet'!$A$114&gt;35,BY7+BX8-CG7,IF(A8&lt;'Données projet'!$A$114,$BV$205^A8,IF(A8='Données projet'!$A$114,'Données projet'!$B$114,BY7+BX8-CG7)))</f>
        <v>3.4820045452270922</v>
      </c>
      <c r="BZ8" s="14">
        <f>BY8*VLOOKUP('Données projet'!$B$12,Paramètres!$A$1:$I$89,3,0)*VLOOKUP('Données projet'!$B$12,Paramètres!$A$1:$I$89,5,0)</f>
        <v>2.227090107127248</v>
      </c>
      <c r="CA8" s="14">
        <f t="shared" si="39"/>
        <v>0.93500336748367707</v>
      </c>
      <c r="CB8" s="22">
        <f t="shared" si="10"/>
        <v>5.5073128016140283</v>
      </c>
      <c r="CC8" s="62">
        <f t="shared" si="11"/>
        <v>184.29836067806139</v>
      </c>
      <c r="CD8" s="62">
        <f ca="1">AVERAGE(OFFSET($CC$3,0,0,'Données projet'!$E$12+1,1))-AVERAGE(OFFSET($H$3,0,0,'Données projet'!$E$12+1,1))</f>
        <v>420.47368055225792</v>
      </c>
      <c r="CE8" s="62">
        <f t="shared" si="40"/>
        <v>372.56045490833549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189.46981953956174</v>
      </c>
      <c r="S9" s="62">
        <f ca="1">AVERAGE(OFFSET($R$3,0,0,'Données projet'!$E$9+1,1))-AVERAGE(OFFSET($H$3,0,0,'Données projet'!$E$9+1,1))</f>
        <v>551.36480098497589</v>
      </c>
      <c r="T9" s="62">
        <f t="shared" si="34"/>
        <v>297.32483725004136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6.9411764705882355</v>
      </c>
      <c r="AI9" s="14">
        <f>IF('Données projet'!$A$62&gt;35,AI8+AH9-AQ8,IF(A9&lt;'Données projet'!$A$62,$AF$205^A9,IF(A9='Données projet'!$A$62,'Données projet'!$B$62,AI8+AH9-AQ8)))</f>
        <v>5.38582791756963</v>
      </c>
      <c r="AJ9" s="14">
        <f>AI9*VLOOKUP('Données projet'!$B$10,Paramètres!$A$1:$I$89,3,0)*VLOOKUP('Données projet'!$B$10,Paramètres!$A$1:$I$89,5,0)</f>
        <v>3.2207250947066388</v>
      </c>
      <c r="AK9" s="14">
        <f t="shared" si="35"/>
        <v>1.2953284859599137</v>
      </c>
      <c r="AL9" s="22">
        <f t="shared" si="4"/>
        <v>7.8654599863275783</v>
      </c>
      <c r="AM9" s="62">
        <f t="shared" si="5"/>
        <v>189.33571208258655</v>
      </c>
      <c r="AN9" s="62">
        <f ca="1">AVERAGE(OFFSET($AM$3,0,0,'Données projet'!$E$10+1,1))-AVERAGE(OFFSET($H$3,0,0,'Données projet'!$E$10+1,1))</f>
        <v>388.30126110099434</v>
      </c>
      <c r="AO9" s="62">
        <f t="shared" si="36"/>
        <v>390.81417197867495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0.16666666666666666</v>
      </c>
      <c r="BD9" s="13">
        <f>IF('Données projet'!$A$88&gt;35,BD8+BC9-BL8,IF(A9&lt;'Données projet'!$A$88,$BA$205^A9,IF(A9='Données projet'!$A$88,'Données projet'!$B$88,BD8+BC9-BL8)))</f>
        <v>1.4422495703074083</v>
      </c>
      <c r="BE9" s="14">
        <f>BD9*VLOOKUP('Données projet'!$B$11,Paramètres!$A$1:$I$89,3,0)*VLOOKUP('Données projet'!$B$11,Paramètres!$A$1:$I$89,5,0)</f>
        <v>1.2374501313237565</v>
      </c>
      <c r="BF9" s="14">
        <f t="shared" si="37"/>
        <v>0.55630062256803792</v>
      </c>
      <c r="BG9" s="22">
        <f t="shared" si="7"/>
        <v>3.1241158963615416</v>
      </c>
      <c r="BH9" s="62">
        <f t="shared" si="8"/>
        <v>184.5943679926205</v>
      </c>
      <c r="BI9" s="62">
        <f ca="1">AVERAGE(OFFSET($BH$3,0,0,'Données projet'!$E$11+1,1))-AVERAGE(OFFSET($H$3,0,0,'Données projet'!$E$11+1,1))</f>
        <v>475.48669758994771</v>
      </c>
      <c r="BJ9" s="62">
        <f t="shared" si="38"/>
        <v>249.93713224442419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7.35</v>
      </c>
      <c r="BY9" s="13">
        <f>IF('Données projet'!$A$114&gt;35,BY8+BX9-CG8,IF(A9&lt;'Données projet'!$A$114,$BV$205^A9,IF(A9='Données projet'!$A$114,'Données projet'!$B$114,BY8+BX9-CG8)))</f>
        <v>4.4688440618024883</v>
      </c>
      <c r="BZ9" s="14">
        <f>BY9*VLOOKUP('Données projet'!$B$12,Paramètres!$A$1:$I$89,3,0)*VLOOKUP('Données projet'!$B$12,Paramètres!$A$1:$I$89,5,0)</f>
        <v>2.8582726619288716</v>
      </c>
      <c r="CA9" s="14">
        <f t="shared" si="39"/>
        <v>1.1656421811135933</v>
      </c>
      <c r="CB9" s="22">
        <f t="shared" si="10"/>
        <v>7.0083183516322913</v>
      </c>
      <c r="CC9" s="62">
        <f t="shared" si="11"/>
        <v>188.47857044789126</v>
      </c>
      <c r="CD9" s="62">
        <f ca="1">AVERAGE(OFFSET($CC$3,0,0,'Données projet'!$E$12+1,1))-AVERAGE(OFFSET($H$3,0,0,'Données projet'!$E$12+1,1))</f>
        <v>420.47368055225792</v>
      </c>
      <c r="CE9" s="62">
        <f t="shared" si="40"/>
        <v>372.56045490833549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193.96778694515905</v>
      </c>
      <c r="S10" s="62">
        <f ca="1">AVERAGE(OFFSET($R$3,0,0,'Données projet'!$E$9+1,1))-AVERAGE(OFFSET($H$3,0,0,'Données projet'!$E$9+1,1))</f>
        <v>551.36480098497589</v>
      </c>
      <c r="T10" s="62">
        <f t="shared" si="34"/>
        <v>297.32483725004136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6.9411764705882355</v>
      </c>
      <c r="AI10" s="14">
        <f>IF('Données projet'!$A$62&gt;35,AI9+AH10-AQ9,IF(A10&lt;'Données projet'!$A$62,$AF$205^A10,IF(A10='Données projet'!$A$62,'Données projet'!$B$62,AI9+AH10-AQ9)))</f>
        <v>7.130629726765032</v>
      </c>
      <c r="AJ10" s="14">
        <f>AI10*VLOOKUP('Données projet'!$B$10,Paramètres!$A$1:$I$89,3,0)*VLOOKUP('Données projet'!$B$10,Paramètres!$A$1:$I$89,5,0)</f>
        <v>4.26411657660549</v>
      </c>
      <c r="AK10" s="14">
        <f t="shared" si="35"/>
        <v>1.6598507175986843</v>
      </c>
      <c r="AL10" s="22">
        <f t="shared" si="4"/>
        <v>10.317576370738935</v>
      </c>
      <c r="AM10" s="62">
        <f t="shared" si="5"/>
        <v>194.44175730647518</v>
      </c>
      <c r="AN10" s="62">
        <f ca="1">AVERAGE(OFFSET($AM$3,0,0,'Données projet'!$E$10+1,1))-AVERAGE(OFFSET($H$3,0,0,'Données projet'!$E$10+1,1))</f>
        <v>388.30126110099434</v>
      </c>
      <c r="AO10" s="62">
        <f t="shared" si="36"/>
        <v>390.81417197867495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0.16666666666666666</v>
      </c>
      <c r="BD10" s="13">
        <f>IF('Données projet'!$A$88&gt;35,BD9+BC10-BL9,IF(A10&lt;'Données projet'!$A$88,$BA$205^A10,IF(A10='Données projet'!$A$88,'Données projet'!$B$88,BD9+BC10-BL9)))</f>
        <v>1.533017648565018</v>
      </c>
      <c r="BE10" s="14">
        <f>BD10*VLOOKUP('Données projet'!$B$11,Paramètres!$A$1:$I$89,3,0)*VLOOKUP('Données projet'!$B$11,Paramètres!$A$1:$I$89,5,0)</f>
        <v>1.3153291424687856</v>
      </c>
      <c r="BF10" s="14">
        <f t="shared" si="37"/>
        <v>0.58712543942019213</v>
      </c>
      <c r="BG10" s="22">
        <f t="shared" si="7"/>
        <v>3.3134417301233028</v>
      </c>
      <c r="BH10" s="62">
        <f t="shared" si="8"/>
        <v>187.43762266585955</v>
      </c>
      <c r="BI10" s="62">
        <f ca="1">AVERAGE(OFFSET($BH$3,0,0,'Données projet'!$E$11+1,1))-AVERAGE(OFFSET($H$3,0,0,'Données projet'!$E$11+1,1))</f>
        <v>475.48669758994771</v>
      </c>
      <c r="BJ10" s="62">
        <f t="shared" si="38"/>
        <v>249.93713224442419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7.35</v>
      </c>
      <c r="BY10" s="13">
        <f>IF('Données projet'!$A$114&gt;35,BY9+BX10-CG9,IF(A10&lt;'Données projet'!$A$114,$BV$205^A10,IF(A10='Données projet'!$A$114,'Données projet'!$B$114,BY9+BX10-CG9)))</f>
        <v>5.7353650718468279</v>
      </c>
      <c r="BZ10" s="14">
        <f>BY10*VLOOKUP('Données projet'!$B$12,Paramètres!$A$1:$I$89,3,0)*VLOOKUP('Données projet'!$B$12,Paramètres!$A$1:$I$89,5,0)</f>
        <v>3.6683394999532313</v>
      </c>
      <c r="CA10" s="14">
        <f t="shared" si="39"/>
        <v>1.4531730490424946</v>
      </c>
      <c r="CB10" s="22">
        <f t="shared" si="10"/>
        <v>8.9199676895008899</v>
      </c>
      <c r="CC10" s="62">
        <f t="shared" si="11"/>
        <v>193.04414862523711</v>
      </c>
      <c r="CD10" s="62">
        <f ca="1">AVERAGE(OFFSET($CC$3,0,0,'Données projet'!$E$12+1,1))-AVERAGE(OFFSET($H$3,0,0,'Données projet'!$E$12+1,1))</f>
        <v>420.47368055225792</v>
      </c>
      <c r="CE10" s="62">
        <f t="shared" si="40"/>
        <v>372.56045490833549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198.86752730846644</v>
      </c>
      <c r="S11" s="62">
        <f ca="1">AVERAGE(OFFSET($R$3,0,0,'Données projet'!$E$9+1,1))-AVERAGE(OFFSET($H$3,0,0,'Données projet'!$E$9+1,1))</f>
        <v>551.36480098497589</v>
      </c>
      <c r="T11" s="62">
        <f t="shared" si="34"/>
        <v>297.32483725004136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6.9411764705882355</v>
      </c>
      <c r="AI11" s="14">
        <f>IF('Données projet'!$A$62&gt;35,AI10+AH11-AQ10,IF(A11&lt;'Données projet'!$A$62,$AF$205^A11,IF(A11='Données projet'!$A$62,'Données projet'!$B$62,AI10+AH11-AQ10)))</f>
        <v>9.4406804447568593</v>
      </c>
      <c r="AJ11" s="14">
        <f>AI11*VLOOKUP('Données projet'!$B$10,Paramètres!$A$1:$I$89,3,0)*VLOOKUP('Données projet'!$B$10,Paramètres!$A$1:$I$89,5,0)</f>
        <v>5.6455269059646023</v>
      </c>
      <c r="AK11" s="14">
        <f t="shared" si="35"/>
        <v>2.1269542317454508</v>
      </c>
      <c r="AL11" s="22">
        <f t="shared" si="4"/>
        <v>13.53707131484501</v>
      </c>
      <c r="AM11" s="62">
        <f t="shared" si="5"/>
        <v>200.29034418106556</v>
      </c>
      <c r="AN11" s="62">
        <f ca="1">AVERAGE(OFFSET($AM$3,0,0,'Données projet'!$E$10+1,1))-AVERAGE(OFFSET($H$3,0,0,'Données projet'!$E$10+1,1))</f>
        <v>388.30126110099434</v>
      </c>
      <c r="AO11" s="62">
        <f t="shared" si="36"/>
        <v>390.81417197867495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0.16666666666666666</v>
      </c>
      <c r="BD11" s="13">
        <f>IF('Données projet'!$A$88&gt;35,BD10+BC11-BL10,IF(A11&lt;'Données projet'!$A$88,$BA$205^A11,IF(A11='Données projet'!$A$88,'Données projet'!$B$88,BD10+BC11-BL10)))</f>
        <v>1.6294982222188463</v>
      </c>
      <c r="BE11" s="14">
        <f>BD11*VLOOKUP('Données projet'!$B$11,Paramètres!$A$1:$I$89,3,0)*VLOOKUP('Données projet'!$B$11,Paramètres!$A$1:$I$89,5,0)</f>
        <v>1.3981094746637703</v>
      </c>
      <c r="BF11" s="14">
        <f t="shared" si="37"/>
        <v>0.61965827042049282</v>
      </c>
      <c r="BG11" s="22">
        <f t="shared" si="7"/>
        <v>3.514278822688425</v>
      </c>
      <c r="BH11" s="62">
        <f t="shared" si="8"/>
        <v>190.26755168890898</v>
      </c>
      <c r="BI11" s="62">
        <f ca="1">AVERAGE(OFFSET($BH$3,0,0,'Données projet'!$E$11+1,1))-AVERAGE(OFFSET($H$3,0,0,'Données projet'!$E$11+1,1))</f>
        <v>475.48669758994771</v>
      </c>
      <c r="BJ11" s="62">
        <f t="shared" si="38"/>
        <v>249.93713224442419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7.35</v>
      </c>
      <c r="BY11" s="13">
        <f>IF('Données projet'!$A$114&gt;35,BY10+BX11-CG10,IF(A11&lt;'Données projet'!$A$114,$BV$205^A11,IF(A11='Données projet'!$A$114,'Données projet'!$B$114,BY10+BX11-CG10)))</f>
        <v>7.3608324775809582</v>
      </c>
      <c r="BZ11" s="14">
        <f>BY11*VLOOKUP('Données projet'!$B$12,Paramètres!$A$1:$I$89,3,0)*VLOOKUP('Données projet'!$B$12,Paramètres!$A$1:$I$89,5,0)</f>
        <v>4.7079884526607803</v>
      </c>
      <c r="CA11" s="14">
        <f t="shared" si="39"/>
        <v>1.8116296275809454</v>
      </c>
      <c r="CB11" s="22">
        <f t="shared" si="10"/>
        <v>11.355001489754338</v>
      </c>
      <c r="CC11" s="62">
        <f t="shared" si="11"/>
        <v>198.10827435597488</v>
      </c>
      <c r="CD11" s="62">
        <f ca="1">AVERAGE(OFFSET($CC$3,0,0,'Données projet'!$E$12+1,1))-AVERAGE(OFFSET($H$3,0,0,'Données projet'!$E$12+1,1))</f>
        <v>420.47368055225792</v>
      </c>
      <c r="CE11" s="62">
        <f t="shared" si="40"/>
        <v>372.56045490833549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204.26849655299031</v>
      </c>
      <c r="S12" s="62">
        <f ca="1">AVERAGE(OFFSET($R$3,0,0,'Données projet'!$E$9+1,1))-AVERAGE(OFFSET($H$3,0,0,'Données projet'!$E$9+1,1))</f>
        <v>551.36480098497589</v>
      </c>
      <c r="T12" s="62">
        <f t="shared" si="34"/>
        <v>297.32483725004136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6.9411764705882355</v>
      </c>
      <c r="AI12" s="14">
        <f>IF('Données projet'!$A$62&gt;35,AI11+AH12-AQ11,IF(A12&lt;'Données projet'!$A$62,$AF$205^A12,IF(A12='Données projet'!$A$62,'Données projet'!$B$62,AI11+AH12-AQ11)))</f>
        <v>12.499099052286473</v>
      </c>
      <c r="AJ12" s="14">
        <f>AI12*VLOOKUP('Données projet'!$B$10,Paramètres!$A$1:$I$89,3,0)*VLOOKUP('Données projet'!$B$10,Paramètres!$A$1:$I$89,5,0)</f>
        <v>7.474461233267311</v>
      </c>
      <c r="AK12" s="14">
        <f t="shared" si="35"/>
        <v>2.7255067314033421</v>
      </c>
      <c r="AL12" s="22">
        <f t="shared" si="4"/>
        <v>17.764944205134721</v>
      </c>
      <c r="AM12" s="62">
        <f t="shared" si="5"/>
        <v>207.1229029576908</v>
      </c>
      <c r="AN12" s="62">
        <f ca="1">AVERAGE(OFFSET($AM$3,0,0,'Données projet'!$E$10+1,1))-AVERAGE(OFFSET($H$3,0,0,'Données projet'!$E$10+1,1))</f>
        <v>388.30126110099434</v>
      </c>
      <c r="AO12" s="62">
        <f t="shared" si="36"/>
        <v>390.81417197867495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0.16666666666666666</v>
      </c>
      <c r="BD12" s="13">
        <f>IF('Données projet'!$A$88&gt;35,BD11+BC12-BL11,IF(A12&lt;'Données projet'!$A$88,$BA$205^A12,IF(A12='Données projet'!$A$88,'Données projet'!$B$88,BD11+BC12-BL11)))</f>
        <v>1.7320508075688772</v>
      </c>
      <c r="BE12" s="14">
        <f>BD12*VLOOKUP('Données projet'!$B$11,Paramètres!$A$1:$I$89,3,0)*VLOOKUP('Données projet'!$B$11,Paramètres!$A$1:$I$89,5,0)</f>
        <v>1.4860995928940968</v>
      </c>
      <c r="BF12" s="14">
        <f t="shared" si="37"/>
        <v>0.65399375724497177</v>
      </c>
      <c r="BG12" s="22">
        <f t="shared" si="7"/>
        <v>3.7273292514922112</v>
      </c>
      <c r="BH12" s="62">
        <f t="shared" si="8"/>
        <v>193.08528800404829</v>
      </c>
      <c r="BI12" s="62">
        <f ca="1">AVERAGE(OFFSET($BH$3,0,0,'Données projet'!$E$11+1,1))-AVERAGE(OFFSET($H$3,0,0,'Données projet'!$E$11+1,1))</f>
        <v>475.48669758994771</v>
      </c>
      <c r="BJ12" s="62">
        <f t="shared" si="38"/>
        <v>249.93713224442419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7.35</v>
      </c>
      <c r="BY12" s="13">
        <f>IF('Données projet'!$A$114&gt;35,BY11+BX12-CG11,IF(A12&lt;'Données projet'!$A$114,$BV$205^A12,IF(A12='Données projet'!$A$114,'Données projet'!$B$114,BY11+BX12-CG11)))</f>
        <v>9.4469757520707738</v>
      </c>
      <c r="BZ12" s="14">
        <f>BY12*VLOOKUP('Données projet'!$B$12,Paramètres!$A$1:$I$89,3,0)*VLOOKUP('Données projet'!$B$12,Paramètres!$A$1:$I$89,5,0)</f>
        <v>6.0422856910244667</v>
      </c>
      <c r="CA12" s="14">
        <f t="shared" si="39"/>
        <v>2.2585072780503381</v>
      </c>
      <c r="CB12" s="22">
        <f t="shared" si="10"/>
        <v>14.457214421138618</v>
      </c>
      <c r="CC12" s="62">
        <f t="shared" si="11"/>
        <v>203.81517317369469</v>
      </c>
      <c r="CD12" s="62">
        <f ca="1">AVERAGE(OFFSET($CC$3,0,0,'Données projet'!$E$12+1,1))-AVERAGE(OFFSET($H$3,0,0,'Données projet'!$E$12+1,1))</f>
        <v>420.47368055225792</v>
      </c>
      <c r="CE12" s="62">
        <f t="shared" si="40"/>
        <v>372.56045490833549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210.29320032238616</v>
      </c>
      <c r="S13" s="62">
        <f ca="1">AVERAGE(OFFSET($R$3,0,0,'Données projet'!$E$9+1,1))-AVERAGE(OFFSET($H$3,0,0,'Données projet'!$E$9+1,1))</f>
        <v>551.36480098497589</v>
      </c>
      <c r="T13" s="62">
        <f t="shared" si="34"/>
        <v>297.32483725004136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6.9411764705882355</v>
      </c>
      <c r="AI13" s="14">
        <f>IF('Données projet'!$A$62&gt;35,AI12+AH13-AQ12,IF(A13&lt;'Données projet'!$A$62,$AF$205^A13,IF(A13='Données projet'!$A$62,'Données projet'!$B$62,AI12+AH13-AQ12)))</f>
        <v>16.548328060996262</v>
      </c>
      <c r="AJ13" s="14">
        <f>AI13*VLOOKUP('Données projet'!$B$10,Paramètres!$A$1:$I$89,3,0)*VLOOKUP('Données projet'!$B$10,Paramètres!$A$1:$I$89,5,0)</f>
        <v>9.8959001804757651</v>
      </c>
      <c r="AK13" s="14">
        <f t="shared" si="35"/>
        <v>3.4924996655094662</v>
      </c>
      <c r="AL13" s="22">
        <f t="shared" si="4"/>
        <v>23.318129731757608</v>
      </c>
      <c r="AM13" s="62">
        <f t="shared" si="5"/>
        <v>215.2567917168025</v>
      </c>
      <c r="AN13" s="62">
        <f ca="1">AVERAGE(OFFSET($AM$3,0,0,'Données projet'!$E$10+1,1))-AVERAGE(OFFSET($H$3,0,0,'Données projet'!$E$10+1,1))</f>
        <v>388.30126110099434</v>
      </c>
      <c r="AO13" s="62">
        <f t="shared" si="36"/>
        <v>390.81417197867495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0.16666666666666666</v>
      </c>
      <c r="BD13" s="13">
        <f>IF('Données projet'!$A$88&gt;35,BD12+BC13-BL12,IF(A13&lt;'Données projet'!$A$88,$BA$205^A13,IF(A13='Données projet'!$A$88,'Données projet'!$B$88,BD12+BC13-BL12)))</f>
        <v>1.841057547098748</v>
      </c>
      <c r="BE13" s="14">
        <f>BD13*VLOOKUP('Données projet'!$B$11,Paramètres!$A$1:$I$89,3,0)*VLOOKUP('Données projet'!$B$11,Paramètres!$A$1:$I$89,5,0)</f>
        <v>1.579627375410726</v>
      </c>
      <c r="BF13" s="14">
        <f t="shared" si="37"/>
        <v>0.69023178569884602</v>
      </c>
      <c r="BG13" s="22">
        <f t="shared" si="7"/>
        <v>3.9533380389325044</v>
      </c>
      <c r="BH13" s="62">
        <f t="shared" si="8"/>
        <v>195.8920000239774</v>
      </c>
      <c r="BI13" s="62">
        <f ca="1">AVERAGE(OFFSET($BH$3,0,0,'Données projet'!$E$11+1,1))-AVERAGE(OFFSET($H$3,0,0,'Données projet'!$E$11+1,1))</f>
        <v>475.48669758994771</v>
      </c>
      <c r="BJ13" s="62">
        <f t="shared" si="38"/>
        <v>249.93713224442419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7.35</v>
      </c>
      <c r="BY13" s="13">
        <f>IF('Données projet'!$A$114&gt;35,BY12+BX13-CG12,IF(A13&lt;'Données projet'!$A$114,$BV$205^A13,IF(A13='Données projet'!$A$114,'Données projet'!$B$114,BY12+BX13-CG12)))</f>
        <v>12.12435565298213</v>
      </c>
      <c r="BZ13" s="14">
        <f>BY13*VLOOKUP('Données projet'!$B$12,Paramètres!$A$1:$I$89,3,0)*VLOOKUP('Données projet'!$B$12,Paramètres!$A$1:$I$89,5,0)</f>
        <v>7.754737875647371</v>
      </c>
      <c r="CA13" s="14">
        <f t="shared" si="39"/>
        <v>2.8156169712335068</v>
      </c>
      <c r="CB13" s="22">
        <f t="shared" si="10"/>
        <v>18.410034691650861</v>
      </c>
      <c r="CC13" s="62">
        <f t="shared" si="11"/>
        <v>210.34869667669574</v>
      </c>
      <c r="CD13" s="62">
        <f ca="1">AVERAGE(OFFSET($CC$3,0,0,'Données projet'!$E$12+1,1))-AVERAGE(OFFSET($H$3,0,0,'Données projet'!$E$12+1,1))</f>
        <v>420.47368055225792</v>
      </c>
      <c r="CE13" s="62">
        <f t="shared" si="40"/>
        <v>372.56045490833549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217.09257815700823</v>
      </c>
      <c r="S14" s="62">
        <f ca="1">AVERAGE(OFFSET($R$3,0,0,'Données projet'!$E$9+1,1))-AVERAGE(OFFSET($H$3,0,0,'Données projet'!$E$9+1,1))</f>
        <v>551.36480098497589</v>
      </c>
      <c r="T14" s="62">
        <f t="shared" si="34"/>
        <v>297.32483725004136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6.9411764705882355</v>
      </c>
      <c r="AI14" s="14">
        <f>IF('Données projet'!$A$62&gt;35,AI13+AH14-AQ13,IF(A14&lt;'Données projet'!$A$62,$AF$205^A14,IF(A14='Données projet'!$A$62,'Données projet'!$B$62,AI13+AH14-AQ13)))</f>
        <v>21.909352063600231</v>
      </c>
      <c r="AJ14" s="14">
        <f>AI14*VLOOKUP('Données projet'!$B$10,Paramètres!$A$1:$I$89,3,0)*VLOOKUP('Données projet'!$B$10,Paramètres!$A$1:$I$89,5,0)</f>
        <v>13.101792534032938</v>
      </c>
      <c r="AK14" s="14">
        <f t="shared" si="35"/>
        <v>4.4753343563761101</v>
      </c>
      <c r="AL14" s="22">
        <f t="shared" si="4"/>
        <v>30.613496000795752</v>
      </c>
      <c r="AM14" s="62">
        <f t="shared" si="5"/>
        <v>225.10929460990988</v>
      </c>
      <c r="AN14" s="62">
        <f ca="1">AVERAGE(OFFSET($AM$3,0,0,'Données projet'!$E$10+1,1))-AVERAGE(OFFSET($H$3,0,0,'Données projet'!$E$10+1,1))</f>
        <v>388.30126110099434</v>
      </c>
      <c r="AO14" s="62">
        <f t="shared" si="36"/>
        <v>390.81417197867495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0.16666666666666666</v>
      </c>
      <c r="BD14" s="13">
        <f>IF('Données projet'!$A$88&gt;35,BD13+BC14-BL13,IF(A14&lt;'Données projet'!$A$88,$BA$205^A14,IF(A14='Données projet'!$A$88,'Données projet'!$B$88,BD13+BC14-BL13)))</f>
        <v>1.9569246334562107</v>
      </c>
      <c r="BE14" s="14">
        <f>BD14*VLOOKUP('Données projet'!$B$11,Paramètres!$A$1:$I$89,3,0)*VLOOKUP('Données projet'!$B$11,Paramètres!$A$1:$I$89,5,0)</f>
        <v>1.679041335505429</v>
      </c>
      <c r="BF14" s="14">
        <f t="shared" si="37"/>
        <v>0.72847777629559418</v>
      </c>
      <c r="BG14" s="22">
        <f t="shared" si="7"/>
        <v>4.1930957863867819</v>
      </c>
      <c r="BH14" s="62">
        <f t="shared" si="8"/>
        <v>198.68889439550091</v>
      </c>
      <c r="BI14" s="62">
        <f ca="1">AVERAGE(OFFSET($BH$3,0,0,'Données projet'!$E$11+1,1))-AVERAGE(OFFSET($H$3,0,0,'Données projet'!$E$11+1,1))</f>
        <v>475.48669758994771</v>
      </c>
      <c r="BJ14" s="62">
        <f t="shared" si="38"/>
        <v>249.93713224442419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7.35</v>
      </c>
      <c r="BY14" s="13">
        <f>IF('Données projet'!$A$114&gt;35,BY13+BX14-CG13,IF(A14&lt;'Données projet'!$A$114,$BV$205^A14,IF(A14='Données projet'!$A$114,'Données projet'!$B$114,BY13+BX14-CG13)))</f>
        <v>15.560535335107367</v>
      </c>
      <c r="BZ14" s="14">
        <f>BY14*VLOOKUP('Données projet'!$B$12,Paramètres!$A$1:$I$89,3,0)*VLOOKUP('Données projet'!$B$12,Paramètres!$A$1:$I$89,5,0)</f>
        <v>9.9525184003346716</v>
      </c>
      <c r="CA14" s="14">
        <f t="shared" si="39"/>
        <v>3.5101498258361836</v>
      </c>
      <c r="CB14" s="22">
        <f t="shared" si="10"/>
        <v>23.447480493914242</v>
      </c>
      <c r="CC14" s="62">
        <f t="shared" si="11"/>
        <v>217.94327910302837</v>
      </c>
      <c r="CD14" s="62">
        <f ca="1">AVERAGE(OFFSET($CC$3,0,0,'Données projet'!$E$12+1,1))-AVERAGE(OFFSET($H$3,0,0,'Données projet'!$E$12+1,1))</f>
        <v>420.47368055225792</v>
      </c>
      <c r="CE14" s="62">
        <f t="shared" si="40"/>
        <v>372.56045490833549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224.85264818290764</v>
      </c>
      <c r="S15" s="62">
        <f ca="1">AVERAGE(OFFSET($R$3,0,0,'Données projet'!$E$9+1,1))-AVERAGE(OFFSET($H$3,0,0,'Données projet'!$E$9+1,1))</f>
        <v>551.36480098497589</v>
      </c>
      <c r="T15" s="62">
        <f t="shared" si="34"/>
        <v>297.32483725004136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6.9411764705882355</v>
      </c>
      <c r="AI15" s="14">
        <f>IF('Données projet'!$A$62&gt;35,AI14+AH15-AQ14,IF(A15&lt;'Données projet'!$A$62,$AF$205^A15,IF(A15='Données projet'!$A$62,'Données projet'!$B$62,AI14+AH15-AQ14)))</f>
        <v>29.007142357672414</v>
      </c>
      <c r="AJ15" s="14">
        <f>AI15*VLOOKUP('Données projet'!$B$10,Paramètres!$A$1:$I$89,3,0)*VLOOKUP('Données projet'!$B$10,Paramètres!$A$1:$I$89,5,0)</f>
        <v>17.346271129888105</v>
      </c>
      <c r="AK15" s="14">
        <f t="shared" si="35"/>
        <v>5.7347514730366376</v>
      </c>
      <c r="AL15" s="22">
        <f t="shared" si="4"/>
        <v>40.19944770009392</v>
      </c>
      <c r="AM15" s="62">
        <f t="shared" si="5"/>
        <v>237.22922515282679</v>
      </c>
      <c r="AN15" s="62">
        <f ca="1">AVERAGE(OFFSET($AM$3,0,0,'Données projet'!$E$10+1,1))-AVERAGE(OFFSET($H$3,0,0,'Données projet'!$E$10+1,1))</f>
        <v>388.30126110099434</v>
      </c>
      <c r="AO15" s="62">
        <f t="shared" si="36"/>
        <v>390.81417197867495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0.16666666666666666</v>
      </c>
      <c r="BD15" s="13">
        <f>IF('Données projet'!$A$88&gt;35,BD14+BC15-BL14,IF(A15&lt;'Données projet'!$A$88,$BA$205^A15,IF(A15='Données projet'!$A$88,'Données projet'!$B$88,BD14+BC15-BL14)))</f>
        <v>2.0800838230519041</v>
      </c>
      <c r="BE15" s="14">
        <f>BD15*VLOOKUP('Données projet'!$B$11,Paramètres!$A$1:$I$89,3,0)*VLOOKUP('Données projet'!$B$11,Paramètres!$A$1:$I$89,5,0)</f>
        <v>1.784711920178534</v>
      </c>
      <c r="BF15" s="14">
        <f t="shared" si="37"/>
        <v>0.76884299093712538</v>
      </c>
      <c r="BG15" s="22">
        <f t="shared" si="7"/>
        <v>4.4474414701931062</v>
      </c>
      <c r="BH15" s="62">
        <f t="shared" si="8"/>
        <v>201.47721892292597</v>
      </c>
      <c r="BI15" s="62">
        <f ca="1">AVERAGE(OFFSET($BH$3,0,0,'Données projet'!$E$11+1,1))-AVERAGE(OFFSET($H$3,0,0,'Données projet'!$E$11+1,1))</f>
        <v>475.48669758994771</v>
      </c>
      <c r="BJ15" s="62">
        <f t="shared" si="38"/>
        <v>249.93713224442419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7.35</v>
      </c>
      <c r="BY15" s="13">
        <f>IF('Données projet'!$A$114&gt;35,BY14+BX15-CG14,IF(A15&lt;'Données projet'!$A$114,$BV$205^A15,IF(A15='Données projet'!$A$114,'Données projet'!$B$114,BY14+BX15-CG14)))</f>
        <v>19.970567248707361</v>
      </c>
      <c r="BZ15" s="14">
        <f>BY15*VLOOKUP('Données projet'!$B$12,Paramètres!$A$1:$I$89,3,0)*VLOOKUP('Données projet'!$B$12,Paramètres!$A$1:$I$89,5,0)</f>
        <v>12.773174812273229</v>
      </c>
      <c r="CA15" s="14">
        <f t="shared" si="39"/>
        <v>4.3760042383960895</v>
      </c>
      <c r="CB15" s="22">
        <f t="shared" si="10"/>
        <v>29.868153513249059</v>
      </c>
      <c r="CC15" s="62">
        <f t="shared" si="11"/>
        <v>226.89793096598194</v>
      </c>
      <c r="CD15" s="62">
        <f ca="1">AVERAGE(OFFSET($CC$3,0,0,'Données projet'!$E$12+1,1))-AVERAGE(OFFSET($H$3,0,0,'Données projet'!$E$12+1,1))</f>
        <v>420.47368055225792</v>
      </c>
      <c r="CE15" s="62">
        <f t="shared" si="40"/>
        <v>372.56045490833549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233.80270813005566</v>
      </c>
      <c r="S16" s="62">
        <f ca="1">AVERAGE(OFFSET($R$3,0,0,'Données projet'!$E$9+1,1))-AVERAGE(OFFSET($H$3,0,0,'Données projet'!$E$9+1,1))</f>
        <v>551.36480098497589</v>
      </c>
      <c r="T16" s="62">
        <f t="shared" si="34"/>
        <v>297.32483725004136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6.9411764705882355</v>
      </c>
      <c r="AI16" s="14">
        <f>IF('Données projet'!$A$62&gt;35,AI15+AH16-AQ15,IF(A16&lt;'Données projet'!$A$62,$AF$205^A16,IF(A16='Données projet'!$A$62,'Données projet'!$B$62,AI15+AH16-AQ15)))</f>
        <v>38.404344652263013</v>
      </c>
      <c r="AJ16" s="14">
        <f>AI16*VLOOKUP('Données projet'!$B$10,Paramètres!$A$1:$I$89,3,0)*VLOOKUP('Données projet'!$B$10,Paramètres!$A$1:$I$89,5,0)</f>
        <v>22.965798102053284</v>
      </c>
      <c r="AK16" s="14">
        <f t="shared" si="35"/>
        <v>7.3485848963755025</v>
      </c>
      <c r="AL16" s="22">
        <f t="shared" si="4"/>
        <v>52.797550388930141</v>
      </c>
      <c r="AM16" s="62">
        <f t="shared" si="5"/>
        <v>252.33855064054896</v>
      </c>
      <c r="AN16" s="62">
        <f ca="1">AVERAGE(OFFSET($AM$3,0,0,'Données projet'!$E$10+1,1))-AVERAGE(OFFSET($H$3,0,0,'Données projet'!$E$10+1,1))</f>
        <v>388.30126110099434</v>
      </c>
      <c r="AO16" s="62">
        <f t="shared" si="36"/>
        <v>390.81417197867495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0.16666666666666666</v>
      </c>
      <c r="BD16" s="13">
        <f>IF('Données projet'!$A$88&gt;35,BD15+BC16-BL15,IF(A16&lt;'Données projet'!$A$88,$BA$205^A16,IF(A16='Données projet'!$A$88,'Données projet'!$B$88,BD15+BC16-BL15)))</f>
        <v>2.2109940449165704</v>
      </c>
      <c r="BE16" s="14">
        <f>BD16*VLOOKUP('Données projet'!$B$11,Paramètres!$A$1:$I$89,3,0)*VLOOKUP('Données projet'!$B$11,Paramètres!$A$1:$I$89,5,0)</f>
        <v>1.8970328905384175</v>
      </c>
      <c r="BF16" s="14">
        <f t="shared" si="37"/>
        <v>0.81144485658720511</v>
      </c>
      <c r="BG16" s="22">
        <f t="shared" si="7"/>
        <v>4.7172654095771263</v>
      </c>
      <c r="BH16" s="62">
        <f t="shared" si="8"/>
        <v>204.25826566119594</v>
      </c>
      <c r="BI16" s="62">
        <f ca="1">AVERAGE(OFFSET($BH$3,0,0,'Données projet'!$E$11+1,1))-AVERAGE(OFFSET($H$3,0,0,'Données projet'!$E$11+1,1))</f>
        <v>475.48669758994771</v>
      </c>
      <c r="BJ16" s="62">
        <f t="shared" si="38"/>
        <v>249.93713224442419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7.35</v>
      </c>
      <c r="BY16" s="13">
        <f>IF('Données projet'!$A$114&gt;35,BY15+BX16-CG15,IF(A16&lt;'Données projet'!$A$114,$BV$205^A16,IF(A16='Données projet'!$A$114,'Données projet'!$B$114,BY15+BX16-CG15)))</f>
        <v>25.630452143592095</v>
      </c>
      <c r="BZ16" s="14">
        <f>BY16*VLOOKUP('Données projet'!$B$12,Paramètres!$A$1:$I$89,3,0)*VLOOKUP('Données projet'!$B$12,Paramètres!$A$1:$I$89,5,0)</f>
        <v>16.393237191041504</v>
      </c>
      <c r="CA16" s="14">
        <f t="shared" si="39"/>
        <v>5.4554403785025896</v>
      </c>
      <c r="CB16" s="22">
        <f t="shared" si="10"/>
        <v>38.053113433622627</v>
      </c>
      <c r="CC16" s="62">
        <f t="shared" si="11"/>
        <v>237.59411368524144</v>
      </c>
      <c r="CD16" s="62">
        <f ca="1">AVERAGE(OFFSET($CC$3,0,0,'Données projet'!$E$12+1,1))-AVERAGE(OFFSET($H$3,0,0,'Données projet'!$E$12+1,1))</f>
        <v>420.47368055225792</v>
      </c>
      <c r="CE16" s="62">
        <f t="shared" si="40"/>
        <v>372.56045490833549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244.22545806894149</v>
      </c>
      <c r="S17" s="62">
        <f ca="1">AVERAGE(OFFSET($R$3,0,0,'Données projet'!$E$9+1,1))-AVERAGE(OFFSET($H$3,0,0,'Données projet'!$E$9+1,1))</f>
        <v>551.36480098497589</v>
      </c>
      <c r="T17" s="62">
        <f t="shared" si="34"/>
        <v>297.32483725004136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6.9411764705882355</v>
      </c>
      <c r="AI17" s="14">
        <f>IF('Données projet'!$A$62&gt;35,AI16+AH17-AQ16,IF(A17&lt;'Données projet'!$A$62,$AF$205^A17,IF(A17='Données projet'!$A$62,'Données projet'!$B$62,AI16+AH17-AQ16)))</f>
        <v>50.845880300225161</v>
      </c>
      <c r="AJ17" s="14">
        <f>AI17*VLOOKUP('Données projet'!$B$10,Paramètres!$A$1:$I$89,3,0)*VLOOKUP('Données projet'!$B$10,Paramètres!$A$1:$I$89,5,0)</f>
        <v>30.405836419534648</v>
      </c>
      <c r="AK17" s="14">
        <f t="shared" si="35"/>
        <v>9.4165719705798292</v>
      </c>
      <c r="AL17" s="22">
        <f t="shared" si="4"/>
        <v>69.357361279449364</v>
      </c>
      <c r="AM17" s="62">
        <f t="shared" si="5"/>
        <v>271.38722305172257</v>
      </c>
      <c r="AN17" s="62">
        <f ca="1">AVERAGE(OFFSET($AM$3,0,0,'Données projet'!$E$10+1,1))-AVERAGE(OFFSET($H$3,0,0,'Données projet'!$E$10+1,1))</f>
        <v>388.30126110099434</v>
      </c>
      <c r="AO17" s="62">
        <f t="shared" si="36"/>
        <v>390.81417197867495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0.16666666666666666</v>
      </c>
      <c r="BD17" s="13">
        <f>IF('Données projet'!$A$88&gt;35,BD16+BC17-BL16,IF(A17&lt;'Données projet'!$A$88,$BA$205^A17,IF(A17='Données projet'!$A$88,'Données projet'!$B$88,BD16+BC17-BL16)))</f>
        <v>2.3501431108118167</v>
      </c>
      <c r="BE17" s="14">
        <f>BD17*VLOOKUP('Données projet'!$B$11,Paramètres!$A$1:$I$89,3,0)*VLOOKUP('Données projet'!$B$11,Paramètres!$A$1:$I$89,5,0)</f>
        <v>2.0164227890765387</v>
      </c>
      <c r="BF17" s="14">
        <f t="shared" si="37"/>
        <v>0.85640730687974276</v>
      </c>
      <c r="BG17" s="22">
        <f t="shared" si="7"/>
        <v>5.003512417123857</v>
      </c>
      <c r="BH17" s="62">
        <f t="shared" si="8"/>
        <v>207.03337418939705</v>
      </c>
      <c r="BI17" s="62">
        <f ca="1">AVERAGE(OFFSET($BH$3,0,0,'Données projet'!$E$11+1,1))-AVERAGE(OFFSET($H$3,0,0,'Données projet'!$E$11+1,1))</f>
        <v>475.48669758994771</v>
      </c>
      <c r="BJ17" s="62">
        <f t="shared" si="38"/>
        <v>249.93713224442419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7.35</v>
      </c>
      <c r="BY17" s="13">
        <f>IF('Données projet'!$A$114&gt;35,BY16+BX17-CG16,IF(A17&lt;'Données projet'!$A$114,$BV$205^A17,IF(A17='Données projet'!$A$114,'Données projet'!$B$114,BY16+BX17-CG16)))</f>
        <v>32.894412507360563</v>
      </c>
      <c r="BZ17" s="14">
        <f>BY17*VLOOKUP('Données projet'!$B$12,Paramètres!$A$1:$I$89,3,0)*VLOOKUP('Données projet'!$B$12,Paramètres!$A$1:$I$89,5,0)</f>
        <v>21.039266239707818</v>
      </c>
      <c r="CA17" s="14">
        <f t="shared" si="39"/>
        <v>6.8011428010647679</v>
      </c>
      <c r="CB17" s="22">
        <f t="shared" si="10"/>
        <v>48.488712412678922</v>
      </c>
      <c r="CC17" s="62">
        <f t="shared" si="11"/>
        <v>250.51857418495212</v>
      </c>
      <c r="CD17" s="62">
        <f ca="1">AVERAGE(OFFSET($CC$3,0,0,'Données projet'!$E$12+1,1))-AVERAGE(OFFSET($H$3,0,0,'Données projet'!$E$12+1,1))</f>
        <v>420.47368055225792</v>
      </c>
      <c r="CE17" s="62">
        <f t="shared" si="40"/>
        <v>372.56045490833549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256.46949622159559</v>
      </c>
      <c r="S18" s="62">
        <f ca="1">AVERAGE(OFFSET($R$3,0,0,'Données projet'!$E$9+1,1))-AVERAGE(OFFSET($H$3,0,0,'Données projet'!$E$9+1,1))</f>
        <v>551.36480098497589</v>
      </c>
      <c r="T18" s="62">
        <f t="shared" si="34"/>
        <v>297.32483725004136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6.9411764705882355</v>
      </c>
      <c r="AI18" s="14">
        <f>IF('Données projet'!$A$62&gt;35,AI17+AH18-AQ17,IF(A18&lt;'Données projet'!$A$62,$AF$205^A18,IF(A18='Données projet'!$A$62,'Données projet'!$B$62,AI17+AH18-AQ17)))</f>
        <v>67.317996620272581</v>
      </c>
      <c r="AJ18" s="14">
        <f>AI18*VLOOKUP('Données projet'!$B$10,Paramètres!$A$1:$I$89,3,0)*VLOOKUP('Données projet'!$B$10,Paramètres!$A$1:$I$89,5,0)</f>
        <v>40.256161978923011</v>
      </c>
      <c r="AK18" s="14">
        <f t="shared" si="35"/>
        <v>12.066517421720839</v>
      </c>
      <c r="AL18" s="22">
        <f t="shared" si="4"/>
        <v>91.128666622788032</v>
      </c>
      <c r="AM18" s="62">
        <f t="shared" si="5"/>
        <v>295.62541655566906</v>
      </c>
      <c r="AN18" s="62">
        <f ca="1">AVERAGE(OFFSET($AM$3,0,0,'Données projet'!$E$10+1,1))-AVERAGE(OFFSET($H$3,0,0,'Données projet'!$E$10+1,1))</f>
        <v>388.30126110099434</v>
      </c>
      <c r="AO18" s="62">
        <f t="shared" si="36"/>
        <v>390.81417197867495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0.16666666666666666</v>
      </c>
      <c r="BD18" s="13">
        <f>IF('Données projet'!$A$88&gt;35,BD17+BC18-BL17,IF(A18&lt;'Données projet'!$A$88,$BA$205^A18,IF(A18='Données projet'!$A$88,'Données projet'!$B$88,BD17+BC18-BL17)))</f>
        <v>2.4980495329668129</v>
      </c>
      <c r="BE18" s="14">
        <f>BD18*VLOOKUP('Données projet'!$B$11,Paramètres!$A$1:$I$89,3,0)*VLOOKUP('Données projet'!$B$11,Paramètres!$A$1:$I$89,5,0)</f>
        <v>2.1433264992855254</v>
      </c>
      <c r="BF18" s="14">
        <f t="shared" si="37"/>
        <v>0.90386114265571504</v>
      </c>
      <c r="BG18" s="22">
        <f t="shared" si="7"/>
        <v>5.3071851430476604</v>
      </c>
      <c r="BH18" s="62">
        <f t="shared" si="8"/>
        <v>209.80393507592871</v>
      </c>
      <c r="BI18" s="62">
        <f ca="1">AVERAGE(OFFSET($BH$3,0,0,'Données projet'!$E$11+1,1))-AVERAGE(OFFSET($H$3,0,0,'Données projet'!$E$11+1,1))</f>
        <v>475.48669758994771</v>
      </c>
      <c r="BJ18" s="62">
        <f t="shared" si="38"/>
        <v>249.93713224442419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7.35</v>
      </c>
      <c r="BY18" s="13">
        <f>IF('Données projet'!$A$114&gt;35,BY17+BX18-CG17,IF(A18&lt;'Données projet'!$A$114,$BV$205^A18,IF(A18='Données projet'!$A$114,'Données projet'!$B$114,BY17+BX18-CG17)))</f>
        <v>42.217061491633579</v>
      </c>
      <c r="BZ18" s="14">
        <f>BY18*VLOOKUP('Données projet'!$B$12,Paramètres!$A$1:$I$89,3,0)*VLOOKUP('Données projet'!$B$12,Paramètres!$A$1:$I$89,5,0)</f>
        <v>27.002032530048837</v>
      </c>
      <c r="CA18" s="14">
        <f t="shared" si="39"/>
        <v>8.478791846529413</v>
      </c>
      <c r="CB18" s="22">
        <f t="shared" si="10"/>
        <v>61.795769122540442</v>
      </c>
      <c r="CC18" s="62">
        <f t="shared" si="11"/>
        <v>266.29251905542151</v>
      </c>
      <c r="CD18" s="62">
        <f ca="1">AVERAGE(OFFSET($CC$3,0,0,'Données projet'!$E$12+1,1))-AVERAGE(OFFSET($H$3,0,0,'Données projet'!$E$12+1,1))</f>
        <v>420.47368055225792</v>
      </c>
      <c r="CE18" s="62">
        <f t="shared" si="40"/>
        <v>372.56045490833549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270.96474543463864</v>
      </c>
      <c r="S19" s="62">
        <f ca="1">AVERAGE(OFFSET($R$3,0,0,'Données projet'!$E$9+1,1))-AVERAGE(OFFSET($H$3,0,0,'Données projet'!$E$9+1,1))</f>
        <v>551.36480098497589</v>
      </c>
      <c r="T19" s="62">
        <f t="shared" si="34"/>
        <v>297.32483725004136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6.9411764705882355</v>
      </c>
      <c r="AI19" s="14">
        <f>IF('Données projet'!$A$62&gt;35,AI18+AH19-AQ18,IF(A19&lt;'Données projet'!$A$62,$AF$205^A19,IF(A19='Données projet'!$A$62,'Données projet'!$B$62,AI18+AH19-AQ18)))</f>
        <v>89.126447260014572</v>
      </c>
      <c r="AJ19" s="14">
        <f>AI19*VLOOKUP('Données projet'!$B$10,Paramètres!$A$1:$I$89,3,0)*VLOOKUP('Données projet'!$B$10,Paramètres!$A$1:$I$89,5,0)</f>
        <v>53.297615461488718</v>
      </c>
      <c r="AK19" s="14">
        <f t="shared" si="35"/>
        <v>15.46219188294774</v>
      </c>
      <c r="AL19" s="22">
        <f t="shared" si="4"/>
        <v>119.75666445822681</v>
      </c>
      <c r="AM19" s="62">
        <f t="shared" si="5"/>
        <v>326.69871038034086</v>
      </c>
      <c r="AN19" s="62">
        <f ca="1">AVERAGE(OFFSET($AM$3,0,0,'Données projet'!$E$10+1,1))-AVERAGE(OFFSET($H$3,0,0,'Données projet'!$E$10+1,1))</f>
        <v>388.30126110099434</v>
      </c>
      <c r="AO19" s="62">
        <f t="shared" si="36"/>
        <v>390.81417197867495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0.16666666666666666</v>
      </c>
      <c r="BD19" s="13">
        <f>IF('Données projet'!$A$88&gt;35,BD18+BC19-BL18,IF(A19&lt;'Données projet'!$A$88,$BA$205^A19,IF(A19='Données projet'!$A$88,'Données projet'!$B$88,BD18+BC19-BL18)))</f>
        <v>2.6552644562143808</v>
      </c>
      <c r="BE19" s="14">
        <f>BD19*VLOOKUP('Données projet'!$B$11,Paramètres!$A$1:$I$89,3,0)*VLOOKUP('Données projet'!$B$11,Paramètres!$A$1:$I$89,5,0)</f>
        <v>2.2782169034319391</v>
      </c>
      <c r="BF19" s="14">
        <f t="shared" si="37"/>
        <v>0.95394441247757078</v>
      </c>
      <c r="BG19" s="22">
        <f t="shared" si="7"/>
        <v>5.6293476252090633</v>
      </c>
      <c r="BH19" s="62">
        <f t="shared" si="8"/>
        <v>212.57139354732311</v>
      </c>
      <c r="BI19" s="62">
        <f ca="1">AVERAGE(OFFSET($BH$3,0,0,'Données projet'!$E$11+1,1))-AVERAGE(OFFSET($H$3,0,0,'Données projet'!$E$11+1,1))</f>
        <v>475.48669758994771</v>
      </c>
      <c r="BJ19" s="62">
        <f t="shared" si="38"/>
        <v>249.93713224442419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7.35</v>
      </c>
      <c r="BY19" s="13">
        <f>IF('Données projet'!$A$114&gt;35,BY18+BX19-CG18,IF(A19&lt;'Données projet'!$A$114,$BV$205^A19,IF(A19='Données projet'!$A$114,'Données projet'!$B$114,BY18+BX19-CG18)))</f>
        <v>54.181854763010627</v>
      </c>
      <c r="BZ19" s="14">
        <f>BY19*VLOOKUP('Données projet'!$B$12,Paramètres!$A$1:$I$89,3,0)*VLOOKUP('Données projet'!$B$12,Paramètres!$A$1:$I$89,5,0)</f>
        <v>34.654714306421596</v>
      </c>
      <c r="CA19" s="14">
        <f t="shared" si="39"/>
        <v>10.570269332606687</v>
      </c>
      <c r="CB19" s="22">
        <f t="shared" si="10"/>
        <v>78.766846504640924</v>
      </c>
      <c r="CC19" s="62">
        <f t="shared" si="11"/>
        <v>285.70889242675497</v>
      </c>
      <c r="CD19" s="62">
        <f ca="1">AVERAGE(OFFSET($CC$3,0,0,'Données projet'!$E$12+1,1))-AVERAGE(OFFSET($H$3,0,0,'Données projet'!$E$12+1,1))</f>
        <v>420.47368055225792</v>
      </c>
      <c r="CE19" s="62">
        <f t="shared" si="40"/>
        <v>372.56045490833549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288.24149918328646</v>
      </c>
      <c r="S20" s="62">
        <f ca="1">AVERAGE(OFFSET($R$3,0,0,'Données projet'!$E$9+1,1))-AVERAGE(OFFSET($H$3,0,0,'Données projet'!$E$9+1,1))</f>
        <v>551.36480098497589</v>
      </c>
      <c r="T20" s="62">
        <f t="shared" si="34"/>
        <v>297.32483725004136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projet'!$A$61:$I$81,2,0)</f>
        <v>118</v>
      </c>
      <c r="AG20" s="13">
        <f>VLOOKUP(A20,'Données projet'!$A$61:$I$81,9,0)</f>
        <v>6.9411764705882355</v>
      </c>
      <c r="AH20" s="13">
        <f t="array" ref="AH20">INDEX(AG:AG,MIN(IF(ISNUMBER(AG20:AG216),ROW(AG20:AG216),"")))</f>
        <v>6.9411764705882355</v>
      </c>
      <c r="AI20" s="14">
        <f>IF('Données projet'!$A$62&gt;35,AI19+AH20-AQ19,IF(A20&lt;'Données projet'!$A$62,$AF$205^A20,IF(A20='Données projet'!$A$62,'Données projet'!$B$62,AI19+AH20-AQ19)))</f>
        <v>118</v>
      </c>
      <c r="AJ20" s="14">
        <f>AI20*VLOOKUP('Données projet'!$B$10,Paramètres!$A$1:$I$89,3,0)*VLOOKUP('Données projet'!$B$10,Paramètres!$A$1:$I$89,5,0)</f>
        <v>70.564000000000007</v>
      </c>
      <c r="AK20" s="14">
        <f t="shared" si="35"/>
        <v>19.813453167086163</v>
      </c>
      <c r="AL20" s="22">
        <f t="shared" si="4"/>
        <v>157.40739759934175</v>
      </c>
      <c r="AM20" s="62">
        <f t="shared" si="5"/>
        <v>366.77352191521447</v>
      </c>
      <c r="AN20" s="62">
        <f ca="1">AVERAGE(OFFSET($AM$3,0,0,'Données projet'!$E$10+1,1))-AVERAGE(OFFSET($H$3,0,0,'Données projet'!$E$10+1,1))</f>
        <v>388.30126110099434</v>
      </c>
      <c r="AO20" s="62">
        <f t="shared" si="36"/>
        <v>390.81417197867495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0.16666666666666666</v>
      </c>
      <c r="BD20" s="13">
        <f>IF('Données projet'!$A$88&gt;35,BD19+BC20-BL19,IF(A20&lt;'Données projet'!$A$88,$BA$205^A20,IF(A20='Données projet'!$A$88,'Données projet'!$B$88,BD19+BC20-BL19)))</f>
        <v>2.8223737117262027</v>
      </c>
      <c r="BE20" s="14">
        <f>BD20*VLOOKUP('Données projet'!$B$11,Paramètres!$A$1:$I$89,3,0)*VLOOKUP('Données projet'!$B$11,Paramètres!$A$1:$I$89,5,0)</f>
        <v>2.4215966446610819</v>
      </c>
      <c r="BF20" s="14">
        <f t="shared" si="37"/>
        <v>1.0068028142280749</v>
      </c>
      <c r="BG20" s="22">
        <f t="shared" si="7"/>
        <v>5.9711290575652809</v>
      </c>
      <c r="BH20" s="62">
        <f t="shared" si="8"/>
        <v>215.33725337343802</v>
      </c>
      <c r="BI20" s="62">
        <f ca="1">AVERAGE(OFFSET($BH$3,0,0,'Données projet'!$E$11+1,1))-AVERAGE(OFFSET($H$3,0,0,'Données projet'!$E$11+1,1))</f>
        <v>475.48669758994771</v>
      </c>
      <c r="BJ20" s="62">
        <f t="shared" si="38"/>
        <v>249.93713224442419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7.35</v>
      </c>
      <c r="BY20" s="13">
        <f>IF('Données projet'!$A$114&gt;35,BY19+BX20-CG19,IF(A20&lt;'Données projet'!$A$114,$BV$205^A20,IF(A20='Données projet'!$A$114,'Données projet'!$B$114,BY19+BX20-CG19)))</f>
        <v>69.537605930762339</v>
      </c>
      <c r="BZ20" s="14">
        <f>BY20*VLOOKUP('Données projet'!$B$12,Paramètres!$A$1:$I$89,3,0)*VLOOKUP('Données projet'!$B$12,Paramètres!$A$1:$I$89,5,0)</f>
        <v>44.476252753315592</v>
      </c>
      <c r="CA20" s="14">
        <f t="shared" si="39"/>
        <v>13.177654999229597</v>
      </c>
      <c r="CB20" s="22">
        <f t="shared" si="10"/>
        <v>100.41388933568287</v>
      </c>
      <c r="CC20" s="62">
        <f t="shared" si="11"/>
        <v>309.78001365155558</v>
      </c>
      <c r="CD20" s="62">
        <f ca="1">AVERAGE(OFFSET($CC$3,0,0,'Données projet'!$E$12+1,1))-AVERAGE(OFFSET($H$3,0,0,'Données projet'!$E$12+1,1))</f>
        <v>420.47368055225792</v>
      </c>
      <c r="CE20" s="62">
        <f t="shared" si="40"/>
        <v>372.56045490833549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308.95393822316214</v>
      </c>
      <c r="S21" s="62">
        <f ca="1">AVERAGE(OFFSET($R$3,0,0,'Données projet'!$E$9+1,1))-AVERAGE(OFFSET($H$3,0,0,'Données projet'!$E$9+1,1))</f>
        <v>551.36480098497589</v>
      </c>
      <c r="T21" s="62">
        <f t="shared" si="34"/>
        <v>297.32483725004136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11.333333333333334</v>
      </c>
      <c r="AI21" s="14">
        <f>IF('Données projet'!$A$62&gt;35,AI20+AH21-AQ20,IF(A21&lt;'Données projet'!$A$62,$AF$205^A21,IF(A21='Données projet'!$A$62,'Données projet'!$B$62,AI20+AH21-AQ20)))</f>
        <v>129.33333333333334</v>
      </c>
      <c r="AJ21" s="14">
        <f>AI21*VLOOKUP('Données projet'!$B$10,Paramètres!$A$1:$I$89,3,0)*VLOOKUP('Données projet'!$B$10,Paramètres!$A$1:$I$89,5,0)</f>
        <v>77.341333333333338</v>
      </c>
      <c r="AK21" s="14">
        <f t="shared" si="35"/>
        <v>21.485853149316739</v>
      </c>
      <c r="AL21" s="22">
        <f t="shared" si="4"/>
        <v>172.12401645728221</v>
      </c>
      <c r="AM21" s="62">
        <f t="shared" si="5"/>
        <v>383.89336964928532</v>
      </c>
      <c r="AN21" s="62">
        <f ca="1">AVERAGE(OFFSET($AM$3,0,0,'Données projet'!$E$10+1,1))-AVERAGE(OFFSET($H$3,0,0,'Données projet'!$E$10+1,1))</f>
        <v>388.30126110099434</v>
      </c>
      <c r="AO21" s="62">
        <f t="shared" si="36"/>
        <v>390.81417197867495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>
        <f>VLOOKUP(A21,'Données projet'!$A$87:$I$107,2,0)</f>
        <v>3</v>
      </c>
      <c r="BB21" s="13">
        <f>VLOOKUP(A21,'Données projet'!$A$87:$I$107,9,0)</f>
        <v>0.16666666666666666</v>
      </c>
      <c r="BC21" s="13">
        <f t="array" ref="BC21">INDEX(BB:BB,MIN(IF(ISNUMBER(BB21:BB217),ROW(BB21:BB217),"")))</f>
        <v>0.16666666666666666</v>
      </c>
      <c r="BD21" s="13">
        <f>IF('Données projet'!$A$88&gt;35,BD20+BC21-BL20,IF(A21&lt;'Données projet'!$A$88,$BA$205^A21,IF(A21='Données projet'!$A$88,'Données projet'!$B$88,BD20+BC21-BL20)))</f>
        <v>3</v>
      </c>
      <c r="BE21" s="14">
        <f>BD21*VLOOKUP('Données projet'!$B$11,Paramètres!$A$1:$I$89,3,0)*VLOOKUP('Données projet'!$B$11,Paramètres!$A$1:$I$89,5,0)</f>
        <v>2.5740000000000003</v>
      </c>
      <c r="BF21" s="14">
        <f t="shared" si="37"/>
        <v>1.0625901189618896</v>
      </c>
      <c r="BG21" s="22">
        <f t="shared" si="7"/>
        <v>6.333727790525292</v>
      </c>
      <c r="BH21" s="62">
        <f t="shared" si="8"/>
        <v>218.10308098252841</v>
      </c>
      <c r="BI21" s="62">
        <f ca="1">AVERAGE(OFFSET($BH$3,0,0,'Données projet'!$E$11+1,1))-AVERAGE(OFFSET($H$3,0,0,'Données projet'!$E$11+1,1))</f>
        <v>475.48669758994771</v>
      </c>
      <c r="BJ21" s="62">
        <f t="shared" si="38"/>
        <v>249.93713224442419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7.35</v>
      </c>
      <c r="BY21" s="13">
        <f>IF('Données projet'!$A$114&gt;35,BY20+BX21-CG20,IF(A21&lt;'Données projet'!$A$114,$BV$205^A21,IF(A21='Données projet'!$A$114,'Données projet'!$B$114,BY20+BX21-CG20)))</f>
        <v>89.245350860213151</v>
      </c>
      <c r="BZ21" s="14">
        <f>BY21*VLOOKUP('Données projet'!$B$12,Paramètres!$A$1:$I$89,3,0)*VLOOKUP('Données projet'!$B$12,Paramètres!$A$1:$I$89,5,0)</f>
        <v>57.081326410192332</v>
      </c>
      <c r="CA21" s="14">
        <f t="shared" si="39"/>
        <v>16.428208763143939</v>
      </c>
      <c r="CB21" s="22">
        <f t="shared" si="10"/>
        <v>128.02910709356067</v>
      </c>
      <c r="CC21" s="62">
        <f t="shared" si="11"/>
        <v>339.79846028556381</v>
      </c>
      <c r="CD21" s="62">
        <f ca="1">AVERAGE(OFFSET($CC$3,0,0,'Données projet'!$E$12+1,1))-AVERAGE(OFFSET($H$3,0,0,'Données projet'!$E$12+1,1))</f>
        <v>420.47368055225792</v>
      </c>
      <c r="CE21" s="62">
        <f t="shared" si="40"/>
        <v>372.56045490833549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333.90916953776684</v>
      </c>
      <c r="S22" s="62">
        <f ca="1">AVERAGE(OFFSET($R$3,0,0,'Données projet'!$E$9+1,1))-AVERAGE(OFFSET($H$3,0,0,'Données projet'!$E$9+1,1))</f>
        <v>551.36480098497589</v>
      </c>
      <c r="T22" s="62">
        <f t="shared" si="34"/>
        <v>297.32483725004136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11.333333333333334</v>
      </c>
      <c r="AI22" s="14">
        <f>IF('Données projet'!$A$62&gt;35,AI21+AH22-AQ21,IF(A22&lt;'Données projet'!$A$62,$AF$205^A22,IF(A22='Données projet'!$A$62,'Données projet'!$B$62,AI21+AH22-AQ21)))</f>
        <v>140.66666666666669</v>
      </c>
      <c r="AJ22" s="14">
        <f>AI22*VLOOKUP('Données projet'!$B$10,Paramètres!$A$1:$I$89,3,0)*VLOOKUP('Données projet'!$B$10,Paramètres!$A$1:$I$89,5,0)</f>
        <v>84.118666666666684</v>
      </c>
      <c r="AK22" s="14">
        <f t="shared" si="35"/>
        <v>23.141258413604429</v>
      </c>
      <c r="AL22" s="22">
        <f t="shared" si="4"/>
        <v>186.81103618147219</v>
      </c>
      <c r="AM22" s="62">
        <f t="shared" si="5"/>
        <v>400.96313042449572</v>
      </c>
      <c r="AN22" s="62">
        <f ca="1">AVERAGE(OFFSET($AM$3,0,0,'Données projet'!$E$10+1,1))-AVERAGE(OFFSET($H$3,0,0,'Données projet'!$E$10+1,1))</f>
        <v>388.30126110099434</v>
      </c>
      <c r="AO22" s="62">
        <f t="shared" si="36"/>
        <v>390.81417197867495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4.333333333333333</v>
      </c>
      <c r="BD22" s="13">
        <f>IF('Données projet'!$A$88&gt;35,BD21+BC22-BL21,IF(A22&lt;'Données projet'!$A$88,$BA$205^A22,IF(A22='Données projet'!$A$88,'Données projet'!$B$88,BD21+BC22-BL21)))</f>
        <v>7.333333333333333</v>
      </c>
      <c r="BE22" s="14">
        <f>BD22*VLOOKUP('Données projet'!$B$11,Paramètres!$A$1:$I$89,3,0)*VLOOKUP('Données projet'!$B$11,Paramètres!$A$1:$I$89,5,0)</f>
        <v>6.2919999999999998</v>
      </c>
      <c r="BF22" s="14">
        <f t="shared" si="37"/>
        <v>2.3407863298509932</v>
      </c>
      <c r="BG22" s="22">
        <f t="shared" si="7"/>
        <v>15.035436191157146</v>
      </c>
      <c r="BH22" s="62">
        <f t="shared" si="8"/>
        <v>229.18753043418067</v>
      </c>
      <c r="BI22" s="62">
        <f ca="1">AVERAGE(OFFSET($BH$3,0,0,'Données projet'!$E$11+1,1))-AVERAGE(OFFSET($H$3,0,0,'Données projet'!$E$11+1,1))</f>
        <v>475.48669758994771</v>
      </c>
      <c r="BJ22" s="62">
        <f t="shared" si="38"/>
        <v>249.93713224442419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7.35</v>
      </c>
      <c r="BY22" s="13">
        <f>IF('Données projet'!$A$114&gt;35,BY21+BX22-CG21,IF(A22&lt;'Données projet'!$A$114,$BV$205^A22,IF(A22='Données projet'!$A$114,'Données projet'!$B$114,BY21+BX22-CG21)))</f>
        <v>114.53849386320441</v>
      </c>
      <c r="BZ22" s="14">
        <f>BY22*VLOOKUP('Données projet'!$B$12,Paramètres!$A$1:$I$89,3,0)*VLOOKUP('Données projet'!$B$12,Paramètres!$A$1:$I$89,5,0)</f>
        <v>73.258820674905536</v>
      </c>
      <c r="CA22" s="14">
        <f t="shared" si="39"/>
        <v>20.480581953406553</v>
      </c>
      <c r="CB22" s="22">
        <f t="shared" si="10"/>
        <v>163.26279291097688</v>
      </c>
      <c r="CC22" s="62">
        <f t="shared" si="11"/>
        <v>377.41488715400044</v>
      </c>
      <c r="CD22" s="62">
        <f ca="1">AVERAGE(OFFSET($CC$3,0,0,'Données projet'!$E$12+1,1))-AVERAGE(OFFSET($H$3,0,0,'Données projet'!$E$12+1,1))</f>
        <v>420.47368055225792</v>
      </c>
      <c r="CE22" s="62">
        <f t="shared" si="40"/>
        <v>372.56045490833549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364.10308709124286</v>
      </c>
      <c r="S23" s="62">
        <f ca="1">AVERAGE(OFFSET($R$3,0,0,'Données projet'!$E$9+1,1))-AVERAGE(OFFSET($H$3,0,0,'Données projet'!$E$9+1,1))</f>
        <v>551.36480098497589</v>
      </c>
      <c r="T23" s="62">
        <f t="shared" si="34"/>
        <v>297.32483725004136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152</v>
      </c>
      <c r="AG23" s="13">
        <f>VLOOKUP(A23,'Données projet'!$A$61:$I$81,9,0)</f>
        <v>11.333333333333334</v>
      </c>
      <c r="AH23" s="13">
        <f t="array" ref="AH23">INDEX(AG:AG,MIN(IF(ISNUMBER(AG23:AG219),ROW(AG23:AG219),"")))</f>
        <v>11.333333333333334</v>
      </c>
      <c r="AI23" s="14">
        <f>IF('Données projet'!$A$62&gt;35,AI22+AH23-AQ22,IF(A23&lt;'Données projet'!$A$62,$AF$205^A23,IF(A23='Données projet'!$A$62,'Données projet'!$B$62,AI22+AH23-AQ22)))</f>
        <v>152.00000000000003</v>
      </c>
      <c r="AJ23" s="14">
        <f>AI23*VLOOKUP('Données projet'!$B$10,Paramètres!$A$1:$I$89,3,0)*VLOOKUP('Données projet'!$B$10,Paramètres!$A$1:$I$89,5,0)</f>
        <v>90.896000000000029</v>
      </c>
      <c r="AK23" s="14">
        <f t="shared" si="35"/>
        <v>24.781193872187952</v>
      </c>
      <c r="AL23" s="22">
        <f t="shared" si="4"/>
        <v>201.47111266072739</v>
      </c>
      <c r="AM23" s="62">
        <f t="shared" si="5"/>
        <v>417.98581554762313</v>
      </c>
      <c r="AN23" s="62">
        <f ca="1">AVERAGE(OFFSET($AM$3,0,0,'Données projet'!$E$10+1,1))-AVERAGE(OFFSET($H$3,0,0,'Données projet'!$E$10+1,1))</f>
        <v>388.30126110099434</v>
      </c>
      <c r="AO23" s="62">
        <f t="shared" si="36"/>
        <v>390.81417197867495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4.333333333333333</v>
      </c>
      <c r="BD23" s="13">
        <f>IF('Données projet'!$A$88&gt;35,BD22+BC23-BL22,IF(A23&lt;'Données projet'!$A$88,$BA$205^A23,IF(A23='Données projet'!$A$88,'Données projet'!$B$88,BD22+BC23-BL22)))</f>
        <v>11.666666666666666</v>
      </c>
      <c r="BE23" s="14">
        <f>BD23*VLOOKUP('Données projet'!$B$11,Paramètres!$A$1:$I$89,3,0)*VLOOKUP('Données projet'!$B$11,Paramètres!$A$1:$I$89,5,0)</f>
        <v>10.010000000000002</v>
      </c>
      <c r="BF23" s="14">
        <f t="shared" si="37"/>
        <v>3.5280571841195489</v>
      </c>
      <c r="BG23" s="22">
        <f t="shared" si="7"/>
        <v>23.578782929008216</v>
      </c>
      <c r="BH23" s="62">
        <f t="shared" si="8"/>
        <v>240.09348581590393</v>
      </c>
      <c r="BI23" s="62">
        <f ca="1">AVERAGE(OFFSET($BH$3,0,0,'Données projet'!$E$11+1,1))-AVERAGE(OFFSET($H$3,0,0,'Données projet'!$E$11+1,1))</f>
        <v>475.48669758994771</v>
      </c>
      <c r="BJ23" s="62">
        <f t="shared" si="38"/>
        <v>249.93713224442419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147</v>
      </c>
      <c r="BW23" s="13">
        <f>VLOOKUP(A23,'Données projet'!$A$113:$I$133,9,0)</f>
        <v>7.35</v>
      </c>
      <c r="BX23" s="13">
        <f t="array" ref="BX23">INDEX(BW:BW,MIN(IF(ISNUMBER(BW23:BW219),ROW(BW23:BW219),"")))</f>
        <v>7.35</v>
      </c>
      <c r="BY23" s="13">
        <f>IF('Données projet'!$A$114&gt;35,BY22+BX23-CG22,IF(A23&lt;'Données projet'!$A$114,$BV$205^A23,IF(A23='Données projet'!$A$114,'Données projet'!$B$114,BY22+BX23-CG22)))</f>
        <v>147</v>
      </c>
      <c r="BZ23" s="14">
        <f>BY23*VLOOKUP('Données projet'!$B$12,Paramètres!$A$1:$I$89,3,0)*VLOOKUP('Données projet'!$B$12,Paramètres!$A$1:$I$89,5,0)</f>
        <v>94.021199999999993</v>
      </c>
      <c r="CA23" s="14">
        <f t="shared" si="39"/>
        <v>25.532560682527478</v>
      </c>
      <c r="CB23" s="22">
        <f t="shared" si="10"/>
        <v>208.22279985540203</v>
      </c>
      <c r="CC23" s="62">
        <f t="shared" si="11"/>
        <v>424.73750274229775</v>
      </c>
      <c r="CD23" s="62">
        <f ca="1">AVERAGE(OFFSET($CC$3,0,0,'Données projet'!$E$12+1,1))-AVERAGE(OFFSET($H$3,0,0,'Données projet'!$E$12+1,1))</f>
        <v>420.47368055225792</v>
      </c>
      <c r="CE23" s="62">
        <f t="shared" si="40"/>
        <v>372.56045490833549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53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80.2</v>
      </c>
      <c r="O24" s="14">
        <f>N24*VLOOKUP('Données projet'!$B$9,Paramètres!$A$1:$I$89,3,0)*VLOOKUP('Données projet'!$B$9,Paramètres!$A$1:$I$89,5,0)</f>
        <v>72.564959999999999</v>
      </c>
      <c r="P24" s="14">
        <f t="shared" si="33"/>
        <v>20.30908732150932</v>
      </c>
      <c r="Q24" s="22">
        <f t="shared" si="2"/>
        <v>161.75563241829539</v>
      </c>
      <c r="R24" s="62">
        <f t="shared" si="0"/>
        <v>380.61316079416974</v>
      </c>
      <c r="S24" s="62">
        <f ca="1">AVERAGE(OFFSET($R$3,0,0,'Données projet'!$E$9+1,1))-AVERAGE(OFFSET($H$3,0,0,'Données projet'!$E$9+1,1))</f>
        <v>551.36480098497589</v>
      </c>
      <c r="T24" s="62">
        <f t="shared" si="34"/>
        <v>297.32483725004136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16.399999999999999</v>
      </c>
      <c r="AI24" s="14">
        <f>IF('Données projet'!$A$62&gt;35,AI23+AH24-AQ23,IF(A24&lt;'Données projet'!$A$62,$AF$205^A24,IF(A24='Données projet'!$A$62,'Données projet'!$B$62,AI23+AH24-AQ23)))</f>
        <v>168.40000000000003</v>
      </c>
      <c r="AJ24" s="14">
        <f>AI24*VLOOKUP('Données projet'!$B$10,Paramètres!$A$1:$I$89,3,0)*VLOOKUP('Données projet'!$B$10,Paramètres!$A$1:$I$89,5,0)</f>
        <v>100.70320000000002</v>
      </c>
      <c r="AK24" s="14">
        <f t="shared" si="35"/>
        <v>27.129456867423627</v>
      </c>
      <c r="AL24" s="22">
        <f t="shared" si="4"/>
        <v>222.64187737742952</v>
      </c>
      <c r="AM24" s="62">
        <f t="shared" si="5"/>
        <v>441.4994057533039</v>
      </c>
      <c r="AN24" s="62">
        <f ca="1">AVERAGE(OFFSET($AM$3,0,0,'Données projet'!$E$10+1,1))-AVERAGE(OFFSET($H$3,0,0,'Données projet'!$E$10+1,1))</f>
        <v>388.30126110099434</v>
      </c>
      <c r="AO24" s="62">
        <f t="shared" si="36"/>
        <v>390.81417197867495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>
        <f>VLOOKUP(A24,'Données projet'!$A$87:$I$107,2,0)</f>
        <v>16</v>
      </c>
      <c r="BB24" s="13">
        <f>VLOOKUP(A24,'Données projet'!$A$87:$I$107,9,0)</f>
        <v>4.333333333333333</v>
      </c>
      <c r="BC24" s="13">
        <f t="array" ref="BC24">INDEX(BB:BB,MIN(IF(ISNUMBER(BB24:BB220),ROW(BB24:BB220),"")))</f>
        <v>4.333333333333333</v>
      </c>
      <c r="BD24" s="13">
        <f>IF('Données projet'!$A$88&gt;35,BD23+BC24-BL23,IF(A24&lt;'Données projet'!$A$88,$BA$205^A24,IF(A24='Données projet'!$A$88,'Données projet'!$B$88,BD23+BC24-BL23)))</f>
        <v>16</v>
      </c>
      <c r="BE24" s="14">
        <f>BD24*VLOOKUP('Données projet'!$B$11,Paramètres!$A$1:$I$89,3,0)*VLOOKUP('Données projet'!$B$11,Paramètres!$A$1:$I$89,5,0)</f>
        <v>13.728000000000002</v>
      </c>
      <c r="BF24" s="14">
        <f t="shared" si="37"/>
        <v>4.6638207366437312</v>
      </c>
      <c r="BG24" s="22">
        <f t="shared" si="7"/>
        <v>32.032421116321167</v>
      </c>
      <c r="BH24" s="62">
        <f t="shared" si="8"/>
        <v>250.88994949219554</v>
      </c>
      <c r="BI24" s="62">
        <f ca="1">AVERAGE(OFFSET($BH$3,0,0,'Données projet'!$E$11+1,1))-AVERAGE(OFFSET($H$3,0,0,'Données projet'!$E$11+1,1))</f>
        <v>475.48669758994771</v>
      </c>
      <c r="BJ24" s="62">
        <f t="shared" si="38"/>
        <v>249.93713224442419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13.2</v>
      </c>
      <c r="BY24" s="13">
        <f>IF('Données projet'!$A$114&gt;35,BY23+BX24-CG23,IF(A24&lt;'Données projet'!$A$114,$BV$205^A24,IF(A24='Données projet'!$A$114,'Données projet'!$B$114,BY23+BX24-CG23)))</f>
        <v>107.19999999999999</v>
      </c>
      <c r="BZ24" s="14">
        <f>BY24*VLOOKUP('Données projet'!$B$12,Paramètres!$A$1:$I$89,3,0)*VLOOKUP('Données projet'!$B$12,Paramètres!$A$1:$I$89,5,0)</f>
        <v>68.565119999999993</v>
      </c>
      <c r="CA24" s="14">
        <f t="shared" si="39"/>
        <v>19.316697914205065</v>
      </c>
      <c r="CB24" s="22">
        <f t="shared" si="10"/>
        <v>153.06083286724046</v>
      </c>
      <c r="CC24" s="62">
        <f t="shared" si="11"/>
        <v>371.91836124311487</v>
      </c>
      <c r="CD24" s="62">
        <f ca="1">AVERAGE(OFFSET($CC$3,0,0,'Données projet'!$E$12+1,1))-AVERAGE(OFFSET($H$3,0,0,'Données projet'!$E$12+1,1))</f>
        <v>420.47368055225792</v>
      </c>
      <c r="CE24" s="62">
        <f t="shared" si="40"/>
        <v>372.56045490833549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87.4</v>
      </c>
      <c r="O25" s="14">
        <f>N25*VLOOKUP('Données projet'!$B$9,Paramètres!$A$1:$I$89,3,0)*VLOOKUP('Données projet'!$B$9,Paramètres!$A$1:$I$89,5,0)</f>
        <v>79.079520000000002</v>
      </c>
      <c r="P25" s="14">
        <f t="shared" si="33"/>
        <v>21.911970621402002</v>
      </c>
      <c r="Q25" s="22">
        <f t="shared" si="2"/>
        <v>175.89351283227515</v>
      </c>
      <c r="R25" s="62">
        <f t="shared" si="0"/>
        <v>397.07442673574354</v>
      </c>
      <c r="S25" s="62">
        <f ca="1">AVERAGE(OFFSET($R$3,0,0,'Données projet'!$E$9+1,1))-AVERAGE(OFFSET($H$3,0,0,'Données projet'!$E$9+1,1))</f>
        <v>551.36480098497589</v>
      </c>
      <c r="T25" s="62">
        <f t="shared" si="34"/>
        <v>297.32483725004136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16.399999999999999</v>
      </c>
      <c r="AI25" s="14">
        <f>IF('Données projet'!$A$62&gt;35,AI24+AH25-AQ24,IF(A25&lt;'Données projet'!$A$62,$AF$205^A25,IF(A25='Données projet'!$A$62,'Données projet'!$B$62,AI24+AH25-AQ24)))</f>
        <v>184.80000000000004</v>
      </c>
      <c r="AJ25" s="14">
        <f>AI25*VLOOKUP('Données projet'!$B$10,Paramètres!$A$1:$I$89,3,0)*VLOOKUP('Données projet'!$B$10,Paramètres!$A$1:$I$89,5,0)</f>
        <v>110.51040000000003</v>
      </c>
      <c r="AK25" s="14">
        <f t="shared" si="35"/>
        <v>29.451206375056412</v>
      </c>
      <c r="AL25" s="22">
        <f t="shared" si="4"/>
        <v>243.76646443655662</v>
      </c>
      <c r="AM25" s="62">
        <f t="shared" si="5"/>
        <v>464.94737834002501</v>
      </c>
      <c r="AN25" s="62">
        <f ca="1">AVERAGE(OFFSET($AM$3,0,0,'Données projet'!$E$10+1,1))-AVERAGE(OFFSET($H$3,0,0,'Données projet'!$E$10+1,1))</f>
        <v>388.30126110099434</v>
      </c>
      <c r="AO25" s="62">
        <f t="shared" si="36"/>
        <v>390.81417197867495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10.166666666666666</v>
      </c>
      <c r="BD25" s="13">
        <f>IF('Données projet'!$A$88&gt;35,BD24+BC25-BL24,IF(A25&lt;'Données projet'!$A$88,$BA$205^A25,IF(A25='Données projet'!$A$88,'Données projet'!$B$88,BD24+BC25-BL24)))</f>
        <v>26.166666666666664</v>
      </c>
      <c r="BE25" s="14">
        <f>BD25*VLOOKUP('Données projet'!$B$11,Paramètres!$A$1:$I$89,3,0)*VLOOKUP('Données projet'!$B$11,Paramètres!$A$1:$I$89,5,0)</f>
        <v>22.451000000000001</v>
      </c>
      <c r="BF25" s="14">
        <f t="shared" si="37"/>
        <v>7.2028425332472539</v>
      </c>
      <c r="BG25" s="22">
        <f t="shared" si="7"/>
        <v>51.647109078738964</v>
      </c>
      <c r="BH25" s="62">
        <f t="shared" si="8"/>
        <v>272.82802298220736</v>
      </c>
      <c r="BI25" s="62">
        <f ca="1">AVERAGE(OFFSET($BH$3,0,0,'Données projet'!$E$11+1,1))-AVERAGE(OFFSET($H$3,0,0,'Données projet'!$E$11+1,1))</f>
        <v>475.48669758994771</v>
      </c>
      <c r="BJ25" s="62">
        <f t="shared" si="38"/>
        <v>249.93713224442419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13.2</v>
      </c>
      <c r="BY25" s="13">
        <f>IF('Données projet'!$A$114&gt;35,BY24+BX25-CG24,IF(A25&lt;'Données projet'!$A$114,$BV$205^A25,IF(A25='Données projet'!$A$114,'Données projet'!$B$114,BY24+BX25-CG24)))</f>
        <v>120.39999999999999</v>
      </c>
      <c r="BZ25" s="14">
        <f>BY25*VLOOKUP('Données projet'!$B$12,Paramètres!$A$1:$I$89,3,0)*VLOOKUP('Données projet'!$B$12,Paramètres!$A$1:$I$89,5,0)</f>
        <v>77.007839999999987</v>
      </c>
      <c r="CA25" s="14">
        <f t="shared" si="39"/>
        <v>21.403970296972933</v>
      </c>
      <c r="CB25" s="22">
        <f t="shared" si="10"/>
        <v>171.40056960056117</v>
      </c>
      <c r="CC25" s="62">
        <f t="shared" si="11"/>
        <v>392.58148350402956</v>
      </c>
      <c r="CD25" s="62">
        <f ca="1">AVERAGE(OFFSET($CC$3,0,0,'Données projet'!$E$12+1,1))-AVERAGE(OFFSET($H$3,0,0,'Données projet'!$E$12+1,1))</f>
        <v>420.47368055225792</v>
      </c>
      <c r="CE25" s="62">
        <f t="shared" si="40"/>
        <v>372.56045490833549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94.600000000000009</v>
      </c>
      <c r="O26" s="14">
        <f>N26*VLOOKUP('Données projet'!$B$9,Paramètres!$A$1:$I$89,3,0)*VLOOKUP('Données projet'!$B$9,Paramètres!$A$1:$I$89,5,0)</f>
        <v>85.594080000000005</v>
      </c>
      <c r="P26" s="14">
        <f t="shared" si="33"/>
        <v>23.499539031833248</v>
      </c>
      <c r="Q26" s="22">
        <f t="shared" si="2"/>
        <v>190.00471981377623</v>
      </c>
      <c r="R26" s="62">
        <f t="shared" si="0"/>
        <v>413.48991652332273</v>
      </c>
      <c r="S26" s="62">
        <f ca="1">AVERAGE(OFFSET($R$3,0,0,'Données projet'!$E$9+1,1))-AVERAGE(OFFSET($H$3,0,0,'Données projet'!$E$9+1,1))</f>
        <v>551.36480098497589</v>
      </c>
      <c r="T26" s="62">
        <f t="shared" si="34"/>
        <v>297.32483725004136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16.399999999999999</v>
      </c>
      <c r="AI26" s="14">
        <f>IF('Données projet'!$A$62&gt;35,AI25+AH26-AQ25,IF(A26&lt;'Données projet'!$A$62,$AF$205^A26,IF(A26='Données projet'!$A$62,'Données projet'!$B$62,AI25+AH26-AQ25)))</f>
        <v>201.20000000000005</v>
      </c>
      <c r="AJ26" s="14">
        <f>AI26*VLOOKUP('Données projet'!$B$10,Paramètres!$A$1:$I$89,3,0)*VLOOKUP('Données projet'!$B$10,Paramètres!$A$1:$I$89,5,0)</f>
        <v>120.31760000000003</v>
      </c>
      <c r="AK26" s="14">
        <f t="shared" si="35"/>
        <v>31.749062879547001</v>
      </c>
      <c r="AL26" s="22">
        <f t="shared" si="4"/>
        <v>264.84943784854443</v>
      </c>
      <c r="AM26" s="62">
        <f t="shared" si="5"/>
        <v>488.3346345580909</v>
      </c>
      <c r="AN26" s="62">
        <f ca="1">AVERAGE(OFFSET($AM$3,0,0,'Données projet'!$E$10+1,1))-AVERAGE(OFFSET($H$3,0,0,'Données projet'!$E$10+1,1))</f>
        <v>388.30126110099434</v>
      </c>
      <c r="AO26" s="62">
        <f t="shared" si="36"/>
        <v>390.81417197867495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10.166666666666666</v>
      </c>
      <c r="BD26" s="13">
        <f>IF('Données projet'!$A$88&gt;35,BD25+BC26-BL25,IF(A26&lt;'Données projet'!$A$88,$BA$205^A26,IF(A26='Données projet'!$A$88,'Données projet'!$B$88,BD25+BC26-BL25)))</f>
        <v>36.333333333333329</v>
      </c>
      <c r="BE26" s="14">
        <f>BD26*VLOOKUP('Données projet'!$B$11,Paramètres!$A$1:$I$89,3,0)*VLOOKUP('Données projet'!$B$11,Paramètres!$A$1:$I$89,5,0)</f>
        <v>31.173999999999996</v>
      </c>
      <c r="BF26" s="14">
        <f t="shared" si="37"/>
        <v>9.6264718529466755</v>
      </c>
      <c r="BG26" s="22">
        <f t="shared" si="7"/>
        <v>71.060821810548774</v>
      </c>
      <c r="BH26" s="62">
        <f t="shared" si="8"/>
        <v>294.54601852009529</v>
      </c>
      <c r="BI26" s="62">
        <f ca="1">AVERAGE(OFFSET($BH$3,0,0,'Données projet'!$E$11+1,1))-AVERAGE(OFFSET($H$3,0,0,'Données projet'!$E$11+1,1))</f>
        <v>475.48669758994771</v>
      </c>
      <c r="BJ26" s="62">
        <f t="shared" si="38"/>
        <v>249.93713224442419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13.2</v>
      </c>
      <c r="BY26" s="13">
        <f>IF('Données projet'!$A$114&gt;35,BY25+BX26-CG25,IF(A26&lt;'Données projet'!$A$114,$BV$205^A26,IF(A26='Données projet'!$A$114,'Données projet'!$B$114,BY25+BX26-CG25)))</f>
        <v>133.6</v>
      </c>
      <c r="BZ26" s="14">
        <f>BY26*VLOOKUP('Données projet'!$B$12,Paramètres!$A$1:$I$89,3,0)*VLOOKUP('Données projet'!$B$12,Paramètres!$A$1:$I$89,5,0)</f>
        <v>85.450559999999996</v>
      </c>
      <c r="CA26" s="14">
        <f t="shared" si="39"/>
        <v>23.464719241342369</v>
      </c>
      <c r="CB26" s="22">
        <f t="shared" si="10"/>
        <v>189.69411134533797</v>
      </c>
      <c r="CC26" s="62">
        <f t="shared" si="11"/>
        <v>413.17930805488447</v>
      </c>
      <c r="CD26" s="62">
        <f ca="1">AVERAGE(OFFSET($CC$3,0,0,'Données projet'!$E$12+1,1))-AVERAGE(OFFSET($H$3,0,0,'Données projet'!$E$12+1,1))</f>
        <v>420.47368055225792</v>
      </c>
      <c r="CE26" s="62">
        <f t="shared" si="40"/>
        <v>372.56045490833549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101.80000000000001</v>
      </c>
      <c r="O27" s="14">
        <f>N27*VLOOKUP('Données projet'!$B$9,Paramètres!$A$1:$I$89,3,0)*VLOOKUP('Données projet'!$B$9,Paramètres!$A$1:$I$89,5,0)</f>
        <v>92.108640000000008</v>
      </c>
      <c r="P27" s="14">
        <f t="shared" si="33"/>
        <v>25.073090701604293</v>
      </c>
      <c r="Q27" s="22">
        <f t="shared" si="2"/>
        <v>204.09151430529414</v>
      </c>
      <c r="R27" s="62">
        <f t="shared" si="0"/>
        <v>429.86222248891397</v>
      </c>
      <c r="S27" s="62">
        <f ca="1">AVERAGE(OFFSET($R$3,0,0,'Données projet'!$E$9+1,1))-AVERAGE(OFFSET($H$3,0,0,'Données projet'!$E$9+1,1))</f>
        <v>551.36480098497589</v>
      </c>
      <c r="T27" s="62">
        <f t="shared" si="34"/>
        <v>297.32483725004136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16.399999999999999</v>
      </c>
      <c r="AI27" s="14">
        <f>IF('Données projet'!$A$62&gt;35,AI26+AH27-AQ26,IF(A27&lt;'Données projet'!$A$62,$AF$205^A27,IF(A27='Données projet'!$A$62,'Données projet'!$B$62,AI26+AH27-AQ26)))</f>
        <v>217.60000000000005</v>
      </c>
      <c r="AJ27" s="14">
        <f>AI27*VLOOKUP('Données projet'!$B$10,Paramètres!$A$1:$I$89,3,0)*VLOOKUP('Données projet'!$B$10,Paramètres!$A$1:$I$89,5,0)</f>
        <v>130.12480000000005</v>
      </c>
      <c r="AK27" s="14">
        <f t="shared" si="35"/>
        <v>34.025195337491652</v>
      </c>
      <c r="AL27" s="22">
        <f t="shared" si="4"/>
        <v>285.89457521279797</v>
      </c>
      <c r="AM27" s="62">
        <f t="shared" si="5"/>
        <v>511.66528339641775</v>
      </c>
      <c r="AN27" s="62">
        <f ca="1">AVERAGE(OFFSET($AM$3,0,0,'Données projet'!$E$10+1,1))-AVERAGE(OFFSET($H$3,0,0,'Données projet'!$E$10+1,1))</f>
        <v>388.30126110099434</v>
      </c>
      <c r="AO27" s="62">
        <f t="shared" si="36"/>
        <v>390.81417197867495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10.166666666666666</v>
      </c>
      <c r="BD27" s="13">
        <f>IF('Données projet'!$A$88&gt;35,BD26+BC27-BL26,IF(A27&lt;'Données projet'!$A$88,$BA$205^A27,IF(A27='Données projet'!$A$88,'Données projet'!$B$88,BD26+BC27-BL26)))</f>
        <v>46.499999999999993</v>
      </c>
      <c r="BE27" s="14">
        <f>BD27*VLOOKUP('Données projet'!$B$11,Paramètres!$A$1:$I$89,3,0)*VLOOKUP('Données projet'!$B$11,Paramètres!$A$1:$I$89,5,0)</f>
        <v>39.896999999999998</v>
      </c>
      <c r="BF27" s="14">
        <f t="shared" si="37"/>
        <v>11.971342650084589</v>
      </c>
      <c r="BG27" s="22">
        <f t="shared" si="7"/>
        <v>90.337363448897307</v>
      </c>
      <c r="BH27" s="62">
        <f t="shared" si="8"/>
        <v>316.10807163251712</v>
      </c>
      <c r="BI27" s="62">
        <f ca="1">AVERAGE(OFFSET($BH$3,0,0,'Données projet'!$E$11+1,1))-AVERAGE(OFFSET($H$3,0,0,'Données projet'!$E$11+1,1))</f>
        <v>475.48669758994771</v>
      </c>
      <c r="BJ27" s="62">
        <f t="shared" si="38"/>
        <v>249.93713224442419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13.2</v>
      </c>
      <c r="BY27" s="13">
        <f>IF('Données projet'!$A$114&gt;35,BY26+BX27-CG26,IF(A27&lt;'Données projet'!$A$114,$BV$205^A27,IF(A27='Données projet'!$A$114,'Données projet'!$B$114,BY26+BX27-CG26)))</f>
        <v>146.79999999999998</v>
      </c>
      <c r="BZ27" s="14">
        <f>BY27*VLOOKUP('Données projet'!$B$12,Paramètres!$A$1:$I$89,3,0)*VLOOKUP('Données projet'!$B$12,Paramètres!$A$1:$I$89,5,0)</f>
        <v>93.89327999999999</v>
      </c>
      <c r="CA27" s="14">
        <f t="shared" si="39"/>
        <v>25.501863596877044</v>
      </c>
      <c r="CB27" s="22">
        <f t="shared" si="10"/>
        <v>207.94654176456083</v>
      </c>
      <c r="CC27" s="62">
        <f t="shared" si="11"/>
        <v>433.71724994818067</v>
      </c>
      <c r="CD27" s="62">
        <f ca="1">AVERAGE(OFFSET($CC$3,0,0,'Données projet'!$E$12+1,1))-AVERAGE(OFFSET($H$3,0,0,'Données projet'!$E$12+1,1))</f>
        <v>420.47368055225792</v>
      </c>
      <c r="CE27" s="62">
        <f t="shared" si="40"/>
        <v>372.56045490833549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109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109.00000000000001</v>
      </c>
      <c r="O28" s="14">
        <f>N28*VLOOKUP('Données projet'!$B$9,Paramètres!$A$1:$I$89,3,0)*VLOOKUP('Données projet'!$B$9,Paramètres!$A$1:$I$89,5,0)</f>
        <v>98.623200000000011</v>
      </c>
      <c r="P28" s="14">
        <f t="shared" si="33"/>
        <v>26.633729748944933</v>
      </c>
      <c r="Q28" s="22">
        <f t="shared" si="2"/>
        <v>218.15581931274576</v>
      </c>
      <c r="R28" s="62">
        <f t="shared" si="0"/>
        <v>446.19359327907785</v>
      </c>
      <c r="S28" s="62">
        <f ca="1">AVERAGE(OFFSET($R$3,0,0,'Données projet'!$E$9+1,1))-AVERAGE(OFFSET($H$3,0,0,'Données projet'!$E$9+1,1))</f>
        <v>551.36480098497589</v>
      </c>
      <c r="T28" s="62">
        <f t="shared" si="34"/>
        <v>297.32483725004136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34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234</v>
      </c>
      <c r="AG28" s="13">
        <f>VLOOKUP(A28,'Données projet'!$A$61:$I$81,9,0)</f>
        <v>16.399999999999999</v>
      </c>
      <c r="AH28" s="13">
        <f t="array" ref="AH28">INDEX(AG:AG,MIN(IF(ISNUMBER(AG28:AG224),ROW(AG28:AG224),"")))</f>
        <v>16.399999999999999</v>
      </c>
      <c r="AI28" s="14">
        <f>IF('Données projet'!$A$62&gt;35,AI27+AH28-AQ27,IF(A28&lt;'Données projet'!$A$62,$AF$205^A28,IF(A28='Données projet'!$A$62,'Données projet'!$B$62,AI27+AH28-AQ27)))</f>
        <v>234.00000000000006</v>
      </c>
      <c r="AJ28" s="14">
        <f>AI28*VLOOKUP('Données projet'!$B$10,Paramètres!$A$1:$I$89,3,0)*VLOOKUP('Données projet'!$B$10,Paramètres!$A$1:$I$89,5,0)</f>
        <v>139.93200000000004</v>
      </c>
      <c r="AK28" s="14">
        <f t="shared" si="35"/>
        <v>36.281427209452353</v>
      </c>
      <c r="AL28" s="22">
        <f t="shared" si="4"/>
        <v>306.9050523897962</v>
      </c>
      <c r="AM28" s="62">
        <f t="shared" si="5"/>
        <v>534.94282635612831</v>
      </c>
      <c r="AN28" s="62">
        <f ca="1">AVERAGE(OFFSET($AM$3,0,0,'Données projet'!$E$10+1,1))-AVERAGE(OFFSET($H$3,0,0,'Données projet'!$E$10+1,1))</f>
        <v>388.30126110099434</v>
      </c>
      <c r="AO28" s="62">
        <f t="shared" si="36"/>
        <v>390.81417197867495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66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10.166666666666666</v>
      </c>
      <c r="BD28" s="13">
        <f>IF('Données projet'!$A$88&gt;35,BD27+BC28-BL27,IF(A28&lt;'Données projet'!$A$88,$BA$205^A28,IF(A28='Données projet'!$A$88,'Données projet'!$B$88,BD27+BC28-BL27)))</f>
        <v>56.666666666666657</v>
      </c>
      <c r="BE28" s="14">
        <f>BD28*VLOOKUP('Données projet'!$B$11,Paramètres!$A$1:$I$89,3,0)*VLOOKUP('Données projet'!$B$11,Paramètres!$A$1:$I$89,5,0)</f>
        <v>48.62</v>
      </c>
      <c r="BF28" s="14">
        <f t="shared" si="37"/>
        <v>14.256790200344732</v>
      </c>
      <c r="BG28" s="22">
        <f t="shared" si="7"/>
        <v>109.51040959893373</v>
      </c>
      <c r="BH28" s="62">
        <f t="shared" si="8"/>
        <v>337.54818356526584</v>
      </c>
      <c r="BI28" s="62">
        <f ca="1">AVERAGE(OFFSET($BH$3,0,0,'Données projet'!$E$11+1,1))-AVERAGE(OFFSET($H$3,0,0,'Données projet'!$E$11+1,1))</f>
        <v>475.48669758994771</v>
      </c>
      <c r="BJ28" s="62">
        <f t="shared" si="38"/>
        <v>249.93713224442419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13.2</v>
      </c>
      <c r="BY28" s="13">
        <f>IF('Données projet'!$A$114&gt;35,BY27+BX28-CG27,IF(A28&lt;'Données projet'!$A$114,$BV$205^A28,IF(A28='Données projet'!$A$114,'Données projet'!$B$114,BY27+BX28-CG27)))</f>
        <v>159.99999999999997</v>
      </c>
      <c r="BZ28" s="14">
        <f>BY28*VLOOKUP('Données projet'!$B$12,Paramètres!$A$1:$I$89,3,0)*VLOOKUP('Données projet'!$B$12,Paramètres!$A$1:$I$89,5,0)</f>
        <v>102.33599999999997</v>
      </c>
      <c r="CA28" s="14">
        <f t="shared" si="39"/>
        <v>27.517767215282735</v>
      </c>
      <c r="CB28" s="22">
        <f t="shared" si="10"/>
        <v>226.1619778999507</v>
      </c>
      <c r="CC28" s="62">
        <f t="shared" si="11"/>
        <v>454.19975186628278</v>
      </c>
      <c r="CD28" s="62">
        <f ca="1">AVERAGE(OFFSET($CC$3,0,0,'Données projet'!$E$12+1,1))-AVERAGE(OFFSET($H$3,0,0,'Données projet'!$E$12+1,1))</f>
        <v>420.47368055225792</v>
      </c>
      <c r="CE28" s="62">
        <f t="shared" si="40"/>
        <v>372.56045490833549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399.90016633808318</v>
      </c>
      <c r="S29" s="62">
        <f ca="1">AVERAGE(OFFSET($R$3,0,0,'Données projet'!$E$9+1,1))-AVERAGE(OFFSET($H$3,0,0,'Données projet'!$E$9+1,1))</f>
        <v>551.36480098497589</v>
      </c>
      <c r="T29" s="62">
        <f t="shared" si="34"/>
        <v>297.32483725004136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17.600000000000001</v>
      </c>
      <c r="AI29" s="14">
        <f>IF('Données projet'!$A$62&gt;35,AI28+AH29-AQ28,IF(A29&lt;'Données projet'!$A$62,$AF$205^A29,IF(A29='Données projet'!$A$62,'Données projet'!$B$62,AI28+AH29-AQ28)))</f>
        <v>185.60000000000005</v>
      </c>
      <c r="AJ29" s="14">
        <f>AI29*VLOOKUP('Données projet'!$B$10,Paramètres!$A$1:$I$89,3,0)*VLOOKUP('Données projet'!$B$10,Paramètres!$A$1:$I$89,5,0)</f>
        <v>110.98880000000004</v>
      </c>
      <c r="AK29" s="14">
        <f t="shared" si="35"/>
        <v>29.56383208945169</v>
      </c>
      <c r="AL29" s="22">
        <f t="shared" si="4"/>
        <v>244.79583422246174</v>
      </c>
      <c r="AM29" s="62">
        <f t="shared" si="5"/>
        <v>475.08254827165194</v>
      </c>
      <c r="AN29" s="62">
        <f ca="1">AVERAGE(OFFSET($AM$3,0,0,'Données projet'!$E$10+1,1))-AVERAGE(OFFSET($H$3,0,0,'Données projet'!$E$10+1,1))</f>
        <v>388.30126110099434</v>
      </c>
      <c r="AO29" s="62">
        <f t="shared" si="36"/>
        <v>390.81417197867495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10.166666666666666</v>
      </c>
      <c r="BD29" s="13">
        <f>IF('Données projet'!$A$88&gt;35,BD28+BC29-BL28,IF(A29&lt;'Données projet'!$A$88,$BA$205^A29,IF(A29='Données projet'!$A$88,'Données projet'!$B$88,BD28+BC29-BL28)))</f>
        <v>66.833333333333329</v>
      </c>
      <c r="BE29" s="14">
        <f>BD29*VLOOKUP('Données projet'!$B$11,Paramètres!$A$1:$I$89,3,0)*VLOOKUP('Données projet'!$B$11,Paramètres!$A$1:$I$89,5,0)</f>
        <v>57.343000000000004</v>
      </c>
      <c r="BF29" s="14">
        <f t="shared" si="37"/>
        <v>16.494735476368202</v>
      </c>
      <c r="BG29" s="22">
        <f t="shared" si="7"/>
        <v>128.6007226213413</v>
      </c>
      <c r="BH29" s="62">
        <f t="shared" si="8"/>
        <v>358.88743667053149</v>
      </c>
      <c r="BI29" s="62">
        <f ca="1">AVERAGE(OFFSET($BH$3,0,0,'Données projet'!$E$11+1,1))-AVERAGE(OFFSET($H$3,0,0,'Données projet'!$E$11+1,1))</f>
        <v>475.48669758994771</v>
      </c>
      <c r="BJ29" s="62">
        <f t="shared" si="38"/>
        <v>249.93713224442419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13.2</v>
      </c>
      <c r="BY29" s="13">
        <f>IF('Données projet'!$A$114&gt;35,BY28+BX29-CG28,IF(A29&lt;'Données projet'!$A$114,$BV$205^A29,IF(A29='Données projet'!$A$114,'Données projet'!$B$114,BY28+BX29-CG28)))</f>
        <v>173.19999999999996</v>
      </c>
      <c r="BZ29" s="14">
        <f>BY29*VLOOKUP('Données projet'!$B$12,Paramètres!$A$1:$I$89,3,0)*VLOOKUP('Données projet'!$B$12,Paramètres!$A$1:$I$89,5,0)</f>
        <v>110.77871999999998</v>
      </c>
      <c r="CA29" s="14">
        <f t="shared" si="39"/>
        <v>29.514381683572299</v>
      </c>
      <c r="CB29" s="22">
        <f t="shared" si="10"/>
        <v>244.34381876555503</v>
      </c>
      <c r="CC29" s="62">
        <f t="shared" si="11"/>
        <v>474.63053281474521</v>
      </c>
      <c r="CD29" s="62">
        <f ca="1">AVERAGE(OFFSET($CC$3,0,0,'Données projet'!$E$12+1,1))-AVERAGE(OFFSET($H$3,0,0,'Données projet'!$E$12+1,1))</f>
        <v>420.47368055225792</v>
      </c>
      <c r="CE29" s="62">
        <f t="shared" si="40"/>
        <v>372.56045490833549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420.17244660972904</v>
      </c>
      <c r="S30" s="62">
        <f ca="1">AVERAGE(OFFSET($R$3,0,0,'Données projet'!$E$9+1,1))-AVERAGE(OFFSET($H$3,0,0,'Données projet'!$E$9+1,1))</f>
        <v>551.36480098497589</v>
      </c>
      <c r="T30" s="62">
        <f t="shared" si="34"/>
        <v>297.32483725004136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17.600000000000001</v>
      </c>
      <c r="AI30" s="14">
        <f>IF('Données projet'!$A$62&gt;35,AI29+AH30-AQ29,IF(A30&lt;'Données projet'!$A$62,$AF$205^A30,IF(A30='Données projet'!$A$62,'Données projet'!$B$62,AI29+AH30-AQ29)))</f>
        <v>203.20000000000005</v>
      </c>
      <c r="AJ30" s="14">
        <f>AI30*VLOOKUP('Données projet'!$B$10,Paramètres!$A$1:$I$89,3,0)*VLOOKUP('Données projet'!$B$10,Paramètres!$A$1:$I$89,5,0)</f>
        <v>121.51360000000004</v>
      </c>
      <c r="AK30" s="14">
        <f t="shared" si="35"/>
        <v>32.027763694063836</v>
      </c>
      <c r="AL30" s="22">
        <f t="shared" si="4"/>
        <v>267.4178751004946</v>
      </c>
      <c r="AM30" s="62">
        <f t="shared" si="5"/>
        <v>499.9357179730581</v>
      </c>
      <c r="AN30" s="62">
        <f ca="1">AVERAGE(OFFSET($AM$3,0,0,'Données projet'!$E$10+1,1))-AVERAGE(OFFSET($H$3,0,0,'Données projet'!$E$10+1,1))</f>
        <v>388.30126110099434</v>
      </c>
      <c r="AO30" s="62">
        <f t="shared" si="36"/>
        <v>390.81417197867495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>
        <f>VLOOKUP(A30,'Données projet'!$A$87:$I$107,2,0)</f>
        <v>77</v>
      </c>
      <c r="BB30" s="13">
        <f>VLOOKUP(A30,'Données projet'!$A$87:$I$107,9,0)</f>
        <v>10.166666666666666</v>
      </c>
      <c r="BC30" s="13">
        <f t="array" ref="BC30">INDEX(BB:BB,MIN(IF(ISNUMBER(BB30:BB226),ROW(BB30:BB226),"")))</f>
        <v>10.166666666666666</v>
      </c>
      <c r="BD30" s="13">
        <f>IF('Données projet'!$A$88&gt;35,BD29+BC30-BL29,IF(A30&lt;'Données projet'!$A$88,$BA$205^A30,IF(A30='Données projet'!$A$88,'Données projet'!$B$88,BD29+BC30-BL29)))</f>
        <v>77</v>
      </c>
      <c r="BE30" s="14">
        <f>BD30*VLOOKUP('Données projet'!$B$11,Paramètres!$A$1:$I$89,3,0)*VLOOKUP('Données projet'!$B$11,Paramètres!$A$1:$I$89,5,0)</f>
        <v>66.066000000000003</v>
      </c>
      <c r="BF30" s="14">
        <f t="shared" si="37"/>
        <v>18.69324238096624</v>
      </c>
      <c r="BG30" s="22">
        <f t="shared" si="7"/>
        <v>147.62234714684953</v>
      </c>
      <c r="BH30" s="62">
        <f t="shared" si="8"/>
        <v>380.14019001941301</v>
      </c>
      <c r="BI30" s="62">
        <f ca="1">AVERAGE(OFFSET($BH$3,0,0,'Données projet'!$E$11+1,1))-AVERAGE(OFFSET($H$3,0,0,'Données projet'!$E$11+1,1))</f>
        <v>475.48669758994771</v>
      </c>
      <c r="BJ30" s="62">
        <f t="shared" si="38"/>
        <v>249.93713224442419</v>
      </c>
      <c r="BK30" s="16">
        <f>IF(ISNA(VLOOKUP(A30,'Données projet'!$A$87:$I$107,3,0)),0,VLOOKUP(A30,'Données projet'!$A$87:$I$107,3,0))</f>
        <v>1</v>
      </c>
      <c r="BL30" s="16">
        <f>IF(ISNA(VLOOKUP(A30,'Données projet'!$A$87:$I$107,4,0)),0,VLOOKUP(A30,'Données projet'!$A$87:$I$107,4,0))</f>
        <v>12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13.2</v>
      </c>
      <c r="BY30" s="13">
        <f>IF('Données projet'!$A$114&gt;35,BY29+BX30-CG29,IF(A30&lt;'Données projet'!$A$114,$BV$205^A30,IF(A30='Données projet'!$A$114,'Données projet'!$B$114,BY29+BX30-CG29)))</f>
        <v>186.39999999999995</v>
      </c>
      <c r="BZ30" s="14">
        <f>BY30*VLOOKUP('Données projet'!$B$12,Paramètres!$A$1:$I$89,3,0)*VLOOKUP('Données projet'!$B$12,Paramètres!$A$1:$I$89,5,0)</f>
        <v>119.22143999999997</v>
      </c>
      <c r="CA30" s="14">
        <f t="shared" si="39"/>
        <v>31.49334422611966</v>
      </c>
      <c r="CB30" s="22">
        <f t="shared" si="10"/>
        <v>262.49491586049169</v>
      </c>
      <c r="CC30" s="62">
        <f t="shared" si="11"/>
        <v>495.01275873305519</v>
      </c>
      <c r="CD30" s="62">
        <f ca="1">AVERAGE(OFFSET($CC$3,0,0,'Données projet'!$E$12+1,1))-AVERAGE(OFFSET($H$3,0,0,'Données projet'!$E$12+1,1))</f>
        <v>420.47368055225792</v>
      </c>
      <c r="CE30" s="62">
        <f t="shared" si="40"/>
        <v>372.56045490833549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440.3867625099287</v>
      </c>
      <c r="S31" s="62">
        <f ca="1">AVERAGE(OFFSET($R$3,0,0,'Données projet'!$E$9+1,1))-AVERAGE(OFFSET($H$3,0,0,'Données projet'!$E$9+1,1))</f>
        <v>551.36480098497589</v>
      </c>
      <c r="T31" s="62">
        <f t="shared" si="34"/>
        <v>297.32483725004136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17.600000000000001</v>
      </c>
      <c r="AI31" s="14">
        <f>IF('Données projet'!$A$62&gt;35,AI30+AH31-AQ30,IF(A31&lt;'Données projet'!$A$62,$AF$205^A31,IF(A31='Données projet'!$A$62,'Données projet'!$B$62,AI30+AH31-AQ30)))</f>
        <v>220.80000000000004</v>
      </c>
      <c r="AJ31" s="14">
        <f>AI31*VLOOKUP('Données projet'!$B$10,Paramètres!$A$1:$I$89,3,0)*VLOOKUP('Données projet'!$B$10,Paramètres!$A$1:$I$89,5,0)</f>
        <v>132.03840000000005</v>
      </c>
      <c r="AK31" s="14">
        <f t="shared" si="35"/>
        <v>34.466946374534373</v>
      </c>
      <c r="AL31" s="22">
        <f t="shared" si="4"/>
        <v>289.99681160231415</v>
      </c>
      <c r="AM31" s="62">
        <f t="shared" si="5"/>
        <v>524.72828102429821</v>
      </c>
      <c r="AN31" s="62">
        <f ca="1">AVERAGE(OFFSET($AM$3,0,0,'Données projet'!$E$10+1,1))-AVERAGE(OFFSET($H$3,0,0,'Données projet'!$E$10+1,1))</f>
        <v>388.30126110099434</v>
      </c>
      <c r="AO31" s="62">
        <f t="shared" si="36"/>
        <v>390.81417197867495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12.333333333333334</v>
      </c>
      <c r="BD31" s="13">
        <f>IF('Données projet'!$A$88&gt;35,BD30+BC31-BL30,IF(A31&lt;'Données projet'!$A$88,$BA$205^A31,IF(A31='Données projet'!$A$88,'Données projet'!$B$88,BD30+BC31-BL30)))</f>
        <v>77.333333333333329</v>
      </c>
      <c r="BE31" s="14">
        <f>BD31*VLOOKUP('Données projet'!$B$11,Paramètres!$A$1:$I$89,3,0)*VLOOKUP('Données projet'!$B$11,Paramètres!$A$1:$I$89,5,0)</f>
        <v>66.352000000000004</v>
      </c>
      <c r="BF31" s="14">
        <f t="shared" si="37"/>
        <v>18.764728069895565</v>
      </c>
      <c r="BG31" s="22">
        <f t="shared" si="7"/>
        <v>148.24496805506811</v>
      </c>
      <c r="BH31" s="62">
        <f t="shared" si="8"/>
        <v>382.97643747705217</v>
      </c>
      <c r="BI31" s="62">
        <f ca="1">AVERAGE(OFFSET($BH$3,0,0,'Données projet'!$E$11+1,1))-AVERAGE(OFFSET($H$3,0,0,'Données projet'!$E$11+1,1))</f>
        <v>475.48669758994771</v>
      </c>
      <c r="BJ31" s="62">
        <f t="shared" si="38"/>
        <v>249.93713224442419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13.2</v>
      </c>
      <c r="BY31" s="13">
        <f>IF('Données projet'!$A$114&gt;35,BY30+BX31-CG30,IF(A31&lt;'Données projet'!$A$114,$BV$205^A31,IF(A31='Données projet'!$A$114,'Données projet'!$B$114,BY30+BX31-CG30)))</f>
        <v>199.59999999999994</v>
      </c>
      <c r="BZ31" s="14">
        <f>BY31*VLOOKUP('Données projet'!$B$12,Paramètres!$A$1:$I$89,3,0)*VLOOKUP('Données projet'!$B$12,Paramètres!$A$1:$I$89,5,0)</f>
        <v>127.66415999999995</v>
      </c>
      <c r="CA31" s="14">
        <f t="shared" si="39"/>
        <v>33.456047049313696</v>
      </c>
      <c r="CB31" s="22">
        <f t="shared" si="10"/>
        <v>280.61769394422129</v>
      </c>
      <c r="CC31" s="62">
        <f t="shared" si="11"/>
        <v>515.3491633662054</v>
      </c>
      <c r="CD31" s="62">
        <f ca="1">AVERAGE(OFFSET($CC$3,0,0,'Données projet'!$E$12+1,1))-AVERAGE(OFFSET($H$3,0,0,'Données projet'!$E$12+1,1))</f>
        <v>420.47368055225792</v>
      </c>
      <c r="CE31" s="62">
        <f t="shared" si="40"/>
        <v>372.56045490833549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460.54745843353226</v>
      </c>
      <c r="S32" s="62">
        <f ca="1">AVERAGE(OFFSET($R$3,0,0,'Données projet'!$E$9+1,1))-AVERAGE(OFFSET($H$3,0,0,'Données projet'!$E$9+1,1))</f>
        <v>551.36480098497589</v>
      </c>
      <c r="T32" s="62">
        <f t="shared" si="34"/>
        <v>297.32483725004136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17.600000000000001</v>
      </c>
      <c r="AI32" s="14">
        <f>IF('Données projet'!$A$62&gt;35,AI31+AH32-AQ31,IF(A32&lt;'Données projet'!$A$62,$AF$205^A32,IF(A32='Données projet'!$A$62,'Données projet'!$B$62,AI31+AH32-AQ31)))</f>
        <v>238.40000000000003</v>
      </c>
      <c r="AJ32" s="14">
        <f>AI32*VLOOKUP('Données projet'!$B$10,Paramètres!$A$1:$I$89,3,0)*VLOOKUP('Données projet'!$B$10,Paramètres!$A$1:$I$89,5,0)</f>
        <v>142.56320000000002</v>
      </c>
      <c r="AK32" s="14">
        <f t="shared" si="35"/>
        <v>36.883577154665602</v>
      </c>
      <c r="AL32" s="22">
        <f t="shared" si="4"/>
        <v>312.53647021104263</v>
      </c>
      <c r="AM32" s="62">
        <f t="shared" si="5"/>
        <v>549.4643675338184</v>
      </c>
      <c r="AN32" s="62">
        <f ca="1">AVERAGE(OFFSET($AM$3,0,0,'Données projet'!$E$10+1,1))-AVERAGE(OFFSET($H$3,0,0,'Données projet'!$E$10+1,1))</f>
        <v>388.30126110099434</v>
      </c>
      <c r="AO32" s="62">
        <f t="shared" si="36"/>
        <v>390.81417197867495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12.333333333333334</v>
      </c>
      <c r="BD32" s="13">
        <f>IF('Données projet'!$A$88&gt;35,BD31+BC32-BL31,IF(A32&lt;'Données projet'!$A$88,$BA$205^A32,IF(A32='Données projet'!$A$88,'Données projet'!$B$88,BD31+BC32-BL31)))</f>
        <v>89.666666666666657</v>
      </c>
      <c r="BE32" s="14">
        <f>BD32*VLOOKUP('Données projet'!$B$11,Paramètres!$A$1:$I$89,3,0)*VLOOKUP('Données projet'!$B$11,Paramètres!$A$1:$I$89,5,0)</f>
        <v>76.933999999999997</v>
      </c>
      <c r="BF32" s="14">
        <f t="shared" si="37"/>
        <v>21.385834734197029</v>
      </c>
      <c r="BG32" s="22">
        <f t="shared" si="7"/>
        <v>171.24037882872651</v>
      </c>
      <c r="BH32" s="62">
        <f t="shared" si="8"/>
        <v>408.16827615150237</v>
      </c>
      <c r="BI32" s="62">
        <f ca="1">AVERAGE(OFFSET($BH$3,0,0,'Données projet'!$E$11+1,1))-AVERAGE(OFFSET($H$3,0,0,'Données projet'!$E$11+1,1))</f>
        <v>475.48669758994771</v>
      </c>
      <c r="BJ32" s="62">
        <f t="shared" si="38"/>
        <v>249.93713224442419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13.2</v>
      </c>
      <c r="BY32" s="13">
        <f>IF('Données projet'!$A$114&gt;35,BY31+BX32-CG31,IF(A32&lt;'Données projet'!$A$114,$BV$205^A32,IF(A32='Données projet'!$A$114,'Données projet'!$B$114,BY31+BX32-CG31)))</f>
        <v>212.79999999999993</v>
      </c>
      <c r="BZ32" s="14">
        <f>BY32*VLOOKUP('Données projet'!$B$12,Paramètres!$A$1:$I$89,3,0)*VLOOKUP('Données projet'!$B$12,Paramètres!$A$1:$I$89,5,0)</f>
        <v>136.10687999999993</v>
      </c>
      <c r="CA32" s="14">
        <f t="shared" si="39"/>
        <v>35.403687803916242</v>
      </c>
      <c r="CB32" s="22">
        <f t="shared" si="10"/>
        <v>298.71423892515395</v>
      </c>
      <c r="CC32" s="62">
        <f t="shared" si="11"/>
        <v>535.64213624792978</v>
      </c>
      <c r="CD32" s="62">
        <f ca="1">AVERAGE(OFFSET($CC$3,0,0,'Données projet'!$E$12+1,1))-AVERAGE(OFFSET($H$3,0,0,'Données projet'!$E$12+1,1))</f>
        <v>420.47368055225792</v>
      </c>
      <c r="CE32" s="62">
        <f t="shared" si="40"/>
        <v>372.56045490833549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480.65817058337467</v>
      </c>
      <c r="S33" s="62">
        <f ca="1">AVERAGE(OFFSET($R$3,0,0,'Données projet'!$E$9+1,1))-AVERAGE(OFFSET($H$3,0,0,'Données projet'!$E$9+1,1))</f>
        <v>551.36480098497589</v>
      </c>
      <c r="T33" s="62">
        <f t="shared" si="34"/>
        <v>297.32483725004136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256</v>
      </c>
      <c r="AG33" s="13">
        <f>VLOOKUP(A33,'Données projet'!$A$61:$I$81,9,0)</f>
        <v>17.600000000000001</v>
      </c>
      <c r="AH33" s="13">
        <f t="array" ref="AH33">INDEX(AG:AG,MIN(IF(ISNUMBER(AG33:AG229),ROW(AG33:AG229),"")))</f>
        <v>17.600000000000001</v>
      </c>
      <c r="AI33" s="14">
        <f>IF('Données projet'!$A$62&gt;35,AI32+AH33-AQ32,IF(A33&lt;'Données projet'!$A$62,$AF$205^A33,IF(A33='Données projet'!$A$62,'Données projet'!$B$62,AI32+AH33-AQ32)))</f>
        <v>256.00000000000006</v>
      </c>
      <c r="AJ33" s="14">
        <f>AI33*VLOOKUP('Données projet'!$B$10,Paramètres!$A$1:$I$89,3,0)*VLOOKUP('Données projet'!$B$10,Paramètres!$A$1:$I$89,5,0)</f>
        <v>153.08800000000005</v>
      </c>
      <c r="AK33" s="14">
        <f t="shared" si="35"/>
        <v>39.27951026543515</v>
      </c>
      <c r="AL33" s="22">
        <f t="shared" si="4"/>
        <v>335.04008037896637</v>
      </c>
      <c r="AM33" s="62">
        <f t="shared" si="5"/>
        <v>574.14750531200832</v>
      </c>
      <c r="AN33" s="62">
        <f ca="1">AVERAGE(OFFSET($AM$3,0,0,'Données projet'!$E$10+1,1))-AVERAGE(OFFSET($H$3,0,0,'Données projet'!$E$10+1,1))</f>
        <v>388.30126110099434</v>
      </c>
      <c r="AO33" s="62">
        <f t="shared" si="36"/>
        <v>390.81417197867495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102</v>
      </c>
      <c r="BB33" s="13">
        <f>VLOOKUP(A33,'Données projet'!$A$87:$I$107,9,0)</f>
        <v>12.333333333333334</v>
      </c>
      <c r="BC33" s="13">
        <f t="array" ref="BC33">INDEX(BB:BB,MIN(IF(ISNUMBER(BB33:BB229),ROW(BB33:BB229),"")))</f>
        <v>12.333333333333334</v>
      </c>
      <c r="BD33" s="13">
        <f>IF('Données projet'!$A$88&gt;35,BD32+BC33-BL32,IF(A33&lt;'Données projet'!$A$88,$BA$205^A33,IF(A33='Données projet'!$A$88,'Données projet'!$B$88,BD32+BC33-BL32)))</f>
        <v>101.99999999999999</v>
      </c>
      <c r="BE33" s="14">
        <f>BD33*VLOOKUP('Données projet'!$B$11,Paramètres!$A$1:$I$89,3,0)*VLOOKUP('Données projet'!$B$11,Paramètres!$A$1:$I$89,5,0)</f>
        <v>87.515999999999991</v>
      </c>
      <c r="BF33" s="14">
        <f t="shared" si="37"/>
        <v>23.965171662037644</v>
      </c>
      <c r="BG33" s="22">
        <f t="shared" si="7"/>
        <v>194.16304064471555</v>
      </c>
      <c r="BH33" s="62">
        <f t="shared" si="8"/>
        <v>433.27046557775753</v>
      </c>
      <c r="BI33" s="62">
        <f ca="1">AVERAGE(OFFSET($BH$3,0,0,'Données projet'!$E$11+1,1))-AVERAGE(OFFSET($H$3,0,0,'Données projet'!$E$11+1,1))</f>
        <v>475.48669758994771</v>
      </c>
      <c r="BJ33" s="62">
        <f t="shared" si="38"/>
        <v>249.93713224442419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13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226</v>
      </c>
      <c r="BW33" s="13">
        <f>VLOOKUP(A33,'Données projet'!$A$113:$I$133,9,0)</f>
        <v>13.2</v>
      </c>
      <c r="BX33" s="13">
        <f t="array" ref="BX33">INDEX(BW:BW,MIN(IF(ISNUMBER(BW33:BW229),ROW(BW33:BW229),"")))</f>
        <v>13.2</v>
      </c>
      <c r="BY33" s="13">
        <f>IF('Données projet'!$A$114&gt;35,BY32+BX33-CG32,IF(A33&lt;'Données projet'!$A$114,$BV$205^A33,IF(A33='Données projet'!$A$114,'Données projet'!$B$114,BY32+BX33-CG32)))</f>
        <v>225.99999999999991</v>
      </c>
      <c r="BZ33" s="14">
        <f>BY33*VLOOKUP('Données projet'!$B$12,Paramètres!$A$1:$I$89,3,0)*VLOOKUP('Données projet'!$B$12,Paramètres!$A$1:$I$89,5,0)</f>
        <v>144.54959999999994</v>
      </c>
      <c r="CA33" s="14">
        <f t="shared" si="39"/>
        <v>37.337307162848084</v>
      </c>
      <c r="CB33" s="22">
        <f t="shared" si="10"/>
        <v>316.7863633086269</v>
      </c>
      <c r="CC33" s="62">
        <f t="shared" si="11"/>
        <v>555.89378824166886</v>
      </c>
      <c r="CD33" s="62">
        <f ca="1">AVERAGE(OFFSET($CC$3,0,0,'Données projet'!$E$12+1,1))-AVERAGE(OFFSET($H$3,0,0,'Données projet'!$E$12+1,1))</f>
        <v>420.47368055225792</v>
      </c>
      <c r="CE33" s="62">
        <f t="shared" si="40"/>
        <v>372.56045490833549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131.80000000000004</v>
      </c>
      <c r="O34" s="14">
        <f>N34*VLOOKUP('Données projet'!$B$9,Paramètres!$A$1:$I$89,3,0)*VLOOKUP('Données projet'!$B$9,Paramètres!$A$1:$I$89,5,0)</f>
        <v>119.25264000000003</v>
      </c>
      <c r="P34" s="14">
        <f t="shared" si="33"/>
        <v>31.500626518374375</v>
      </c>
      <c r="Q34" s="22">
        <f t="shared" si="2"/>
        <v>262.56193918616879</v>
      </c>
      <c r="R34" s="62">
        <f t="shared" si="0"/>
        <v>502.61006239898632</v>
      </c>
      <c r="S34" s="62">
        <f ca="1">AVERAGE(OFFSET($R$3,0,0,'Données projet'!$E$9+1,1))-AVERAGE(OFFSET($H$3,0,0,'Données projet'!$E$9+1,1))</f>
        <v>551.36480098497589</v>
      </c>
      <c r="T34" s="62">
        <f t="shared" si="34"/>
        <v>297.32483725004136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18.8</v>
      </c>
      <c r="AI34" s="14">
        <f>IF('Données projet'!$A$62&gt;35,AI33+AH34-AQ33,IF(A34&lt;'Données projet'!$A$62,$AF$205^A34,IF(A34='Données projet'!$A$62,'Données projet'!$B$62,AI33+AH34-AQ33)))</f>
        <v>274.80000000000007</v>
      </c>
      <c r="AJ34" s="14">
        <f>AI34*VLOOKUP('Données projet'!$B$10,Paramètres!$A$1:$I$89,3,0)*VLOOKUP('Données projet'!$B$10,Paramètres!$A$1:$I$89,5,0)</f>
        <v>164.33040000000005</v>
      </c>
      <c r="AK34" s="14">
        <f t="shared" si="35"/>
        <v>41.817725957365241</v>
      </c>
      <c r="AL34" s="22">
        <f t="shared" si="4"/>
        <v>359.04131937574454</v>
      </c>
      <c r="AM34" s="62">
        <f t="shared" si="5"/>
        <v>599.08944258856206</v>
      </c>
      <c r="AN34" s="62">
        <f ca="1">AVERAGE(OFFSET($AM$3,0,0,'Données projet'!$E$10+1,1))-AVERAGE(OFFSET($H$3,0,0,'Données projet'!$E$10+1,1))</f>
        <v>388.30126110099434</v>
      </c>
      <c r="AO34" s="62">
        <f t="shared" si="36"/>
        <v>390.81417197867495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14.166666666666666</v>
      </c>
      <c r="BD34" s="13">
        <f>IF('Données projet'!$A$88&gt;35,BD33+BC34-BL33,IF(A34&lt;'Données projet'!$A$88,$BA$205^A34,IF(A34='Données projet'!$A$88,'Données projet'!$B$88,BD33+BC34-BL33)))</f>
        <v>103.16666666666666</v>
      </c>
      <c r="BE34" s="14">
        <f>BD34*VLOOKUP('Données projet'!$B$11,Paramètres!$A$1:$I$89,3,0)*VLOOKUP('Données projet'!$B$11,Paramètres!$A$1:$I$89,5,0)</f>
        <v>88.51700000000001</v>
      </c>
      <c r="BF34" s="14">
        <f t="shared" si="37"/>
        <v>24.207215980626653</v>
      </c>
      <c r="BG34" s="22">
        <f t="shared" si="7"/>
        <v>196.32800949959145</v>
      </c>
      <c r="BH34" s="62">
        <f t="shared" si="8"/>
        <v>436.376132712409</v>
      </c>
      <c r="BI34" s="62">
        <f ca="1">AVERAGE(OFFSET($BH$3,0,0,'Données projet'!$E$11+1,1))-AVERAGE(OFFSET($H$3,0,0,'Données projet'!$E$11+1,1))</f>
        <v>475.48669758994771</v>
      </c>
      <c r="BJ34" s="62">
        <f t="shared" si="38"/>
        <v>249.93713224442419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12.4</v>
      </c>
      <c r="BY34" s="13">
        <f>IF('Données projet'!$A$114&gt;35,BY33+BX34-CG33,IF(A34&lt;'Données projet'!$A$114,$BV$205^A34,IF(A34='Données projet'!$A$114,'Données projet'!$B$114,BY33+BX34-CG33)))</f>
        <v>238.39999999999992</v>
      </c>
      <c r="BZ34" s="14">
        <f>BY34*VLOOKUP('Données projet'!$B$12,Paramètres!$A$1:$I$89,3,0)*VLOOKUP('Données projet'!$B$12,Paramètres!$A$1:$I$89,5,0)</f>
        <v>152.48063999999994</v>
      </c>
      <c r="CA34" s="14">
        <f t="shared" si="39"/>
        <v>39.14178068484236</v>
      </c>
      <c r="CB34" s="22">
        <f t="shared" si="10"/>
        <v>333.74238269276697</v>
      </c>
      <c r="CC34" s="62">
        <f t="shared" si="11"/>
        <v>573.7905059055845</v>
      </c>
      <c r="CD34" s="62">
        <f ca="1">AVERAGE(OFFSET($CC$3,0,0,'Données projet'!$E$12+1,1))-AVERAGE(OFFSET($H$3,0,0,'Données projet'!$E$12+1,1))</f>
        <v>420.47368055225792</v>
      </c>
      <c r="CE34" s="62">
        <f t="shared" si="40"/>
        <v>372.56045490833549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142.60000000000005</v>
      </c>
      <c r="O35" s="14">
        <f>N35*VLOOKUP('Données projet'!$B$9,Paramètres!$A$1:$I$89,3,0)*VLOOKUP('Données projet'!$B$9,Paramètres!$A$1:$I$89,5,0)</f>
        <v>129.02448000000004</v>
      </c>
      <c r="P35" s="14">
        <f t="shared" si="33"/>
        <v>33.770846580616279</v>
      </c>
      <c r="Q35" s="22">
        <f t="shared" ref="Q35:Q66" si="53">(O35+P35)*0.475*44/12</f>
        <v>283.53519379457339</v>
      </c>
      <c r="R35" s="62">
        <f t="shared" si="0"/>
        <v>524.50769627509874</v>
      </c>
      <c r="S35" s="62">
        <f ca="1">AVERAGE(OFFSET($R$3,0,0,'Données projet'!$E$9+1,1))-AVERAGE(OFFSET($H$3,0,0,'Données projet'!$E$9+1,1))</f>
        <v>551.36480098497589</v>
      </c>
      <c r="T35" s="62">
        <f t="shared" si="34"/>
        <v>297.32483725004136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18.8</v>
      </c>
      <c r="AI35" s="14">
        <f>IF('Données projet'!$A$62&gt;35,AI34+AH35-AQ34,IF(A35&lt;'Données projet'!$A$62,$AF$205^A35,IF(A35='Données projet'!$A$62,'Données projet'!$B$62,AI34+AH35-AQ34)))</f>
        <v>293.60000000000008</v>
      </c>
      <c r="AJ35" s="14">
        <f>AI35*VLOOKUP('Données projet'!$B$10,Paramètres!$A$1:$I$89,3,0)*VLOOKUP('Données projet'!$B$10,Paramètres!$A$1:$I$89,5,0)</f>
        <v>175.57280000000006</v>
      </c>
      <c r="AK35" s="14">
        <f t="shared" si="35"/>
        <v>44.335792710235346</v>
      </c>
      <c r="AL35" s="22">
        <f t="shared" si="4"/>
        <v>383.00746563699335</v>
      </c>
      <c r="AM35" s="62">
        <f t="shared" si="5"/>
        <v>623.97996811751864</v>
      </c>
      <c r="AN35" s="62">
        <f ca="1">AVERAGE(OFFSET($AM$3,0,0,'Données projet'!$E$10+1,1))-AVERAGE(OFFSET($H$3,0,0,'Données projet'!$E$10+1,1))</f>
        <v>388.30126110099434</v>
      </c>
      <c r="AO35" s="62">
        <f t="shared" si="36"/>
        <v>390.81417197867495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14.166666666666666</v>
      </c>
      <c r="BD35" s="13">
        <f>IF('Données projet'!$A$88&gt;35,BD34+BC35-BL34,IF(A35&lt;'Données projet'!$A$88,$BA$205^A35,IF(A35='Données projet'!$A$88,'Données projet'!$B$88,BD34+BC35-BL34)))</f>
        <v>117.33333333333333</v>
      </c>
      <c r="BE35" s="14">
        <f>BD35*VLOOKUP('Données projet'!$B$11,Paramètres!$A$1:$I$89,3,0)*VLOOKUP('Données projet'!$B$11,Paramètres!$A$1:$I$89,5,0)</f>
        <v>100.672</v>
      </c>
      <c r="BF35" s="14">
        <f t="shared" si="37"/>
        <v>27.122029824032914</v>
      </c>
      <c r="BG35" s="22">
        <f t="shared" si="7"/>
        <v>222.57460194352402</v>
      </c>
      <c r="BH35" s="62">
        <f t="shared" si="8"/>
        <v>463.54710442404934</v>
      </c>
      <c r="BI35" s="62">
        <f ca="1">AVERAGE(OFFSET($BH$3,0,0,'Données projet'!$E$11+1,1))-AVERAGE(OFFSET($H$3,0,0,'Données projet'!$E$11+1,1))</f>
        <v>475.48669758994771</v>
      </c>
      <c r="BJ35" s="62">
        <f t="shared" si="38"/>
        <v>249.93713224442419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12.4</v>
      </c>
      <c r="BY35" s="13">
        <f>IF('Données projet'!$A$114&gt;35,BY34+BX35-CG34,IF(A35&lt;'Données projet'!$A$114,$BV$205^A35,IF(A35='Données projet'!$A$114,'Données projet'!$B$114,BY34+BX35-CG34)))</f>
        <v>250.79999999999993</v>
      </c>
      <c r="BZ35" s="14">
        <f>BY35*VLOOKUP('Données projet'!$B$12,Paramètres!$A$1:$I$89,3,0)*VLOOKUP('Données projet'!$B$12,Paramètres!$A$1:$I$89,5,0)</f>
        <v>160.41167999999993</v>
      </c>
      <c r="CA35" s="14">
        <f t="shared" si="39"/>
        <v>40.935357088135802</v>
      </c>
      <c r="CB35" s="22">
        <f t="shared" si="10"/>
        <v>350.67942292850302</v>
      </c>
      <c r="CC35" s="62">
        <f t="shared" si="11"/>
        <v>591.65192540902831</v>
      </c>
      <c r="CD35" s="62">
        <f ca="1">AVERAGE(OFFSET($CC$3,0,0,'Données projet'!$E$12+1,1))-AVERAGE(OFFSET($H$3,0,0,'Données projet'!$E$12+1,1))</f>
        <v>420.47368055225792</v>
      </c>
      <c r="CE35" s="62">
        <f t="shared" si="40"/>
        <v>372.56045490833549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153.40000000000006</v>
      </c>
      <c r="O36" s="14">
        <f>N36*VLOOKUP('Données projet'!$B$9,Paramètres!$A$1:$I$89,3,0)*VLOOKUP('Données projet'!$B$9,Paramètres!$A$1:$I$89,5,0)</f>
        <v>138.79632000000007</v>
      </c>
      <c r="P36" s="14">
        <f t="shared" si="33"/>
        <v>36.021120886354588</v>
      </c>
      <c r="Q36" s="22">
        <f t="shared" si="53"/>
        <v>304.47370954373434</v>
      </c>
      <c r="R36" s="62">
        <f t="shared" si="0"/>
        <v>546.35455537827511</v>
      </c>
      <c r="S36" s="62">
        <f ca="1">AVERAGE(OFFSET($R$3,0,0,'Données projet'!$E$9+1,1))-AVERAGE(OFFSET($H$3,0,0,'Données projet'!$E$9+1,1))</f>
        <v>551.36480098497589</v>
      </c>
      <c r="T36" s="62">
        <f t="shared" si="34"/>
        <v>297.32483725004136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18.8</v>
      </c>
      <c r="AI36" s="14">
        <f>IF('Données projet'!$A$62&gt;35,AI35+AH36-AQ35,IF(A36&lt;'Données projet'!$A$62,$AF$205^A36,IF(A36='Données projet'!$A$62,'Données projet'!$B$62,AI35+AH36-AQ35)))</f>
        <v>312.40000000000009</v>
      </c>
      <c r="AJ36" s="14">
        <f>AI36*VLOOKUP('Données projet'!$B$10,Paramètres!$A$1:$I$89,3,0)*VLOOKUP('Données projet'!$B$10,Paramètres!$A$1:$I$89,5,0)</f>
        <v>186.81520000000006</v>
      </c>
      <c r="AK36" s="14">
        <f t="shared" si="35"/>
        <v>46.83514756492545</v>
      </c>
      <c r="AL36" s="22">
        <f t="shared" si="4"/>
        <v>406.94102200891194</v>
      </c>
      <c r="AM36" s="62">
        <f t="shared" si="5"/>
        <v>648.82186784345265</v>
      </c>
      <c r="AN36" s="62">
        <f ca="1">AVERAGE(OFFSET($AM$3,0,0,'Données projet'!$E$10+1,1))-AVERAGE(OFFSET($H$3,0,0,'Données projet'!$E$10+1,1))</f>
        <v>388.30126110099434</v>
      </c>
      <c r="AO36" s="62">
        <f t="shared" si="36"/>
        <v>390.81417197867495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14.166666666666666</v>
      </c>
      <c r="BD36" s="13">
        <f>IF('Données projet'!$A$88&gt;35,BD35+BC36-BL35,IF(A36&lt;'Données projet'!$A$88,$BA$205^A36,IF(A36='Données projet'!$A$88,'Données projet'!$B$88,BD35+BC36-BL35)))</f>
        <v>131.5</v>
      </c>
      <c r="BE36" s="14">
        <f>BD36*VLOOKUP('Données projet'!$B$11,Paramètres!$A$1:$I$89,3,0)*VLOOKUP('Données projet'!$B$11,Paramètres!$A$1:$I$89,5,0)</f>
        <v>112.82700000000001</v>
      </c>
      <c r="BF36" s="14">
        <f t="shared" si="37"/>
        <v>29.996060965411449</v>
      </c>
      <c r="BG36" s="22">
        <f t="shared" si="7"/>
        <v>248.75016451475827</v>
      </c>
      <c r="BH36" s="62">
        <f t="shared" si="8"/>
        <v>490.631010349299</v>
      </c>
      <c r="BI36" s="62">
        <f ca="1">AVERAGE(OFFSET($BH$3,0,0,'Données projet'!$E$11+1,1))-AVERAGE(OFFSET($H$3,0,0,'Données projet'!$E$11+1,1))</f>
        <v>475.48669758994771</v>
      </c>
      <c r="BJ36" s="62">
        <f t="shared" si="38"/>
        <v>249.93713224442419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12.4</v>
      </c>
      <c r="BY36" s="13">
        <f>IF('Données projet'!$A$114&gt;35,BY35+BX36-CG35,IF(A36&lt;'Données projet'!$A$114,$BV$205^A36,IF(A36='Données projet'!$A$114,'Données projet'!$B$114,BY35+BX36-CG35)))</f>
        <v>263.19999999999993</v>
      </c>
      <c r="BZ36" s="14">
        <f>BY36*VLOOKUP('Données projet'!$B$12,Paramètres!$A$1:$I$89,3,0)*VLOOKUP('Données projet'!$B$12,Paramètres!$A$1:$I$89,5,0)</f>
        <v>168.34271999999996</v>
      </c>
      <c r="CA36" s="14">
        <f t="shared" si="39"/>
        <v>42.718636632204067</v>
      </c>
      <c r="CB36" s="22">
        <f t="shared" si="10"/>
        <v>367.59852946775533</v>
      </c>
      <c r="CC36" s="62">
        <f t="shared" si="11"/>
        <v>609.47937530229603</v>
      </c>
      <c r="CD36" s="62">
        <f ca="1">AVERAGE(OFFSET($CC$3,0,0,'Données projet'!$E$12+1,1))-AVERAGE(OFFSET($H$3,0,0,'Données projet'!$E$12+1,1))</f>
        <v>420.47368055225792</v>
      </c>
      <c r="CE36" s="62">
        <f t="shared" si="40"/>
        <v>372.56045490833549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164.20000000000007</v>
      </c>
      <c r="O37" s="14">
        <f>N37*VLOOKUP('Données projet'!$B$9,Paramètres!$A$1:$I$89,3,0)*VLOOKUP('Données projet'!$B$9,Paramètres!$A$1:$I$89,5,0)</f>
        <v>148.56816000000006</v>
      </c>
      <c r="P37" s="14">
        <f t="shared" si="33"/>
        <v>38.253013425360628</v>
      </c>
      <c r="Q37" s="22">
        <f t="shared" si="53"/>
        <v>325.38021038250321</v>
      </c>
      <c r="R37" s="62">
        <f t="shared" si="0"/>
        <v>568.15364184461873</v>
      </c>
      <c r="S37" s="62">
        <f ca="1">AVERAGE(OFFSET($R$3,0,0,'Données projet'!$E$9+1,1))-AVERAGE(OFFSET($H$3,0,0,'Données projet'!$E$9+1,1))</f>
        <v>551.36480098497589</v>
      </c>
      <c r="T37" s="62">
        <f t="shared" si="34"/>
        <v>297.32483725004136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18.8</v>
      </c>
      <c r="AI37" s="14">
        <f>IF('Données projet'!$A$62&gt;35,AI36+AH37-AQ36,IF(A37&lt;'Données projet'!$A$62,$AF$205^A37,IF(A37='Données projet'!$A$62,'Données projet'!$B$62,AI36+AH37-AQ36)))</f>
        <v>331.2000000000001</v>
      </c>
      <c r="AJ37" s="14">
        <f>AI37*VLOOKUP('Données projet'!$B$10,Paramètres!$A$1:$I$89,3,0)*VLOOKUP('Données projet'!$B$10,Paramètres!$A$1:$I$89,5,0)</f>
        <v>198.05760000000009</v>
      </c>
      <c r="AK37" s="14">
        <f t="shared" si="35"/>
        <v>49.317044830035982</v>
      </c>
      <c r="AL37" s="22">
        <f t="shared" si="4"/>
        <v>430.8441730789794</v>
      </c>
      <c r="AM37" s="62">
        <f t="shared" si="5"/>
        <v>673.61760454109503</v>
      </c>
      <c r="AN37" s="62">
        <f ca="1">AVERAGE(OFFSET($AM$3,0,0,'Données projet'!$E$10+1,1))-AVERAGE(OFFSET($H$3,0,0,'Données projet'!$E$10+1,1))</f>
        <v>388.30126110099434</v>
      </c>
      <c r="AO37" s="62">
        <f t="shared" si="36"/>
        <v>390.81417197867495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14.166666666666666</v>
      </c>
      <c r="BD37" s="13">
        <f>IF('Données projet'!$A$88&gt;35,BD36+BC37-BL36,IF(A37&lt;'Données projet'!$A$88,$BA$205^A37,IF(A37='Données projet'!$A$88,'Données projet'!$B$88,BD36+BC37-BL36)))</f>
        <v>145.66666666666666</v>
      </c>
      <c r="BE37" s="14">
        <f>BD37*VLOOKUP('Données projet'!$B$11,Paramètres!$A$1:$I$89,3,0)*VLOOKUP('Données projet'!$B$11,Paramètres!$A$1:$I$89,5,0)</f>
        <v>124.98200000000001</v>
      </c>
      <c r="BF37" s="14">
        <f t="shared" si="37"/>
        <v>32.834203796212122</v>
      </c>
      <c r="BG37" s="22">
        <f t="shared" si="7"/>
        <v>274.86322161173609</v>
      </c>
      <c r="BH37" s="62">
        <f t="shared" si="8"/>
        <v>517.63665307385168</v>
      </c>
      <c r="BI37" s="62">
        <f ca="1">AVERAGE(OFFSET($BH$3,0,0,'Données projet'!$E$11+1,1))-AVERAGE(OFFSET($H$3,0,0,'Données projet'!$E$11+1,1))</f>
        <v>475.48669758994771</v>
      </c>
      <c r="BJ37" s="62">
        <f t="shared" si="38"/>
        <v>249.93713224442419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12.4</v>
      </c>
      <c r="BY37" s="13">
        <f>IF('Données projet'!$A$114&gt;35,BY36+BX37-CG36,IF(A37&lt;'Données projet'!$A$114,$BV$205^A37,IF(A37='Données projet'!$A$114,'Données projet'!$B$114,BY36+BX37-CG36)))</f>
        <v>275.59999999999991</v>
      </c>
      <c r="BZ37" s="14">
        <f>BY37*VLOOKUP('Données projet'!$B$12,Paramètres!$A$1:$I$89,3,0)*VLOOKUP('Données projet'!$B$12,Paramètres!$A$1:$I$89,5,0)</f>
        <v>176.27375999999992</v>
      </c>
      <c r="CA37" s="14">
        <f t="shared" si="39"/>
        <v>44.492159820949908</v>
      </c>
      <c r="CB37" s="22">
        <f t="shared" si="10"/>
        <v>384.50064368815424</v>
      </c>
      <c r="CC37" s="62">
        <f t="shared" si="11"/>
        <v>627.27407515026982</v>
      </c>
      <c r="CD37" s="62">
        <f ca="1">AVERAGE(OFFSET($CC$3,0,0,'Données projet'!$E$12+1,1))-AVERAGE(OFFSET($H$3,0,0,'Données projet'!$E$12+1,1))</f>
        <v>420.47368055225792</v>
      </c>
      <c r="CE37" s="62">
        <f t="shared" si="40"/>
        <v>372.56045490833549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175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175.00000000000009</v>
      </c>
      <c r="O38" s="14">
        <f>N38*VLOOKUP('Données projet'!$B$9,Paramètres!$A$1:$I$89,3,0)*VLOOKUP('Données projet'!$B$9,Paramètres!$A$1:$I$89,5,0)</f>
        <v>158.34000000000006</v>
      </c>
      <c r="P38" s="14">
        <f t="shared" si="33"/>
        <v>40.467870812652819</v>
      </c>
      <c r="Q38" s="22">
        <f t="shared" si="53"/>
        <v>346.25704166537042</v>
      </c>
      <c r="R38" s="62">
        <f t="shared" si="0"/>
        <v>589.9075743899449</v>
      </c>
      <c r="S38" s="62">
        <f ca="1">AVERAGE(OFFSET($R$3,0,0,'Données projet'!$E$9+1,1))-AVERAGE(OFFSET($H$3,0,0,'Données projet'!$E$9+1,1))</f>
        <v>551.36480098497589</v>
      </c>
      <c r="T38" s="62">
        <f t="shared" si="34"/>
        <v>297.32483725004136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56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350</v>
      </c>
      <c r="AG38" s="13">
        <f>VLOOKUP(A38,'Données projet'!$A$61:$I$81,9,0)</f>
        <v>18.8</v>
      </c>
      <c r="AH38" s="13">
        <f t="array" ref="AH38">INDEX(AG:AG,MIN(IF(ISNUMBER(AG38:AG234),ROW(AG38:AG234),"")))</f>
        <v>18.8</v>
      </c>
      <c r="AI38" s="14">
        <f>IF('Données projet'!$A$62&gt;35,AI37+AH38-AQ37,IF(A38&lt;'Données projet'!$A$62,$AF$205^A38,IF(A38='Données projet'!$A$62,'Données projet'!$B$62,AI37+AH38-AQ37)))</f>
        <v>350.00000000000011</v>
      </c>
      <c r="AJ38" s="14">
        <f>AI38*VLOOKUP('Données projet'!$B$10,Paramètres!$A$1:$I$89,3,0)*VLOOKUP('Données projet'!$B$10,Paramètres!$A$1:$I$89,5,0)</f>
        <v>209.30000000000007</v>
      </c>
      <c r="AK38" s="14">
        <f t="shared" si="35"/>
        <v>51.782588373964757</v>
      </c>
      <c r="AL38" s="22">
        <f t="shared" si="4"/>
        <v>454.7188414179887</v>
      </c>
      <c r="AM38" s="62">
        <f t="shared" si="5"/>
        <v>698.36937414256317</v>
      </c>
      <c r="AN38" s="62">
        <f ca="1">AVERAGE(OFFSET($AM$3,0,0,'Données projet'!$E$10+1,1))-AVERAGE(OFFSET($H$3,0,0,'Données projet'!$E$10+1,1))</f>
        <v>388.30126110099434</v>
      </c>
      <c r="AO38" s="62">
        <f t="shared" si="36"/>
        <v>390.81417197867495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106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14.166666666666666</v>
      </c>
      <c r="BD38" s="13">
        <f>IF('Données projet'!$A$88&gt;35,BD37+BC38-BL37,IF(A38&lt;'Données projet'!$A$88,$BA$205^A38,IF(A38='Données projet'!$A$88,'Données projet'!$B$88,BD37+BC38-BL37)))</f>
        <v>159.83333333333331</v>
      </c>
      <c r="BE38" s="14">
        <f>BD38*VLOOKUP('Données projet'!$B$11,Paramètres!$A$1:$I$89,3,0)*VLOOKUP('Données projet'!$B$11,Paramètres!$A$1:$I$89,5,0)</f>
        <v>137.137</v>
      </c>
      <c r="BF38" s="14">
        <f t="shared" si="37"/>
        <v>35.64034577929781</v>
      </c>
      <c r="BG38" s="22">
        <f t="shared" si="7"/>
        <v>300.92054389894366</v>
      </c>
      <c r="BH38" s="62">
        <f t="shared" si="8"/>
        <v>544.57107662351814</v>
      </c>
      <c r="BI38" s="62">
        <f ca="1">AVERAGE(OFFSET($BH$3,0,0,'Données projet'!$E$11+1,1))-AVERAGE(OFFSET($H$3,0,0,'Données projet'!$E$11+1,1))</f>
        <v>475.48669758994771</v>
      </c>
      <c r="BJ38" s="62">
        <f t="shared" si="38"/>
        <v>249.93713224442419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12.4</v>
      </c>
      <c r="BY38" s="13">
        <f>IF('Données projet'!$A$114&gt;35,BY37+BX38-CG37,IF(A38&lt;'Données projet'!$A$114,$BV$205^A38,IF(A38='Données projet'!$A$114,'Données projet'!$B$114,BY37+BX38-CG37)))</f>
        <v>287.99999999999989</v>
      </c>
      <c r="BZ38" s="14">
        <f>BY38*VLOOKUP('Données projet'!$B$12,Paramètres!$A$1:$I$89,3,0)*VLOOKUP('Données projet'!$B$12,Paramètres!$A$1:$I$89,5,0)</f>
        <v>184.20479999999992</v>
      </c>
      <c r="CA38" s="14">
        <f t="shared" si="39"/>
        <v>46.25641577122289</v>
      </c>
      <c r="CB38" s="22">
        <f t="shared" si="10"/>
        <v>401.38661746821305</v>
      </c>
      <c r="CC38" s="62">
        <f t="shared" si="11"/>
        <v>645.03715019278752</v>
      </c>
      <c r="CD38" s="62">
        <f ca="1">AVERAGE(OFFSET($CC$3,0,0,'Données projet'!$E$12+1,1))-AVERAGE(OFFSET($H$3,0,0,'Données projet'!$E$12+1,1))</f>
        <v>420.47368055225792</v>
      </c>
      <c r="CE38" s="62">
        <f t="shared" si="40"/>
        <v>372.56045490833549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130.20000000000007</v>
      </c>
      <c r="O39" s="14">
        <f>N39*VLOOKUP('Données projet'!$B$9,Paramètres!$A$1:$I$89,3,0)*VLOOKUP('Données projet'!$B$9,Paramètres!$A$1:$I$89,5,0)</f>
        <v>117.80496000000005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503.96406639900437</v>
      </c>
      <c r="S39" s="62">
        <f ca="1">AVERAGE(OFFSET($R$3,0,0,'Données projet'!$E$9+1,1))-AVERAGE(OFFSET($H$3,0,0,'Données projet'!$E$9+1,1))</f>
        <v>551.36480098497589</v>
      </c>
      <c r="T39" s="62">
        <f t="shared" si="34"/>
        <v>297.32483725004136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17.600000000000001</v>
      </c>
      <c r="AI39" s="14">
        <f>IF('Données projet'!$A$62&gt;35,AI38+AH39-AQ38,IF(A39&lt;'Données projet'!$A$62,$AF$205^A39,IF(A39='Données projet'!$A$62,'Données projet'!$B$62,AI38+AH39-AQ38)))</f>
        <v>261.60000000000014</v>
      </c>
      <c r="AJ39" s="14">
        <f>AI39*VLOOKUP('Données projet'!$B$10,Paramètres!$A$1:$I$89,3,0)*VLOOKUP('Données projet'!$B$10,Paramètres!$A$1:$I$89,5,0)</f>
        <v>156.43680000000009</v>
      </c>
      <c r="AK39" s="14">
        <f t="shared" si="35"/>
        <v>40.037775291207865</v>
      </c>
      <c r="AL39" s="22">
        <f t="shared" si="4"/>
        <v>342.19321863218715</v>
      </c>
      <c r="AM39" s="62">
        <f t="shared" si="5"/>
        <v>586.70563687322158</v>
      </c>
      <c r="AN39" s="62">
        <f ca="1">AVERAGE(OFFSET($AM$3,0,0,'Données projet'!$E$10+1,1))-AVERAGE(OFFSET($H$3,0,0,'Données projet'!$E$10+1,1))</f>
        <v>388.30126110099434</v>
      </c>
      <c r="AO39" s="62">
        <f t="shared" si="36"/>
        <v>390.81417197867495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>
        <f>VLOOKUP(A39,'Données projet'!$A$87:$I$107,2,0)</f>
        <v>174</v>
      </c>
      <c r="BB39" s="13">
        <f>VLOOKUP(A39,'Données projet'!$A$87:$I$107,9,0)</f>
        <v>14.166666666666666</v>
      </c>
      <c r="BC39" s="13">
        <f t="array" ref="BC39">INDEX(BB:BB,MIN(IF(ISNUMBER(BB39:BB235),ROW(BB39:BB235),"")))</f>
        <v>14.166666666666666</v>
      </c>
      <c r="BD39" s="13">
        <f>IF('Données projet'!$A$88&gt;35,BD38+BC39-BL38,IF(A39&lt;'Données projet'!$A$88,$BA$205^A39,IF(A39='Données projet'!$A$88,'Données projet'!$B$88,BD38+BC39-BL38)))</f>
        <v>173.99999999999997</v>
      </c>
      <c r="BE39" s="14">
        <f>BD39*VLOOKUP('Données projet'!$B$11,Paramètres!$A$1:$I$89,3,0)*VLOOKUP('Données projet'!$B$11,Paramètres!$A$1:$I$89,5,0)</f>
        <v>149.29199999999997</v>
      </c>
      <c r="BF39" s="14">
        <f t="shared" si="37"/>
        <v>38.417645803815411</v>
      </c>
      <c r="BG39" s="22">
        <f t="shared" si="7"/>
        <v>326.9276331083118</v>
      </c>
      <c r="BH39" s="62">
        <f t="shared" si="8"/>
        <v>571.44005134934628</v>
      </c>
      <c r="BI39" s="62">
        <f ca="1">AVERAGE(OFFSET($BH$3,0,0,'Données projet'!$E$11+1,1))-AVERAGE(OFFSET($H$3,0,0,'Données projet'!$E$11+1,1))</f>
        <v>475.48669758994771</v>
      </c>
      <c r="BJ39" s="62">
        <f t="shared" si="38"/>
        <v>249.93713224442419</v>
      </c>
      <c r="BK39" s="16">
        <f>IF(ISNA(VLOOKUP(A39,'Données projet'!$A$87:$I$107,3,0)),0,VLOOKUP(A39,'Données projet'!$A$87:$I$107,3,0))</f>
        <v>3</v>
      </c>
      <c r="BL39" s="16">
        <f>IF(ISNA(VLOOKUP(A39,'Données projet'!$A$87:$I$107,4,0)),0,VLOOKUP(A39,'Données projet'!$A$87:$I$107,4,0))</f>
        <v>60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12.4</v>
      </c>
      <c r="BY39" s="13">
        <f>IF('Données projet'!$A$114&gt;35,BY38+BX39-CG38,IF(A39&lt;'Données projet'!$A$114,$BV$205^A39,IF(A39='Données projet'!$A$114,'Données projet'!$B$114,BY38+BX39-CG38)))</f>
        <v>300.39999999999986</v>
      </c>
      <c r="BZ39" s="14">
        <f>BY39*VLOOKUP('Données projet'!$B$12,Paramètres!$A$1:$I$89,3,0)*VLOOKUP('Données projet'!$B$12,Paramètres!$A$1:$I$89,5,0)</f>
        <v>192.13583999999989</v>
      </c>
      <c r="CA39" s="14">
        <f t="shared" si="39"/>
        <v>48.011849099440589</v>
      </c>
      <c r="CB39" s="22">
        <f t="shared" si="10"/>
        <v>418.25722518152548</v>
      </c>
      <c r="CC39" s="62">
        <f t="shared" si="11"/>
        <v>662.76964342255997</v>
      </c>
      <c r="CD39" s="62">
        <f ca="1">AVERAGE(OFFSET($CC$3,0,0,'Données projet'!$E$12+1,1))-AVERAGE(OFFSET($H$3,0,0,'Données projet'!$E$12+1,1))</f>
        <v>420.47368055225792</v>
      </c>
      <c r="CE39" s="62">
        <f t="shared" si="40"/>
        <v>372.56045490833549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141.40000000000006</v>
      </c>
      <c r="O40" s="14">
        <f>N40*VLOOKUP('Données projet'!$B$9,Paramètres!$A$1:$I$89,3,0)*VLOOKUP('Données projet'!$B$9,Paramètres!$A$1:$I$89,5,0)</f>
        <v>127.93872000000005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526.56595364496309</v>
      </c>
      <c r="S40" s="62">
        <f ca="1">AVERAGE(OFFSET($R$3,0,0,'Données projet'!$E$9+1,1))-AVERAGE(OFFSET($H$3,0,0,'Données projet'!$E$9+1,1))</f>
        <v>551.36480098497589</v>
      </c>
      <c r="T40" s="62">
        <f t="shared" si="34"/>
        <v>297.32483725004136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17.600000000000001</v>
      </c>
      <c r="AI40" s="14">
        <f>IF('Données projet'!$A$62&gt;35,AI39+AH40-AQ39,IF(A40&lt;'Données projet'!$A$62,$AF$205^A40,IF(A40='Données projet'!$A$62,'Données projet'!$B$62,AI39+AH40-AQ39)))</f>
        <v>279.20000000000016</v>
      </c>
      <c r="AJ40" s="14">
        <f>AI40*VLOOKUP('Données projet'!$B$10,Paramètres!$A$1:$I$89,3,0)*VLOOKUP('Données projet'!$B$10,Paramètres!$A$1:$I$89,5,0)</f>
        <v>166.96160000000009</v>
      </c>
      <c r="AK40" s="14">
        <f t="shared" si="35"/>
        <v>42.408810446399933</v>
      </c>
      <c r="AL40" s="22">
        <f t="shared" si="4"/>
        <v>364.65346486081336</v>
      </c>
      <c r="AM40" s="62">
        <f t="shared" si="5"/>
        <v>610.01281683148443</v>
      </c>
      <c r="AN40" s="62">
        <f ca="1">AVERAGE(OFFSET($AM$3,0,0,'Données projet'!$E$10+1,1))-AVERAGE(OFFSET($H$3,0,0,'Données projet'!$E$10+1,1))</f>
        <v>388.30126110099434</v>
      </c>
      <c r="AO40" s="62">
        <f t="shared" si="36"/>
        <v>390.81417197867495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15.166666666666666</v>
      </c>
      <c r="BD40" s="13">
        <f>IF('Données projet'!$A$88&gt;35,BD39+BC40-BL39,IF(A40&lt;'Données projet'!$A$88,$BA$205^A40,IF(A40='Données projet'!$A$88,'Données projet'!$B$88,BD39+BC40-BL39)))</f>
        <v>129.16666666666663</v>
      </c>
      <c r="BE40" s="14">
        <f>BD40*VLOOKUP('Données projet'!$B$11,Paramètres!$A$1:$I$89,3,0)*VLOOKUP('Données projet'!$B$11,Paramètres!$A$1:$I$89,5,0)</f>
        <v>110.82499999999999</v>
      </c>
      <c r="BF40" s="14">
        <f t="shared" si="37"/>
        <v>29.525276397875576</v>
      </c>
      <c r="BG40" s="22">
        <f t="shared" si="7"/>
        <v>244.44339805963327</v>
      </c>
      <c r="BH40" s="62">
        <f t="shared" si="8"/>
        <v>489.80275003030437</v>
      </c>
      <c r="BI40" s="62">
        <f ca="1">AVERAGE(OFFSET($BH$3,0,0,'Données projet'!$E$11+1,1))-AVERAGE(OFFSET($H$3,0,0,'Données projet'!$E$11+1,1))</f>
        <v>475.48669758994771</v>
      </c>
      <c r="BJ40" s="62">
        <f t="shared" si="38"/>
        <v>249.93713224442419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12.4</v>
      </c>
      <c r="BY40" s="13">
        <f>IF('Données projet'!$A$114&gt;35,BY39+BX40-CG39,IF(A40&lt;'Données projet'!$A$114,$BV$205^A40,IF(A40='Données projet'!$A$114,'Données projet'!$B$114,BY39+BX40-CG39)))</f>
        <v>312.79999999999984</v>
      </c>
      <c r="BZ40" s="14">
        <f>BY40*VLOOKUP('Données projet'!$B$12,Paramètres!$A$1:$I$89,3,0)*VLOOKUP('Données projet'!$B$12,Paramètres!$A$1:$I$89,5,0)</f>
        <v>200.06687999999991</v>
      </c>
      <c r="CA40" s="14">
        <f t="shared" si="39"/>
        <v>49.758865639104947</v>
      </c>
      <c r="CB40" s="22">
        <f t="shared" si="10"/>
        <v>435.1131736547743</v>
      </c>
      <c r="CC40" s="62">
        <f t="shared" si="11"/>
        <v>680.47252562544543</v>
      </c>
      <c r="CD40" s="62">
        <f ca="1">AVERAGE(OFFSET($CC$3,0,0,'Données projet'!$E$12+1,1))-AVERAGE(OFFSET($H$3,0,0,'Données projet'!$E$12+1,1))</f>
        <v>420.47368055225792</v>
      </c>
      <c r="CE40" s="62">
        <f t="shared" si="40"/>
        <v>372.56045490833549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152.60000000000005</v>
      </c>
      <c r="O41" s="14">
        <f>N41*VLOOKUP('Données projet'!$B$9,Paramètres!$A$1:$I$89,3,0)*VLOOKUP('Données projet'!$B$9,Paramètres!$A$1:$I$89,5,0)</f>
        <v>138.07248000000004</v>
      </c>
      <c r="P41" s="14">
        <f t="shared" si="33"/>
        <v>35.85508207677799</v>
      </c>
      <c r="Q41" s="22">
        <f t="shared" si="53"/>
        <v>302.92383728372175</v>
      </c>
      <c r="R41" s="62">
        <f t="shared" si="0"/>
        <v>549.11543057728045</v>
      </c>
      <c r="S41" s="62">
        <f ca="1">AVERAGE(OFFSET($R$3,0,0,'Données projet'!$E$9+1,1))-AVERAGE(OFFSET($H$3,0,0,'Données projet'!$E$9+1,1))</f>
        <v>551.36480098497589</v>
      </c>
      <c r="T41" s="62">
        <f t="shared" si="34"/>
        <v>297.32483725004136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17.600000000000001</v>
      </c>
      <c r="AI41" s="14">
        <f>IF('Données projet'!$A$62&gt;35,AI40+AH41-AQ40,IF(A41&lt;'Données projet'!$A$62,$AF$205^A41,IF(A41='Données projet'!$A$62,'Données projet'!$B$62,AI40+AH41-AQ40)))</f>
        <v>296.80000000000018</v>
      </c>
      <c r="AJ41" s="14">
        <f>AI41*VLOOKUP('Données projet'!$B$10,Paramètres!$A$1:$I$89,3,0)*VLOOKUP('Données projet'!$B$10,Paramètres!$A$1:$I$89,5,0)</f>
        <v>177.48640000000012</v>
      </c>
      <c r="AK41" s="14">
        <f t="shared" si="35"/>
        <v>44.762499594286361</v>
      </c>
      <c r="AL41" s="22">
        <f t="shared" si="4"/>
        <v>387.08350012671559</v>
      </c>
      <c r="AM41" s="62">
        <f t="shared" si="5"/>
        <v>633.27509342027429</v>
      </c>
      <c r="AN41" s="62">
        <f ca="1">AVERAGE(OFFSET($AM$3,0,0,'Données projet'!$E$10+1,1))-AVERAGE(OFFSET($H$3,0,0,'Données projet'!$E$10+1,1))</f>
        <v>388.30126110099434</v>
      </c>
      <c r="AO41" s="62">
        <f t="shared" si="36"/>
        <v>390.81417197867495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15.166666666666666</v>
      </c>
      <c r="BD41" s="13">
        <f>IF('Données projet'!$A$88&gt;35,BD40+BC41-BL40,IF(A41&lt;'Données projet'!$A$88,$BA$205^A41,IF(A41='Données projet'!$A$88,'Données projet'!$B$88,BD40+BC41-BL40)))</f>
        <v>144.33333333333329</v>
      </c>
      <c r="BE41" s="14">
        <f>BD41*VLOOKUP('Données projet'!$B$11,Paramètres!$A$1:$I$89,3,0)*VLOOKUP('Données projet'!$B$11,Paramètres!$A$1:$I$89,5,0)</f>
        <v>123.83799999999997</v>
      </c>
      <c r="BF41" s="14">
        <f t="shared" si="37"/>
        <v>32.568503009939569</v>
      </c>
      <c r="BG41" s="22">
        <f t="shared" si="7"/>
        <v>272.40799274231136</v>
      </c>
      <c r="BH41" s="62">
        <f t="shared" si="8"/>
        <v>518.59958603587006</v>
      </c>
      <c r="BI41" s="62">
        <f ca="1">AVERAGE(OFFSET($BH$3,0,0,'Données projet'!$E$11+1,1))-AVERAGE(OFFSET($H$3,0,0,'Données projet'!$E$11+1,1))</f>
        <v>475.48669758994771</v>
      </c>
      <c r="BJ41" s="62">
        <f t="shared" si="38"/>
        <v>249.93713224442419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12.4</v>
      </c>
      <c r="BY41" s="13">
        <f>IF('Données projet'!$A$114&gt;35,BY40+BX41-CG40,IF(A41&lt;'Données projet'!$A$114,$BV$205^A41,IF(A41='Données projet'!$A$114,'Données projet'!$B$114,BY40+BX41-CG40)))</f>
        <v>325.19999999999982</v>
      </c>
      <c r="BZ41" s="14">
        <f>BY41*VLOOKUP('Données projet'!$B$12,Paramètres!$A$1:$I$89,3,0)*VLOOKUP('Données projet'!$B$12,Paramètres!$A$1:$I$89,5,0)</f>
        <v>207.99791999999985</v>
      </c>
      <c r="CA41" s="14">
        <f t="shared" si="39"/>
        <v>51.497837226190782</v>
      </c>
      <c r="CB41" s="22">
        <f t="shared" si="10"/>
        <v>451.95511050228197</v>
      </c>
      <c r="CC41" s="62">
        <f t="shared" si="11"/>
        <v>698.14670379584072</v>
      </c>
      <c r="CD41" s="62">
        <f ca="1">AVERAGE(OFFSET($CC$3,0,0,'Données projet'!$E$12+1,1))-AVERAGE(OFFSET($H$3,0,0,'Données projet'!$E$12+1,1))</f>
        <v>420.47368055225792</v>
      </c>
      <c r="CE41" s="62">
        <f t="shared" si="40"/>
        <v>372.56045490833549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163.80000000000004</v>
      </c>
      <c r="O42" s="14">
        <f>N42*VLOOKUP('Données projet'!$B$9,Paramètres!$A$1:$I$89,3,0)*VLOOKUP('Données projet'!$B$9,Paramètres!$A$1:$I$89,5,0)</f>
        <v>148.20624000000004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571.6158351683722</v>
      </c>
      <c r="S42" s="62">
        <f ca="1">AVERAGE(OFFSET($R$3,0,0,'Données projet'!$E$9+1,1))-AVERAGE(OFFSET($H$3,0,0,'Données projet'!$E$9+1,1))</f>
        <v>551.36480098497589</v>
      </c>
      <c r="T42" s="62">
        <f t="shared" si="34"/>
        <v>297.32483725004136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17.600000000000001</v>
      </c>
      <c r="AI42" s="14">
        <f>IF('Données projet'!$A$62&gt;35,AI41+AH42-AQ41,IF(A42&lt;'Données projet'!$A$62,$AF$205^A42,IF(A42='Données projet'!$A$62,'Données projet'!$B$62,AI41+AH42-AQ41)))</f>
        <v>314.4000000000002</v>
      </c>
      <c r="AJ42" s="14">
        <f>AI42*VLOOKUP('Données projet'!$B$10,Paramètres!$A$1:$I$89,3,0)*VLOOKUP('Données projet'!$B$10,Paramètres!$A$1:$I$89,5,0)</f>
        <v>188.01120000000014</v>
      </c>
      <c r="AK42" s="14">
        <f t="shared" si="35"/>
        <v>47.099988496591031</v>
      </c>
      <c r="AL42" s="22">
        <f t="shared" si="4"/>
        <v>409.48531996489629</v>
      </c>
      <c r="AM42" s="62">
        <f t="shared" si="5"/>
        <v>656.49471705500343</v>
      </c>
      <c r="AN42" s="62">
        <f ca="1">AVERAGE(OFFSET($AM$3,0,0,'Données projet'!$E$10+1,1))-AVERAGE(OFFSET($H$3,0,0,'Données projet'!$E$10+1,1))</f>
        <v>388.30126110099434</v>
      </c>
      <c r="AO42" s="62">
        <f t="shared" si="36"/>
        <v>390.81417197867495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15.166666666666666</v>
      </c>
      <c r="BD42" s="13">
        <f>IF('Données projet'!$A$88&gt;35,BD41+BC42-BL41,IF(A42&lt;'Données projet'!$A$88,$BA$205^A42,IF(A42='Données projet'!$A$88,'Données projet'!$B$88,BD41+BC42-BL41)))</f>
        <v>159.49999999999994</v>
      </c>
      <c r="BE42" s="14">
        <f>BD42*VLOOKUP('Données projet'!$B$11,Paramètres!$A$1:$I$89,3,0)*VLOOKUP('Données projet'!$B$11,Paramètres!$A$1:$I$89,5,0)</f>
        <v>136.85099999999997</v>
      </c>
      <c r="BF42" s="14">
        <f t="shared" si="37"/>
        <v>35.574661452157265</v>
      </c>
      <c r="BG42" s="22">
        <f t="shared" si="7"/>
        <v>300.30802702917384</v>
      </c>
      <c r="BH42" s="62">
        <f t="shared" si="8"/>
        <v>547.31742411928099</v>
      </c>
      <c r="BI42" s="62">
        <f ca="1">AVERAGE(OFFSET($BH$3,0,0,'Données projet'!$E$11+1,1))-AVERAGE(OFFSET($H$3,0,0,'Données projet'!$E$11+1,1))</f>
        <v>475.48669758994771</v>
      </c>
      <c r="BJ42" s="62">
        <f t="shared" si="38"/>
        <v>249.93713224442419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12.4</v>
      </c>
      <c r="BY42" s="13">
        <f>IF('Données projet'!$A$114&gt;35,BY41+BX42-CG41,IF(A42&lt;'Données projet'!$A$114,$BV$205^A42,IF(A42='Données projet'!$A$114,'Données projet'!$B$114,BY41+BX42-CG41)))</f>
        <v>337.5999999999998</v>
      </c>
      <c r="BZ42" s="14">
        <f>BY42*VLOOKUP('Données projet'!$B$12,Paramètres!$A$1:$I$89,3,0)*VLOOKUP('Données projet'!$B$12,Paramètres!$A$1:$I$89,5,0)</f>
        <v>215.92895999999988</v>
      </c>
      <c r="CA42" s="14">
        <f t="shared" si="39"/>
        <v>53.229105734131764</v>
      </c>
      <c r="CB42" s="22">
        <f t="shared" si="10"/>
        <v>468.78363115361259</v>
      </c>
      <c r="CC42" s="62">
        <f t="shared" si="11"/>
        <v>715.79302824371973</v>
      </c>
      <c r="CD42" s="62">
        <f ca="1">AVERAGE(OFFSET($CC$3,0,0,'Données projet'!$E$12+1,1))-AVERAGE(OFFSET($H$3,0,0,'Données projet'!$E$12+1,1))</f>
        <v>420.47368055225792</v>
      </c>
      <c r="CE42" s="62">
        <f t="shared" si="40"/>
        <v>372.56045490833549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175.00000000000003</v>
      </c>
      <c r="O43" s="14">
        <f>N43*VLOOKUP('Données projet'!$B$9,Paramètres!$A$1:$I$89,3,0)*VLOOKUP('Données projet'!$B$9,Paramètres!$A$1:$I$89,5,0)</f>
        <v>158.34000000000003</v>
      </c>
      <c r="P43" s="14">
        <f t="shared" si="33"/>
        <v>40.467870812652819</v>
      </c>
      <c r="Q43" s="22">
        <f t="shared" si="53"/>
        <v>346.25704166537042</v>
      </c>
      <c r="R43" s="62">
        <f t="shared" si="0"/>
        <v>594.07005548449126</v>
      </c>
      <c r="S43" s="62">
        <f ca="1">AVERAGE(OFFSET($R$3,0,0,'Données projet'!$E$9+1,1))-AVERAGE(OFFSET($H$3,0,0,'Données projet'!$E$9+1,1))</f>
        <v>551.36480098497589</v>
      </c>
      <c r="T43" s="62">
        <f t="shared" si="34"/>
        <v>297.32483725004136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332</v>
      </c>
      <c r="AG43" s="13">
        <f>VLOOKUP(A43,'Données projet'!$A$61:$I$81,9,0)</f>
        <v>17.600000000000001</v>
      </c>
      <c r="AH43" s="13">
        <f t="array" ref="AH43">INDEX(AG:AG,MIN(IF(ISNUMBER(AG43:AG239),ROW(AG43:AG239),"")))</f>
        <v>17.600000000000001</v>
      </c>
      <c r="AI43" s="14">
        <f>IF('Données projet'!$A$62&gt;35,AI42+AH43-AQ42,IF(A43&lt;'Données projet'!$A$62,$AF$205^A43,IF(A43='Données projet'!$A$62,'Données projet'!$B$62,AI42+AH43-AQ42)))</f>
        <v>332.00000000000023</v>
      </c>
      <c r="AJ43" s="14">
        <f>AI43*VLOOKUP('Données projet'!$B$10,Paramètres!$A$1:$I$89,3,0)*VLOOKUP('Données projet'!$B$10,Paramètres!$A$1:$I$89,5,0)</f>
        <v>198.53600000000014</v>
      </c>
      <c r="AK43" s="14">
        <f t="shared" si="35"/>
        <v>49.42228739122875</v>
      </c>
      <c r="AL43" s="22">
        <f t="shared" si="4"/>
        <v>431.86068387305704</v>
      </c>
      <c r="AM43" s="62">
        <f t="shared" si="5"/>
        <v>679.67369769217783</v>
      </c>
      <c r="AN43" s="62">
        <f ca="1">AVERAGE(OFFSET($AM$3,0,0,'Données projet'!$E$10+1,1))-AVERAGE(OFFSET($H$3,0,0,'Données projet'!$E$10+1,1))</f>
        <v>388.30126110099434</v>
      </c>
      <c r="AO43" s="62">
        <f t="shared" si="36"/>
        <v>390.81417197867495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15.166666666666666</v>
      </c>
      <c r="BD43" s="13">
        <f>IF('Données projet'!$A$88&gt;35,BD42+BC43-BL42,IF(A43&lt;'Données projet'!$A$88,$BA$205^A43,IF(A43='Données projet'!$A$88,'Données projet'!$B$88,BD42+BC43-BL42)))</f>
        <v>174.6666666666666</v>
      </c>
      <c r="BE43" s="14">
        <f>BD43*VLOOKUP('Données projet'!$B$11,Paramètres!$A$1:$I$89,3,0)*VLOOKUP('Données projet'!$B$11,Paramètres!$A$1:$I$89,5,0)</f>
        <v>149.86399999999995</v>
      </c>
      <c r="BF43" s="14">
        <f t="shared" si="37"/>
        <v>38.547677501412096</v>
      </c>
      <c r="BG43" s="22">
        <f t="shared" si="7"/>
        <v>328.1503383149593</v>
      </c>
      <c r="BH43" s="62">
        <f t="shared" si="8"/>
        <v>575.96335213408008</v>
      </c>
      <c r="BI43" s="62">
        <f ca="1">AVERAGE(OFFSET($BH$3,0,0,'Données projet'!$E$11+1,1))-AVERAGE(OFFSET($H$3,0,0,'Données projet'!$E$11+1,1))</f>
        <v>475.48669758994771</v>
      </c>
      <c r="BJ43" s="62">
        <f t="shared" si="38"/>
        <v>249.93713224442419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350</v>
      </c>
      <c r="BW43" s="13">
        <f>VLOOKUP(A43,'Données projet'!$A$113:$I$133,9,0)</f>
        <v>12.4</v>
      </c>
      <c r="BX43" s="13">
        <f t="array" ref="BX43">INDEX(BW:BW,MIN(IF(ISNUMBER(BW43:BW239),ROW(BW43:BW239),"")))</f>
        <v>12.4</v>
      </c>
      <c r="BY43" s="13">
        <f>IF('Données projet'!$A$114&gt;35,BY42+BX43-CG42,IF(A43&lt;'Données projet'!$A$114,$BV$205^A43,IF(A43='Données projet'!$A$114,'Données projet'!$B$114,BY42+BX43-CG42)))</f>
        <v>349.99999999999977</v>
      </c>
      <c r="BZ43" s="14">
        <f>BY43*VLOOKUP('Données projet'!$B$12,Paramètres!$A$1:$I$89,3,0)*VLOOKUP('Données projet'!$B$12,Paramètres!$A$1:$I$89,5,0)</f>
        <v>223.85999999999984</v>
      </c>
      <c r="CA43" s="14">
        <f t="shared" si="39"/>
        <v>54.95298649932618</v>
      </c>
      <c r="CB43" s="22">
        <f t="shared" si="10"/>
        <v>485.59928481965943</v>
      </c>
      <c r="CC43" s="62">
        <f t="shared" si="11"/>
        <v>733.41229863878027</v>
      </c>
      <c r="CD43" s="62">
        <f ca="1">AVERAGE(OFFSET($CC$3,0,0,'Données projet'!$E$12+1,1))-AVERAGE(OFFSET($H$3,0,0,'Données projet'!$E$12+1,1))</f>
        <v>420.47368055225792</v>
      </c>
      <c r="CE43" s="62">
        <f t="shared" si="40"/>
        <v>372.56045490833549</v>
      </c>
      <c r="CF43" s="16">
        <f>IF(ISNA(VLOOKUP(A43,'Données projet'!$A$113:$I$133,3,0)),0,VLOOKUP(A43,'Données projet'!$A$113:$I$133,3,0))</f>
        <v>2</v>
      </c>
      <c r="CG43" s="16">
        <f>IF(ISNA(VLOOKUP(A43,'Données projet'!$A$113:$I$133,4,0)),0,VLOOKUP(A43,'Données projet'!$A$113:$I$133,4,0))</f>
        <v>135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186.40000000000003</v>
      </c>
      <c r="O44" s="14">
        <f>N44*VLOOKUP('Données projet'!$B$9,Paramètres!$A$1:$I$89,3,0)*VLOOKUP('Données projet'!$B$9,Paramètres!$A$1:$I$89,5,0)</f>
        <v>168.65472000000003</v>
      </c>
      <c r="P44" s="14">
        <f t="shared" si="33"/>
        <v>42.78858644059585</v>
      </c>
      <c r="Q44" s="22">
        <f t="shared" si="53"/>
        <v>368.2637587173711</v>
      </c>
      <c r="R44" s="62">
        <f t="shared" si="0"/>
        <v>616.86644831187505</v>
      </c>
      <c r="S44" s="62">
        <f ca="1">AVERAGE(OFFSET($R$3,0,0,'Données projet'!$E$9+1,1))-AVERAGE(OFFSET($H$3,0,0,'Données projet'!$E$9+1,1))</f>
        <v>551.36480098497589</v>
      </c>
      <c r="T44" s="62">
        <f t="shared" si="34"/>
        <v>297.32483725004136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20</v>
      </c>
      <c r="AI44" s="14">
        <f>IF('Données projet'!$A$62&gt;35,AI43+AH44-AQ43,IF(A44&lt;'Données projet'!$A$62,$AF$205^A44,IF(A44='Données projet'!$A$62,'Données projet'!$B$62,AI43+AH44-AQ43)))</f>
        <v>352.00000000000023</v>
      </c>
      <c r="AJ44" s="14">
        <f>AI44*VLOOKUP('Données projet'!$B$10,Paramètres!$A$1:$I$89,3,0)*VLOOKUP('Données projet'!$B$10,Paramètres!$A$1:$I$89,5,0)</f>
        <v>210.49600000000015</v>
      </c>
      <c r="AK44" s="14">
        <f t="shared" si="35"/>
        <v>52.043959291168512</v>
      </c>
      <c r="AL44" s="22">
        <f t="shared" si="4"/>
        <v>457.25709576545205</v>
      </c>
      <c r="AM44" s="62">
        <f t="shared" si="5"/>
        <v>705.85978535995605</v>
      </c>
      <c r="AN44" s="62">
        <f ca="1">AVERAGE(OFFSET($AM$3,0,0,'Données projet'!$E$10+1,1))-AVERAGE(OFFSET($H$3,0,0,'Données projet'!$E$10+1,1))</f>
        <v>388.30126110099434</v>
      </c>
      <c r="AO44" s="62">
        <f t="shared" si="36"/>
        <v>390.81417197867495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15.166666666666666</v>
      </c>
      <c r="BD44" s="13">
        <f>IF('Données projet'!$A$88&gt;35,BD43+BC44-BL43,IF(A44&lt;'Données projet'!$A$88,$BA$205^A44,IF(A44='Données projet'!$A$88,'Données projet'!$B$88,BD43+BC44-BL43)))</f>
        <v>189.83333333333326</v>
      </c>
      <c r="BE44" s="14">
        <f>BD44*VLOOKUP('Données projet'!$B$11,Paramètres!$A$1:$I$89,3,0)*VLOOKUP('Données projet'!$B$11,Paramètres!$A$1:$I$89,5,0)</f>
        <v>162.87699999999995</v>
      </c>
      <c r="BF44" s="14">
        <f t="shared" si="37"/>
        <v>41.490756193100523</v>
      </c>
      <c r="BG44" s="22">
        <f t="shared" si="7"/>
        <v>355.94050870298332</v>
      </c>
      <c r="BH44" s="62">
        <f t="shared" si="8"/>
        <v>604.54319829748727</v>
      </c>
      <c r="BI44" s="62">
        <f ca="1">AVERAGE(OFFSET($BH$3,0,0,'Données projet'!$E$11+1,1))-AVERAGE(OFFSET($H$3,0,0,'Données projet'!$E$11+1,1))</f>
        <v>475.48669758994771</v>
      </c>
      <c r="BJ44" s="62">
        <f t="shared" si="38"/>
        <v>249.93713224442419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12.1</v>
      </c>
      <c r="BY44" s="13">
        <f>IF('Données projet'!$A$114&gt;35,BY43+BX44-CG43,IF(A44&lt;'Données projet'!$A$114,$BV$205^A44,IF(A44='Données projet'!$A$114,'Données projet'!$B$114,BY43+BX44-CG43)))</f>
        <v>227.0999999999998</v>
      </c>
      <c r="BZ44" s="14">
        <f>BY44*VLOOKUP('Données projet'!$B$12,Paramètres!$A$1:$I$89,3,0)*VLOOKUP('Données projet'!$B$12,Paramètres!$A$1:$I$89,5,0)</f>
        <v>145.25315999999987</v>
      </c>
      <c r="CA44" s="14">
        <f t="shared" si="39"/>
        <v>37.497838612016459</v>
      </c>
      <c r="CB44" s="22">
        <f t="shared" si="10"/>
        <v>318.29132258259511</v>
      </c>
      <c r="CC44" s="62">
        <f t="shared" si="11"/>
        <v>566.89401217709906</v>
      </c>
      <c r="CD44" s="62">
        <f ca="1">AVERAGE(OFFSET($CC$3,0,0,'Données projet'!$E$12+1,1))-AVERAGE(OFFSET($H$3,0,0,'Données projet'!$E$12+1,1))</f>
        <v>420.47368055225792</v>
      </c>
      <c r="CE44" s="62">
        <f t="shared" si="40"/>
        <v>372.56045490833549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197.80000000000004</v>
      </c>
      <c r="O45" s="14">
        <f>N45*VLOOKUP('Données projet'!$B$9,Paramètres!$A$1:$I$89,3,0)*VLOOKUP('Données projet'!$B$9,Paramètres!$A$1:$I$89,5,0)</f>
        <v>178.96944000000002</v>
      </c>
      <c r="P45" s="14">
        <f t="shared" si="33"/>
        <v>45.092828990632619</v>
      </c>
      <c r="Q45" s="22">
        <f t="shared" si="53"/>
        <v>390.24178515868516</v>
      </c>
      <c r="R45" s="62">
        <f t="shared" si="0"/>
        <v>639.62045141931992</v>
      </c>
      <c r="S45" s="62">
        <f ca="1">AVERAGE(OFFSET($R$3,0,0,'Données projet'!$E$9+1,1))-AVERAGE(OFFSET($H$3,0,0,'Données projet'!$E$9+1,1))</f>
        <v>551.36480098497589</v>
      </c>
      <c r="T45" s="62">
        <f t="shared" si="34"/>
        <v>297.32483725004136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20</v>
      </c>
      <c r="AI45" s="14">
        <f>IF('Données projet'!$A$62&gt;35,AI44+AH45-AQ44,IF(A45&lt;'Données projet'!$A$62,$AF$205^A45,IF(A45='Données projet'!$A$62,'Données projet'!$B$62,AI44+AH45-AQ44)))</f>
        <v>372.00000000000023</v>
      </c>
      <c r="AJ45" s="14">
        <f>AI45*VLOOKUP('Données projet'!$B$10,Paramètres!$A$1:$I$89,3,0)*VLOOKUP('Données projet'!$B$10,Paramètres!$A$1:$I$89,5,0)</f>
        <v>222.45600000000016</v>
      </c>
      <c r="AK45" s="14">
        <f t="shared" si="35"/>
        <v>54.648339796219865</v>
      </c>
      <c r="AL45" s="22">
        <f t="shared" si="4"/>
        <v>482.6233918117498</v>
      </c>
      <c r="AM45" s="62">
        <f t="shared" si="5"/>
        <v>732.00205807238456</v>
      </c>
      <c r="AN45" s="62">
        <f ca="1">AVERAGE(OFFSET($AM$3,0,0,'Données projet'!$E$10+1,1))-AVERAGE(OFFSET($H$3,0,0,'Données projet'!$E$10+1,1))</f>
        <v>388.30126110099434</v>
      </c>
      <c r="AO45" s="62">
        <f t="shared" si="36"/>
        <v>390.81417197867495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205</v>
      </c>
      <c r="BB45" s="13">
        <f>VLOOKUP(A45,'Données projet'!$A$87:$I$107,9,0)</f>
        <v>15.166666666666666</v>
      </c>
      <c r="BC45" s="13">
        <f t="array" ref="BC45">INDEX(BB:BB,MIN(IF(ISNUMBER(BB45:BB241),ROW(BB45:BB241),"")))</f>
        <v>15.166666666666666</v>
      </c>
      <c r="BD45" s="13">
        <f>IF('Données projet'!$A$88&gt;35,BD44+BC45-BL44,IF(A45&lt;'Données projet'!$A$88,$BA$205^A45,IF(A45='Données projet'!$A$88,'Données projet'!$B$88,BD44+BC45-BL44)))</f>
        <v>204.99999999999991</v>
      </c>
      <c r="BE45" s="14">
        <f>BD45*VLOOKUP('Données projet'!$B$11,Paramètres!$A$1:$I$89,3,0)*VLOOKUP('Données projet'!$B$11,Paramètres!$A$1:$I$89,5,0)</f>
        <v>175.88999999999993</v>
      </c>
      <c r="BF45" s="14">
        <f t="shared" si="37"/>
        <v>44.406561291935212</v>
      </c>
      <c r="BG45" s="22">
        <f t="shared" si="7"/>
        <v>383.6831775834537</v>
      </c>
      <c r="BH45" s="62">
        <f t="shared" si="8"/>
        <v>633.06184384408846</v>
      </c>
      <c r="BI45" s="62">
        <f ca="1">AVERAGE(OFFSET($BH$3,0,0,'Données projet'!$E$11+1,1))-AVERAGE(OFFSET($H$3,0,0,'Données projet'!$E$11+1,1))</f>
        <v>475.48669758994771</v>
      </c>
      <c r="BJ45" s="62">
        <f t="shared" si="38"/>
        <v>249.93713224442419</v>
      </c>
      <c r="BK45" s="16">
        <f>IF(ISNA(VLOOKUP(A45,'Données projet'!$A$87:$I$107,3,0)),0,VLOOKUP(A45,'Données projet'!$A$87:$I$107,3,0))</f>
        <v>4</v>
      </c>
      <c r="BL45" s="16">
        <f>IF(ISNA(VLOOKUP(A45,'Données projet'!$A$87:$I$107,4,0)),0,VLOOKUP(A45,'Données projet'!$A$87:$I$107,4,0))</f>
        <v>59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12.1</v>
      </c>
      <c r="BY45" s="13">
        <f>IF('Données projet'!$A$114&gt;35,BY44+BX45-CG44,IF(A45&lt;'Données projet'!$A$114,$BV$205^A45,IF(A45='Données projet'!$A$114,'Données projet'!$B$114,BY44+BX45-CG44)))</f>
        <v>239.19999999999979</v>
      </c>
      <c r="BZ45" s="14">
        <f>BY45*VLOOKUP('Données projet'!$B$12,Paramètres!$A$1:$I$89,3,0)*VLOOKUP('Données projet'!$B$12,Paramètres!$A$1:$I$89,5,0)</f>
        <v>152.99231999999986</v>
      </c>
      <c r="CA45" s="14">
        <f t="shared" si="39"/>
        <v>39.257817366656937</v>
      </c>
      <c r="CB45" s="22">
        <f t="shared" si="10"/>
        <v>334.83565591359394</v>
      </c>
      <c r="CC45" s="62">
        <f t="shared" si="11"/>
        <v>584.21432217422864</v>
      </c>
      <c r="CD45" s="62">
        <f ca="1">AVERAGE(OFFSET($CC$3,0,0,'Données projet'!$E$12+1,1))-AVERAGE(OFFSET($H$3,0,0,'Données projet'!$E$12+1,1))</f>
        <v>420.47368055225792</v>
      </c>
      <c r="CE45" s="62">
        <f t="shared" si="40"/>
        <v>372.56045490833549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209.20000000000005</v>
      </c>
      <c r="O46" s="14">
        <f>N46*VLOOKUP('Données projet'!$B$9,Paramètres!$A$1:$I$89,3,0)*VLOOKUP('Données projet'!$B$9,Paramètres!$A$1:$I$89,5,0)</f>
        <v>189.28416000000001</v>
      </c>
      <c r="P46" s="14">
        <f t="shared" si="33"/>
        <v>47.381656039514027</v>
      </c>
      <c r="Q46" s="22">
        <f t="shared" si="53"/>
        <v>412.19296293548695</v>
      </c>
      <c r="R46" s="62">
        <f t="shared" si="0"/>
        <v>662.33414440191905</v>
      </c>
      <c r="S46" s="62">
        <f ca="1">AVERAGE(OFFSET($R$3,0,0,'Données projet'!$E$9+1,1))-AVERAGE(OFFSET($H$3,0,0,'Données projet'!$E$9+1,1))</f>
        <v>551.36480098497589</v>
      </c>
      <c r="T46" s="62">
        <f t="shared" si="34"/>
        <v>297.32483725004136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20</v>
      </c>
      <c r="AI46" s="14">
        <f>IF('Données projet'!$A$62&gt;35,AI45+AH46-AQ45,IF(A46&lt;'Données projet'!$A$62,$AF$205^A46,IF(A46='Données projet'!$A$62,'Données projet'!$B$62,AI45+AH46-AQ45)))</f>
        <v>392.00000000000023</v>
      </c>
      <c r="AJ46" s="14">
        <f>AI46*VLOOKUP('Données projet'!$B$10,Paramètres!$A$1:$I$89,3,0)*VLOOKUP('Données projet'!$B$10,Paramètres!$A$1:$I$89,5,0)</f>
        <v>234.41600000000014</v>
      </c>
      <c r="AK46" s="14">
        <f t="shared" si="35"/>
        <v>57.236464545088474</v>
      </c>
      <c r="AL46" s="22">
        <f t="shared" si="4"/>
        <v>507.96137574936262</v>
      </c>
      <c r="AM46" s="62">
        <f t="shared" si="5"/>
        <v>758.1025572157946</v>
      </c>
      <c r="AN46" s="62">
        <f ca="1">AVERAGE(OFFSET($AM$3,0,0,'Données projet'!$E$10+1,1))-AVERAGE(OFFSET($H$3,0,0,'Données projet'!$E$10+1,1))</f>
        <v>388.30126110099434</v>
      </c>
      <c r="AO46" s="62">
        <f t="shared" si="36"/>
        <v>390.81417197867495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15.666666666666666</v>
      </c>
      <c r="BD46" s="13">
        <f>IF('Données projet'!$A$88&gt;35,BD45+BC46-BL45,IF(A46&lt;'Données projet'!$A$88,$BA$205^A46,IF(A46='Données projet'!$A$88,'Données projet'!$B$88,BD45+BC46-BL45)))</f>
        <v>161.66666666666657</v>
      </c>
      <c r="BE46" s="14">
        <f>BD46*VLOOKUP('Données projet'!$B$11,Paramètres!$A$1:$I$89,3,0)*VLOOKUP('Données projet'!$B$11,Paramètres!$A$1:$I$89,5,0)</f>
        <v>138.70999999999995</v>
      </c>
      <c r="BF46" s="14">
        <f t="shared" si="37"/>
        <v>36.00132558429457</v>
      </c>
      <c r="BG46" s="22">
        <f t="shared" si="7"/>
        <v>304.2888920593129</v>
      </c>
      <c r="BH46" s="62">
        <f t="shared" si="8"/>
        <v>554.430073525745</v>
      </c>
      <c r="BI46" s="62">
        <f ca="1">AVERAGE(OFFSET($BH$3,0,0,'Données projet'!$E$11+1,1))-AVERAGE(OFFSET($H$3,0,0,'Données projet'!$E$11+1,1))</f>
        <v>475.48669758994771</v>
      </c>
      <c r="BJ46" s="62">
        <f t="shared" si="38"/>
        <v>249.93713224442419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12.1</v>
      </c>
      <c r="BY46" s="13">
        <f>IF('Données projet'!$A$114&gt;35,BY45+BX46-CG45,IF(A46&lt;'Données projet'!$A$114,$BV$205^A46,IF(A46='Données projet'!$A$114,'Données projet'!$B$114,BY45+BX46-CG45)))</f>
        <v>251.29999999999978</v>
      </c>
      <c r="BZ46" s="14">
        <f>BY46*VLOOKUP('Données projet'!$B$12,Paramètres!$A$1:$I$89,3,0)*VLOOKUP('Données projet'!$B$12,Paramètres!$A$1:$I$89,5,0)</f>
        <v>160.73147999999986</v>
      </c>
      <c r="CA46" s="14">
        <f t="shared" si="39"/>
        <v>41.007458937854992</v>
      </c>
      <c r="CB46" s="22">
        <f t="shared" si="10"/>
        <v>351.36198531676382</v>
      </c>
      <c r="CC46" s="62">
        <f t="shared" si="11"/>
        <v>601.50316678319587</v>
      </c>
      <c r="CD46" s="62">
        <f ca="1">AVERAGE(OFFSET($CC$3,0,0,'Données projet'!$E$12+1,1))-AVERAGE(OFFSET($H$3,0,0,'Données projet'!$E$12+1,1))</f>
        <v>420.47368055225792</v>
      </c>
      <c r="CE46" s="62">
        <f t="shared" si="40"/>
        <v>372.56045490833549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220.60000000000005</v>
      </c>
      <c r="O47" s="14">
        <f>N47*VLOOKUP('Données projet'!$B$9,Paramètres!$A$1:$I$89,3,0)*VLOOKUP('Données projet'!$B$9,Paramètres!$A$1:$I$89,5,0)</f>
        <v>199.59888000000004</v>
      </c>
      <c r="P47" s="14">
        <f t="shared" si="33"/>
        <v>49.656003392529037</v>
      </c>
      <c r="Q47" s="22">
        <f t="shared" si="53"/>
        <v>434.11892190865478</v>
      </c>
      <c r="R47" s="62">
        <f t="shared" si="0"/>
        <v>685.00939064679221</v>
      </c>
      <c r="S47" s="62">
        <f ca="1">AVERAGE(OFFSET($R$3,0,0,'Données projet'!$E$9+1,1))-AVERAGE(OFFSET($H$3,0,0,'Données projet'!$E$9+1,1))</f>
        <v>551.36480098497589</v>
      </c>
      <c r="T47" s="62">
        <f t="shared" si="34"/>
        <v>297.32483725004136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20</v>
      </c>
      <c r="AI47" s="14">
        <f>IF('Données projet'!$A$62&gt;35,AI46+AH47-AQ46,IF(A47&lt;'Données projet'!$A$62,$AF$205^A47,IF(A47='Données projet'!$A$62,'Données projet'!$B$62,AI46+AH47-AQ46)))</f>
        <v>412.00000000000023</v>
      </c>
      <c r="AJ47" s="14">
        <f>AI47*VLOOKUP('Données projet'!$B$10,Paramètres!$A$1:$I$89,3,0)*VLOOKUP('Données projet'!$B$10,Paramètres!$A$1:$I$89,5,0)</f>
        <v>246.37600000000018</v>
      </c>
      <c r="AK47" s="14">
        <f t="shared" si="35"/>
        <v>59.809257529903746</v>
      </c>
      <c r="AL47" s="22">
        <f t="shared" si="4"/>
        <v>533.2726568645827</v>
      </c>
      <c r="AM47" s="62">
        <f t="shared" si="5"/>
        <v>784.16312560272013</v>
      </c>
      <c r="AN47" s="62">
        <f ca="1">AVERAGE(OFFSET($AM$3,0,0,'Données projet'!$E$10+1,1))-AVERAGE(OFFSET($H$3,0,0,'Données projet'!$E$10+1,1))</f>
        <v>388.30126110099434</v>
      </c>
      <c r="AO47" s="62">
        <f t="shared" si="36"/>
        <v>390.81417197867495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15.666666666666666</v>
      </c>
      <c r="BD47" s="13">
        <f>IF('Données projet'!$A$88&gt;35,BD46+BC47-BL46,IF(A47&lt;'Données projet'!$A$88,$BA$205^A47,IF(A47='Données projet'!$A$88,'Données projet'!$B$88,BD46+BC47-BL46)))</f>
        <v>177.33333333333323</v>
      </c>
      <c r="BE47" s="14">
        <f>BD47*VLOOKUP('Données projet'!$B$11,Paramètres!$A$1:$I$89,3,0)*VLOOKUP('Données projet'!$B$11,Paramètres!$A$1:$I$89,5,0)</f>
        <v>152.15199999999993</v>
      </c>
      <c r="BF47" s="14">
        <f t="shared" si="37"/>
        <v>39.067229161930634</v>
      </c>
      <c r="BG47" s="22">
        <f t="shared" si="7"/>
        <v>333.04015745702907</v>
      </c>
      <c r="BH47" s="62">
        <f t="shared" si="8"/>
        <v>583.9306261951665</v>
      </c>
      <c r="BI47" s="62">
        <f ca="1">AVERAGE(OFFSET($BH$3,0,0,'Données projet'!$E$11+1,1))-AVERAGE(OFFSET($H$3,0,0,'Données projet'!$E$11+1,1))</f>
        <v>475.48669758994771</v>
      </c>
      <c r="BJ47" s="62">
        <f t="shared" si="38"/>
        <v>249.93713224442419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12.1</v>
      </c>
      <c r="BY47" s="13">
        <f>IF('Données projet'!$A$114&gt;35,BY46+BX47-CG46,IF(A47&lt;'Données projet'!$A$114,$BV$205^A47,IF(A47='Données projet'!$A$114,'Données projet'!$B$114,BY46+BX47-CG46)))</f>
        <v>263.39999999999981</v>
      </c>
      <c r="BZ47" s="14">
        <f>BY47*VLOOKUP('Données projet'!$B$12,Paramètres!$A$1:$I$89,3,0)*VLOOKUP('Données projet'!$B$12,Paramètres!$A$1:$I$89,5,0)</f>
        <v>168.47063999999986</v>
      </c>
      <c r="CA47" s="14">
        <f t="shared" si="39"/>
        <v>42.747317877247987</v>
      </c>
      <c r="CB47" s="22">
        <f t="shared" si="10"/>
        <v>367.87127663620663</v>
      </c>
      <c r="CC47" s="62">
        <f t="shared" si="11"/>
        <v>618.76174537434406</v>
      </c>
      <c r="CD47" s="62">
        <f ca="1">AVERAGE(OFFSET($CC$3,0,0,'Données projet'!$E$12+1,1))-AVERAGE(OFFSET($H$3,0,0,'Données projet'!$E$12+1,1))</f>
        <v>420.47368055225792</v>
      </c>
      <c r="CE47" s="62">
        <f t="shared" si="40"/>
        <v>372.56045490833549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232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232.00000000000006</v>
      </c>
      <c r="O48" s="14">
        <f>N48*VLOOKUP('Données projet'!$B$9,Paramètres!$A$1:$I$89,3,0)*VLOOKUP('Données projet'!$B$9,Paramètres!$A$1:$I$89,5,0)</f>
        <v>209.91360000000006</v>
      </c>
      <c r="P48" s="14">
        <f t="shared" si="33"/>
        <v>51.916704672341361</v>
      </c>
      <c r="Q48" s="22">
        <f t="shared" si="53"/>
        <v>456.02111397099458</v>
      </c>
      <c r="R48" s="62">
        <f t="shared" si="0"/>
        <v>707.64787152182873</v>
      </c>
      <c r="S48" s="62">
        <f ca="1">AVERAGE(OFFSET($R$3,0,0,'Données projet'!$E$9+1,1))-AVERAGE(OFFSET($H$3,0,0,'Données projet'!$E$9+1,1))</f>
        <v>551.36480098497589</v>
      </c>
      <c r="T48" s="62">
        <f t="shared" si="34"/>
        <v>297.32483725004136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56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432</v>
      </c>
      <c r="AG48" s="13">
        <f>VLOOKUP(A48,'Données projet'!$A$61:$I$81,9,0)</f>
        <v>20</v>
      </c>
      <c r="AH48" s="13">
        <f t="array" ref="AH48">INDEX(AG:AG,MIN(IF(ISNUMBER(AG48:AG244),ROW(AG48:AG244),"")))</f>
        <v>20</v>
      </c>
      <c r="AI48" s="14">
        <f>IF('Données projet'!$A$62&gt;35,AI47+AH48-AQ47,IF(A48&lt;'Données projet'!$A$62,$AF$205^A48,IF(A48='Données projet'!$A$62,'Données projet'!$B$62,AI47+AH48-AQ47)))</f>
        <v>432.00000000000023</v>
      </c>
      <c r="AJ48" s="14">
        <f>AI48*VLOOKUP('Données projet'!$B$10,Paramètres!$A$1:$I$89,3,0)*VLOOKUP('Données projet'!$B$10,Paramètres!$A$1:$I$89,5,0)</f>
        <v>258.33600000000018</v>
      </c>
      <c r="AK48" s="14">
        <f t="shared" si="35"/>
        <v>62.367547966451262</v>
      </c>
      <c r="AL48" s="22">
        <f t="shared" si="4"/>
        <v>558.55867937490291</v>
      </c>
      <c r="AM48" s="62">
        <f t="shared" si="5"/>
        <v>810.18543692573701</v>
      </c>
      <c r="AN48" s="62">
        <f ca="1">AVERAGE(OFFSET($AM$3,0,0,'Données projet'!$E$10+1,1))-AVERAGE(OFFSET($H$3,0,0,'Données projet'!$E$10+1,1))</f>
        <v>388.30126110099434</v>
      </c>
      <c r="AO48" s="62">
        <f t="shared" si="36"/>
        <v>390.81417197867495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105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15.666666666666666</v>
      </c>
      <c r="BD48" s="13">
        <f>IF('Données projet'!$A$88&gt;35,BD47+BC48-BL47,IF(A48&lt;'Données projet'!$A$88,$BA$205^A48,IF(A48='Données projet'!$A$88,'Données projet'!$B$88,BD47+BC48-BL47)))</f>
        <v>192.99999999999989</v>
      </c>
      <c r="BE48" s="14">
        <f>BD48*VLOOKUP('Données projet'!$B$11,Paramètres!$A$1:$I$89,3,0)*VLOOKUP('Données projet'!$B$11,Paramètres!$A$1:$I$89,5,0)</f>
        <v>165.59399999999994</v>
      </c>
      <c r="BF48" s="14">
        <f t="shared" si="37"/>
        <v>42.101723105196754</v>
      </c>
      <c r="BG48" s="22">
        <f t="shared" si="7"/>
        <v>361.73671774155088</v>
      </c>
      <c r="BH48" s="62">
        <f t="shared" si="8"/>
        <v>613.36347529238503</v>
      </c>
      <c r="BI48" s="62">
        <f ca="1">AVERAGE(OFFSET($BH$3,0,0,'Données projet'!$E$11+1,1))-AVERAGE(OFFSET($H$3,0,0,'Données projet'!$E$11+1,1))</f>
        <v>475.48669758994771</v>
      </c>
      <c r="BJ48" s="62">
        <f t="shared" si="38"/>
        <v>249.93713224442419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12.1</v>
      </c>
      <c r="BY48" s="13">
        <f>IF('Données projet'!$A$114&gt;35,BY47+BX48-CG47,IF(A48&lt;'Données projet'!$A$114,$BV$205^A48,IF(A48='Données projet'!$A$114,'Données projet'!$B$114,BY47+BX48-CG47)))</f>
        <v>275.49999999999983</v>
      </c>
      <c r="BZ48" s="14">
        <f>BY48*VLOOKUP('Données projet'!$B$12,Paramètres!$A$1:$I$89,3,0)*VLOOKUP('Données projet'!$B$12,Paramètres!$A$1:$I$89,5,0)</f>
        <v>176.20979999999989</v>
      </c>
      <c r="CA48" s="14">
        <f t="shared" si="39"/>
        <v>44.477894907041929</v>
      </c>
      <c r="CB48" s="22">
        <f t="shared" si="10"/>
        <v>384.36440196309781</v>
      </c>
      <c r="CC48" s="62">
        <f t="shared" si="11"/>
        <v>635.99115951393196</v>
      </c>
      <c r="CD48" s="62">
        <f ca="1">AVERAGE(OFFSET($CC$3,0,0,'Données projet'!$E$12+1,1))-AVERAGE(OFFSET($H$3,0,0,'Données projet'!$E$12+1,1))</f>
        <v>420.47368055225792</v>
      </c>
      <c r="CE48" s="62">
        <f t="shared" si="40"/>
        <v>372.56045490833549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187.00000000000006</v>
      </c>
      <c r="O49" s="14">
        <f>N49*VLOOKUP('Données projet'!$B$9,Paramètres!$A$1:$I$89,3,0)*VLOOKUP('Données projet'!$B$9,Paramètres!$A$1:$I$89,5,0)</f>
        <v>169.19760000000005</v>
      </c>
      <c r="P49" s="14">
        <f t="shared" si="33"/>
        <v>42.910263223432885</v>
      </c>
      <c r="Q49" s="22">
        <f t="shared" si="53"/>
        <v>369.42119511414563</v>
      </c>
      <c r="R49" s="62">
        <f t="shared" si="0"/>
        <v>621.77146851287125</v>
      </c>
      <c r="S49" s="62">
        <f ca="1">AVERAGE(OFFSET($R$3,0,0,'Données projet'!$E$9+1,1))-AVERAGE(OFFSET($H$3,0,0,'Données projet'!$E$9+1,1))</f>
        <v>551.36480098497589</v>
      </c>
      <c r="T49" s="62">
        <f t="shared" si="34"/>
        <v>297.32483725004136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17.399999999999999</v>
      </c>
      <c r="AI49" s="14">
        <f>IF('Données projet'!$A$62&gt;35,AI48+AH49-AQ48,IF(A49&lt;'Données projet'!$A$62,$AF$205^A49,IF(A49='Données projet'!$A$62,'Données projet'!$B$62,AI48+AH49-AQ48)))</f>
        <v>344.4000000000002</v>
      </c>
      <c r="AJ49" s="14">
        <f>AI49*VLOOKUP('Données projet'!$B$10,Paramètres!$A$1:$I$89,3,0)*VLOOKUP('Données projet'!$B$10,Paramètres!$A$1:$I$89,5,0)</f>
        <v>205.95120000000011</v>
      </c>
      <c r="AK49" s="14">
        <f t="shared" si="35"/>
        <v>51.049821044529857</v>
      </c>
      <c r="AL49" s="22">
        <f t="shared" si="4"/>
        <v>447.61011165255633</v>
      </c>
      <c r="AM49" s="62">
        <f t="shared" si="5"/>
        <v>699.96038505128195</v>
      </c>
      <c r="AN49" s="62">
        <f ca="1">AVERAGE(OFFSET($AM$3,0,0,'Données projet'!$E$10+1,1))-AVERAGE(OFFSET($H$3,0,0,'Données projet'!$E$10+1,1))</f>
        <v>388.30126110099434</v>
      </c>
      <c r="AO49" s="62">
        <f t="shared" si="36"/>
        <v>390.81417197867495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15.666666666666666</v>
      </c>
      <c r="BD49" s="13">
        <f>IF('Données projet'!$A$88&gt;35,BD48+BC49-BL48,IF(A49&lt;'Données projet'!$A$88,$BA$205^A49,IF(A49='Données projet'!$A$88,'Données projet'!$B$88,BD48+BC49-BL48)))</f>
        <v>208.66666666666654</v>
      </c>
      <c r="BE49" s="14">
        <f>BD49*VLOOKUP('Données projet'!$B$11,Paramètres!$A$1:$I$89,3,0)*VLOOKUP('Données projet'!$B$11,Paramètres!$A$1:$I$89,5,0)</f>
        <v>179.03599999999992</v>
      </c>
      <c r="BF49" s="14">
        <f t="shared" si="37"/>
        <v>45.1076469440343</v>
      </c>
      <c r="BG49" s="22">
        <f t="shared" si="7"/>
        <v>390.38351842752627</v>
      </c>
      <c r="BH49" s="62">
        <f t="shared" si="8"/>
        <v>642.73379182625195</v>
      </c>
      <c r="BI49" s="62">
        <f ca="1">AVERAGE(OFFSET($BH$3,0,0,'Données projet'!$E$11+1,1))-AVERAGE(OFFSET($H$3,0,0,'Données projet'!$E$11+1,1))</f>
        <v>475.48669758994771</v>
      </c>
      <c r="BJ49" s="62">
        <f t="shared" si="38"/>
        <v>249.93713224442419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12.1</v>
      </c>
      <c r="BY49" s="13">
        <f>IF('Données projet'!$A$114&gt;35,BY48+BX49-CG48,IF(A49&lt;'Données projet'!$A$114,$BV$205^A49,IF(A49='Données projet'!$A$114,'Données projet'!$B$114,BY48+BX49-CG48)))</f>
        <v>287.59999999999985</v>
      </c>
      <c r="BZ49" s="14">
        <f>BY49*VLOOKUP('Données projet'!$B$12,Paramètres!$A$1:$I$89,3,0)*VLOOKUP('Données projet'!$B$12,Paramètres!$A$1:$I$89,5,0)</f>
        <v>183.94895999999989</v>
      </c>
      <c r="CA49" s="14">
        <f t="shared" si="39"/>
        <v>46.199644278836878</v>
      </c>
      <c r="CB49" s="22">
        <f t="shared" si="10"/>
        <v>400.84215245230735</v>
      </c>
      <c r="CC49" s="62">
        <f t="shared" si="11"/>
        <v>653.19242585103302</v>
      </c>
      <c r="CD49" s="62">
        <f ca="1">AVERAGE(OFFSET($CC$3,0,0,'Données projet'!$E$12+1,1))-AVERAGE(OFFSET($H$3,0,0,'Données projet'!$E$12+1,1))</f>
        <v>420.47368055225792</v>
      </c>
      <c r="CE49" s="62">
        <f t="shared" si="40"/>
        <v>372.56045490833549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198.00000000000006</v>
      </c>
      <c r="O50" s="14">
        <f>N50*VLOOKUP('Données projet'!$B$9,Paramètres!$A$1:$I$89,3,0)*VLOOKUP('Données projet'!$B$9,Paramètres!$A$1:$I$89,5,0)</f>
        <v>179.15040000000005</v>
      </c>
      <c r="P50" s="14">
        <f t="shared" si="33"/>
        <v>45.133113803437347</v>
      </c>
      <c r="Q50" s="22">
        <f t="shared" si="53"/>
        <v>390.62711987432004</v>
      </c>
      <c r="R50" s="62">
        <f t="shared" si="0"/>
        <v>643.68835773851538</v>
      </c>
      <c r="S50" s="62">
        <f ca="1">AVERAGE(OFFSET($R$3,0,0,'Données projet'!$E$9+1,1))-AVERAGE(OFFSET($H$3,0,0,'Données projet'!$E$9+1,1))</f>
        <v>551.36480098497589</v>
      </c>
      <c r="T50" s="62">
        <f t="shared" si="34"/>
        <v>297.32483725004136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17.399999999999999</v>
      </c>
      <c r="AI50" s="14">
        <f>IF('Données projet'!$A$62&gt;35,AI49+AH50-AQ49,IF(A50&lt;'Données projet'!$A$62,$AF$205^A50,IF(A50='Données projet'!$A$62,'Données projet'!$B$62,AI49+AH50-AQ49)))</f>
        <v>361.80000000000018</v>
      </c>
      <c r="AJ50" s="14">
        <f>AI50*VLOOKUP('Données projet'!$B$10,Paramètres!$A$1:$I$89,3,0)*VLOOKUP('Données projet'!$B$10,Paramètres!$A$1:$I$89,5,0)</f>
        <v>216.35640000000012</v>
      </c>
      <c r="AK50" s="14">
        <f t="shared" si="35"/>
        <v>53.322199188237285</v>
      </c>
      <c r="AL50" s="22">
        <f t="shared" si="4"/>
        <v>469.69022691951341</v>
      </c>
      <c r="AM50" s="62">
        <f t="shared" si="5"/>
        <v>722.7514647837088</v>
      </c>
      <c r="AN50" s="62">
        <f ca="1">AVERAGE(OFFSET($AM$3,0,0,'Données projet'!$E$10+1,1))-AVERAGE(OFFSET($H$3,0,0,'Données projet'!$E$10+1,1))</f>
        <v>388.30126110099434</v>
      </c>
      <c r="AO50" s="62">
        <f t="shared" si="36"/>
        <v>390.81417197867495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15.666666666666666</v>
      </c>
      <c r="BD50" s="13">
        <f>IF('Données projet'!$A$88&gt;35,BD49+BC50-BL49,IF(A50&lt;'Données projet'!$A$88,$BA$205^A50,IF(A50='Données projet'!$A$88,'Données projet'!$B$88,BD49+BC50-BL49)))</f>
        <v>224.3333333333332</v>
      </c>
      <c r="BE50" s="14">
        <f>BD50*VLOOKUP('Données projet'!$B$11,Paramètres!$A$1:$I$89,3,0)*VLOOKUP('Données projet'!$B$11,Paramètres!$A$1:$I$89,5,0)</f>
        <v>192.47799999999989</v>
      </c>
      <c r="BF50" s="14">
        <f t="shared" si="37"/>
        <v>48.087389626209038</v>
      </c>
      <c r="BG50" s="22">
        <f t="shared" si="7"/>
        <v>418.98472026564724</v>
      </c>
      <c r="BH50" s="62">
        <f t="shared" si="8"/>
        <v>672.04595812984257</v>
      </c>
      <c r="BI50" s="62">
        <f ca="1">AVERAGE(OFFSET($BH$3,0,0,'Données projet'!$E$11+1,1))-AVERAGE(OFFSET($H$3,0,0,'Données projet'!$E$11+1,1))</f>
        <v>475.48669758994771</v>
      </c>
      <c r="BJ50" s="62">
        <f t="shared" si="38"/>
        <v>249.93713224442419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12.1</v>
      </c>
      <c r="BY50" s="13">
        <f>IF('Données projet'!$A$114&gt;35,BY49+BX50-CG49,IF(A50&lt;'Données projet'!$A$114,$BV$205^A50,IF(A50='Données projet'!$A$114,'Données projet'!$B$114,BY49+BX50-CG49)))</f>
        <v>299.69999999999987</v>
      </c>
      <c r="BZ50" s="14">
        <f>BY50*VLOOKUP('Données projet'!$B$12,Paramètres!$A$1:$I$89,3,0)*VLOOKUP('Données projet'!$B$12,Paramètres!$A$1:$I$89,5,0)</f>
        <v>191.68811999999991</v>
      </c>
      <c r="CA50" s="14">
        <f t="shared" si="39"/>
        <v>47.912979859134808</v>
      </c>
      <c r="CB50" s="22">
        <f t="shared" si="10"/>
        <v>417.30524892132627</v>
      </c>
      <c r="CC50" s="62">
        <f t="shared" si="11"/>
        <v>670.3664867855216</v>
      </c>
      <c r="CD50" s="62">
        <f ca="1">AVERAGE(OFFSET($CC$3,0,0,'Données projet'!$E$12+1,1))-AVERAGE(OFFSET($H$3,0,0,'Données projet'!$E$12+1,1))</f>
        <v>420.47368055225792</v>
      </c>
      <c r="CE50" s="62">
        <f t="shared" si="40"/>
        <v>372.56045490833549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209.00000000000006</v>
      </c>
      <c r="O51" s="14">
        <f>N51*VLOOKUP('Données projet'!$B$9,Paramètres!$A$1:$I$89,3,0)*VLOOKUP('Données projet'!$B$9,Paramètres!$A$1:$I$89,5,0)</f>
        <v>189.10320000000004</v>
      </c>
      <c r="P51" s="14">
        <f t="shared" si="33"/>
        <v>47.341628542787163</v>
      </c>
      <c r="Q51" s="22">
        <f t="shared" si="53"/>
        <v>411.8080763786877</v>
      </c>
      <c r="R51" s="62">
        <f t="shared" si="0"/>
        <v>665.5679450643554</v>
      </c>
      <c r="S51" s="62">
        <f ca="1">AVERAGE(OFFSET($R$3,0,0,'Données projet'!$E$9+1,1))-AVERAGE(OFFSET($H$3,0,0,'Données projet'!$E$9+1,1))</f>
        <v>551.36480098497589</v>
      </c>
      <c r="T51" s="62">
        <f t="shared" si="34"/>
        <v>297.32483725004136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17.399999999999999</v>
      </c>
      <c r="AI51" s="14">
        <f>IF('Données projet'!$A$62&gt;35,AI50+AH51-AQ50,IF(A51&lt;'Données projet'!$A$62,$AF$205^A51,IF(A51='Données projet'!$A$62,'Données projet'!$B$62,AI50+AH51-AQ50)))</f>
        <v>379.20000000000016</v>
      </c>
      <c r="AJ51" s="14">
        <f>AI51*VLOOKUP('Données projet'!$B$10,Paramètres!$A$1:$I$89,3,0)*VLOOKUP('Données projet'!$B$10,Paramètres!$A$1:$I$89,5,0)</f>
        <v>226.7616000000001</v>
      </c>
      <c r="AK51" s="14">
        <f t="shared" si="35"/>
        <v>55.581886910575967</v>
      </c>
      <c r="AL51" s="22">
        <f t="shared" si="4"/>
        <v>491.74823970258666</v>
      </c>
      <c r="AM51" s="62">
        <f t="shared" si="5"/>
        <v>745.50810838825441</v>
      </c>
      <c r="AN51" s="62">
        <f ca="1">AVERAGE(OFFSET($AM$3,0,0,'Données projet'!$E$10+1,1))-AVERAGE(OFFSET($H$3,0,0,'Données projet'!$E$10+1,1))</f>
        <v>388.30126110099434</v>
      </c>
      <c r="AO51" s="62">
        <f t="shared" si="36"/>
        <v>390.81417197867495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>
        <f>VLOOKUP(A51,'Données projet'!$A$87:$I$107,2,0)</f>
        <v>240</v>
      </c>
      <c r="BB51" s="13">
        <f>VLOOKUP(A51,'Données projet'!$A$87:$I$107,9,0)</f>
        <v>15.666666666666666</v>
      </c>
      <c r="BC51" s="13">
        <f t="array" ref="BC51">INDEX(BB:BB,MIN(IF(ISNUMBER(BB51:BB247),ROW(BB51:BB247),"")))</f>
        <v>15.666666666666666</v>
      </c>
      <c r="BD51" s="13">
        <f>IF('Données projet'!$A$88&gt;35,BD50+BC51-BL50,IF(A51&lt;'Données projet'!$A$88,$BA$205^A51,IF(A51='Données projet'!$A$88,'Données projet'!$B$88,BD50+BC51-BL50)))</f>
        <v>239.99999999999986</v>
      </c>
      <c r="BE51" s="14">
        <f>BD51*VLOOKUP('Données projet'!$B$11,Paramètres!$A$1:$I$89,3,0)*VLOOKUP('Données projet'!$B$11,Paramètres!$A$1:$I$89,5,0)</f>
        <v>205.91999999999993</v>
      </c>
      <c r="BF51" s="14">
        <f t="shared" si="37"/>
        <v>51.042987531485686</v>
      </c>
      <c r="BG51" s="22">
        <f t="shared" si="7"/>
        <v>447.5438699506708</v>
      </c>
      <c r="BH51" s="62">
        <f t="shared" si="8"/>
        <v>701.30373863633849</v>
      </c>
      <c r="BI51" s="62">
        <f ca="1">AVERAGE(OFFSET($BH$3,0,0,'Données projet'!$E$11+1,1))-AVERAGE(OFFSET($H$3,0,0,'Données projet'!$E$11+1,1))</f>
        <v>475.48669758994771</v>
      </c>
      <c r="BJ51" s="62">
        <f t="shared" si="38"/>
        <v>249.93713224442419</v>
      </c>
      <c r="BK51" s="16">
        <f>IF(ISNA(VLOOKUP(A51,'Données projet'!$A$87:$I$107,3,0)),0,VLOOKUP(A51,'Données projet'!$A$87:$I$107,3,0))</f>
        <v>5</v>
      </c>
      <c r="BL51" s="16">
        <f>IF(ISNA(VLOOKUP(A51,'Données projet'!$A$87:$I$107,4,0)),0,VLOOKUP(A51,'Données projet'!$A$87:$I$107,4,0))</f>
        <v>63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12.1</v>
      </c>
      <c r="BY51" s="13">
        <f>IF('Données projet'!$A$114&gt;35,BY50+BX51-CG50,IF(A51&lt;'Données projet'!$A$114,$BV$205^A51,IF(A51='Données projet'!$A$114,'Données projet'!$B$114,BY50+BX51-CG50)))</f>
        <v>311.7999999999999</v>
      </c>
      <c r="BZ51" s="14">
        <f>BY51*VLOOKUP('Données projet'!$B$12,Paramètres!$A$1:$I$89,3,0)*VLOOKUP('Données projet'!$B$12,Paramètres!$A$1:$I$89,5,0)</f>
        <v>199.42727999999994</v>
      </c>
      <c r="CA51" s="14">
        <f t="shared" si="39"/>
        <v>49.618280204399461</v>
      </c>
      <c r="CB51" s="22">
        <f t="shared" si="10"/>
        <v>433.75435068932893</v>
      </c>
      <c r="CC51" s="62">
        <f t="shared" si="11"/>
        <v>687.51421937499663</v>
      </c>
      <c r="CD51" s="62">
        <f ca="1">AVERAGE(OFFSET($CC$3,0,0,'Données projet'!$E$12+1,1))-AVERAGE(OFFSET($H$3,0,0,'Données projet'!$E$12+1,1))</f>
        <v>420.47368055225792</v>
      </c>
      <c r="CE51" s="62">
        <f t="shared" si="40"/>
        <v>372.56045490833549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220.00000000000006</v>
      </c>
      <c r="O52" s="14">
        <f>N52*VLOOKUP('Données projet'!$B$9,Paramètres!$A$1:$I$89,3,0)*VLOOKUP('Données projet'!$B$9,Paramètres!$A$1:$I$89,5,0)</f>
        <v>199.05600000000004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687.41190843518427</v>
      </c>
      <c r="S52" s="62">
        <f ca="1">AVERAGE(OFFSET($R$3,0,0,'Données projet'!$E$9+1,1))-AVERAGE(OFFSET($H$3,0,0,'Données projet'!$E$9+1,1))</f>
        <v>551.36480098497589</v>
      </c>
      <c r="T52" s="62">
        <f t="shared" si="34"/>
        <v>297.32483725004136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17.399999999999999</v>
      </c>
      <c r="AI52" s="14">
        <f>IF('Données projet'!$A$62&gt;35,AI51+AH52-AQ51,IF(A52&lt;'Données projet'!$A$62,$AF$205^A52,IF(A52='Données projet'!$A$62,'Données projet'!$B$62,AI51+AH52-AQ51)))</f>
        <v>396.60000000000014</v>
      </c>
      <c r="AJ52" s="14">
        <f>AI52*VLOOKUP('Données projet'!$B$10,Paramètres!$A$1:$I$89,3,0)*VLOOKUP('Données projet'!$B$10,Paramètres!$A$1:$I$89,5,0)</f>
        <v>237.16680000000008</v>
      </c>
      <c r="AK52" s="14">
        <f t="shared" si="35"/>
        <v>57.829533038824259</v>
      </c>
      <c r="AL52" s="22">
        <f t="shared" si="4"/>
        <v>513.78528004261909</v>
      </c>
      <c r="AM52" s="62">
        <f t="shared" si="5"/>
        <v>768.23165986691106</v>
      </c>
      <c r="AN52" s="62">
        <f ca="1">AVERAGE(OFFSET($AM$3,0,0,'Données projet'!$E$10+1,1))-AVERAGE(OFFSET($H$3,0,0,'Données projet'!$E$10+1,1))</f>
        <v>388.30126110099434</v>
      </c>
      <c r="AO52" s="62">
        <f t="shared" si="36"/>
        <v>390.81417197867495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15.5</v>
      </c>
      <c r="BD52" s="13">
        <f>IF('Données projet'!$A$88&gt;35,BD51+BC52-BL51,IF(A52&lt;'Données projet'!$A$88,$BA$205^A52,IF(A52='Données projet'!$A$88,'Données projet'!$B$88,BD51+BC52-BL51)))</f>
        <v>192.49999999999986</v>
      </c>
      <c r="BE52" s="14">
        <f>BD52*VLOOKUP('Données projet'!$B$11,Paramètres!$A$1:$I$89,3,0)*VLOOKUP('Données projet'!$B$11,Paramètres!$A$1:$I$89,5,0)</f>
        <v>165.16499999999991</v>
      </c>
      <c r="BF52" s="14">
        <f t="shared" si="37"/>
        <v>42.00533269839395</v>
      </c>
      <c r="BG52" s="22">
        <f t="shared" si="7"/>
        <v>360.82166278303589</v>
      </c>
      <c r="BH52" s="62">
        <f t="shared" si="8"/>
        <v>615.26804260732786</v>
      </c>
      <c r="BI52" s="62">
        <f ca="1">AVERAGE(OFFSET($BH$3,0,0,'Données projet'!$E$11+1,1))-AVERAGE(OFFSET($H$3,0,0,'Données projet'!$E$11+1,1))</f>
        <v>475.48669758994771</v>
      </c>
      <c r="BJ52" s="62">
        <f t="shared" si="38"/>
        <v>249.93713224442419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12.1</v>
      </c>
      <c r="BY52" s="13">
        <f>IF('Données projet'!$A$114&gt;35,BY51+BX52-CG51,IF(A52&lt;'Données projet'!$A$114,$BV$205^A52,IF(A52='Données projet'!$A$114,'Données projet'!$B$114,BY51+BX52-CG51)))</f>
        <v>323.89999999999992</v>
      </c>
      <c r="BZ52" s="14">
        <f>BY52*VLOOKUP('Données projet'!$B$12,Paramètres!$A$1:$I$89,3,0)*VLOOKUP('Données projet'!$B$12,Paramètres!$A$1:$I$89,5,0)</f>
        <v>207.16643999999994</v>
      </c>
      <c r="CA52" s="14">
        <f t="shared" si="39"/>
        <v>51.315892826164337</v>
      </c>
      <c r="CB52" s="22">
        <f t="shared" si="10"/>
        <v>450.19006300556947</v>
      </c>
      <c r="CC52" s="62">
        <f t="shared" si="11"/>
        <v>704.63644282986138</v>
      </c>
      <c r="CD52" s="62">
        <f ca="1">AVERAGE(OFFSET($CC$3,0,0,'Données projet'!$E$12+1,1))-AVERAGE(OFFSET($H$3,0,0,'Données projet'!$E$12+1,1))</f>
        <v>420.47368055225792</v>
      </c>
      <c r="CE52" s="62">
        <f t="shared" si="40"/>
        <v>372.56045490833549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231.00000000000006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709.22176741571411</v>
      </c>
      <c r="S53" s="62">
        <f ca="1">AVERAGE(OFFSET($R$3,0,0,'Données projet'!$E$9+1,1))-AVERAGE(OFFSET($H$3,0,0,'Données projet'!$E$9+1,1))</f>
        <v>551.36480098497589</v>
      </c>
      <c r="T53" s="62">
        <f t="shared" si="34"/>
        <v>297.32483725004136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414</v>
      </c>
      <c r="AG53" s="13">
        <f>VLOOKUP(A53,'Données projet'!$A$61:$I$81,9,0)</f>
        <v>17.399999999999999</v>
      </c>
      <c r="AH53" s="13">
        <f t="array" ref="AH53">INDEX(AG:AG,MIN(IF(ISNUMBER(AG53:AG249),ROW(AG53:AG249),"")))</f>
        <v>17.399999999999999</v>
      </c>
      <c r="AI53" s="14">
        <f>IF('Données projet'!$A$62&gt;35,AI52+AH53-AQ52,IF(A53&lt;'Données projet'!$A$62,$AF$205^A53,IF(A53='Données projet'!$A$62,'Données projet'!$B$62,AI52+AH53-AQ52)))</f>
        <v>414.00000000000011</v>
      </c>
      <c r="AJ53" s="14">
        <f>AI53*VLOOKUP('Données projet'!$B$10,Paramètres!$A$1:$I$89,3,0)*VLOOKUP('Données projet'!$B$10,Paramètres!$A$1:$I$89,5,0)</f>
        <v>247.57200000000009</v>
      </c>
      <c r="AK53" s="14">
        <f t="shared" si="35"/>
        <v>60.065726249156576</v>
      </c>
      <c r="AL53" s="22">
        <f t="shared" si="4"/>
        <v>535.80237321728123</v>
      </c>
      <c r="AM53" s="62">
        <f t="shared" si="5"/>
        <v>790.92335474675133</v>
      </c>
      <c r="AN53" s="62">
        <f ca="1">AVERAGE(OFFSET($AM$3,0,0,'Données projet'!$E$10+1,1))-AVERAGE(OFFSET($H$3,0,0,'Données projet'!$E$10+1,1))</f>
        <v>388.30126110099434</v>
      </c>
      <c r="AO53" s="62">
        <f t="shared" si="36"/>
        <v>390.81417197867495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15.5</v>
      </c>
      <c r="BD53" s="13">
        <f>IF('Données projet'!$A$88&gt;35,BD52+BC53-BL52,IF(A53&lt;'Données projet'!$A$88,$BA$205^A53,IF(A53='Données projet'!$A$88,'Données projet'!$B$88,BD52+BC53-BL52)))</f>
        <v>207.99999999999986</v>
      </c>
      <c r="BE53" s="14">
        <f>BD53*VLOOKUP('Données projet'!$B$11,Paramètres!$A$1:$I$89,3,0)*VLOOKUP('Données projet'!$B$11,Paramètres!$A$1:$I$89,5,0)</f>
        <v>178.46399999999991</v>
      </c>
      <c r="BF53" s="14">
        <f t="shared" si="37"/>
        <v>44.980284206661821</v>
      </c>
      <c r="BG53" s="22">
        <f t="shared" si="7"/>
        <v>389.16546165993583</v>
      </c>
      <c r="BH53" s="62">
        <f t="shared" si="8"/>
        <v>644.28644318940587</v>
      </c>
      <c r="BI53" s="62">
        <f ca="1">AVERAGE(OFFSET($BH$3,0,0,'Données projet'!$E$11+1,1))-AVERAGE(OFFSET($H$3,0,0,'Données projet'!$E$11+1,1))</f>
        <v>475.48669758994771</v>
      </c>
      <c r="BJ53" s="62">
        <f t="shared" si="38"/>
        <v>249.93713224442419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336</v>
      </c>
      <c r="BW53" s="13">
        <f>VLOOKUP(A53,'Données projet'!$A$113:$I$133,9,0)</f>
        <v>12.1</v>
      </c>
      <c r="BX53" s="13">
        <f t="array" ref="BX53">INDEX(BW:BW,MIN(IF(ISNUMBER(BW53:BW249),ROW(BW53:BW249),"")))</f>
        <v>12.1</v>
      </c>
      <c r="BY53" s="13">
        <f>IF('Données projet'!$A$114&gt;35,BY52+BX53-CG52,IF(A53&lt;'Données projet'!$A$114,$BV$205^A53,IF(A53='Données projet'!$A$114,'Données projet'!$B$114,BY52+BX53-CG52)))</f>
        <v>335.99999999999994</v>
      </c>
      <c r="BZ53" s="14">
        <f>BY53*VLOOKUP('Données projet'!$B$12,Paramètres!$A$1:$I$89,3,0)*VLOOKUP('Données projet'!$B$12,Paramètres!$A$1:$I$89,5,0)</f>
        <v>214.90559999999994</v>
      </c>
      <c r="CA53" s="14">
        <f t="shared" si="39"/>
        <v>53.006137800892326</v>
      </c>
      <c r="CB53" s="22">
        <f t="shared" si="10"/>
        <v>466.612943336554</v>
      </c>
      <c r="CC53" s="62">
        <f t="shared" si="11"/>
        <v>721.73392486602415</v>
      </c>
      <c r="CD53" s="62">
        <f ca="1">AVERAGE(OFFSET($CC$3,0,0,'Données projet'!$E$12+1,1))-AVERAGE(OFFSET($H$3,0,0,'Données projet'!$E$12+1,1))</f>
        <v>420.47368055225792</v>
      </c>
      <c r="CE53" s="62">
        <f t="shared" si="40"/>
        <v>372.56045490833549</v>
      </c>
      <c r="CF53" s="16">
        <f>IF(ISNA(VLOOKUP(A53,'Données projet'!$A$113:$I$133,3,0)),0,VLOOKUP(A53,'Données projet'!$A$113:$I$133,3,0))</f>
        <v>3</v>
      </c>
      <c r="CG53" s="16">
        <f>IF(ISNA(VLOOKUP(A53,'Données projet'!$A$113:$I$133,4,0)),0,VLOOKUP(A53,'Données projet'!$A$113:$I$133,4,0))</f>
        <v>57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241.20000000000005</v>
      </c>
      <c r="O54" s="14">
        <f>N54*VLOOKUP('Données projet'!$B$9,Paramètres!$A$1:$I$89,3,0)*VLOOKUP('Données projet'!$B$9,Paramètres!$A$1:$I$89,5,0)</f>
        <v>218.23776000000004</v>
      </c>
      <c r="P54" s="14">
        <f t="shared" si="33"/>
        <v>53.731692470599071</v>
      </c>
      <c r="Q54" s="22">
        <f t="shared" si="53"/>
        <v>473.68012971962668</v>
      </c>
      <c r="R54" s="62">
        <f t="shared" si="0"/>
        <v>729.46401012287356</v>
      </c>
      <c r="S54" s="62">
        <f ca="1">AVERAGE(OFFSET($R$3,0,0,'Données projet'!$E$9+1,1))-AVERAGE(OFFSET($H$3,0,0,'Données projet'!$E$9+1,1))</f>
        <v>551.36480098497589</v>
      </c>
      <c r="T54" s="62">
        <f t="shared" si="34"/>
        <v>297.32483725004136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19.2</v>
      </c>
      <c r="AI54" s="14">
        <f>IF('Données projet'!$A$62&gt;35,AI53+AH54-AQ53,IF(A54&lt;'Données projet'!$A$62,$AF$205^A54,IF(A54='Données projet'!$A$62,'Données projet'!$B$62,AI53+AH54-AQ53)))</f>
        <v>433.2000000000001</v>
      </c>
      <c r="AJ54" s="14">
        <f>AI54*VLOOKUP('Données projet'!$B$10,Paramètres!$A$1:$I$89,3,0)*VLOOKUP('Données projet'!$B$10,Paramètres!$A$1:$I$89,5,0)</f>
        <v>259.05360000000007</v>
      </c>
      <c r="AK54" s="14">
        <f t="shared" si="35"/>
        <v>62.520600926056744</v>
      </c>
      <c r="AL54" s="22">
        <f t="shared" si="4"/>
        <v>560.07506661288232</v>
      </c>
      <c r="AM54" s="62">
        <f t="shared" si="5"/>
        <v>815.85894701612915</v>
      </c>
      <c r="AN54" s="62">
        <f ca="1">AVERAGE(OFFSET($AM$3,0,0,'Données projet'!$E$10+1,1))-AVERAGE(OFFSET($H$3,0,0,'Données projet'!$E$10+1,1))</f>
        <v>388.30126110099434</v>
      </c>
      <c r="AO54" s="62">
        <f t="shared" si="36"/>
        <v>390.81417197867495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15.5</v>
      </c>
      <c r="BD54" s="13">
        <f>IF('Données projet'!$A$88&gt;35,BD53+BC54-BL53,IF(A54&lt;'Données projet'!$A$88,$BA$205^A54,IF(A54='Données projet'!$A$88,'Données projet'!$B$88,BD53+BC54-BL53)))</f>
        <v>223.49999999999986</v>
      </c>
      <c r="BE54" s="14">
        <f>BD54*VLOOKUP('Données projet'!$B$11,Paramètres!$A$1:$I$89,3,0)*VLOOKUP('Données projet'!$B$11,Paramètres!$A$1:$I$89,5,0)</f>
        <v>191.76299999999989</v>
      </c>
      <c r="BF54" s="14">
        <f t="shared" si="37"/>
        <v>47.929517351413239</v>
      </c>
      <c r="BG54" s="22">
        <f t="shared" si="7"/>
        <v>417.46446772037785</v>
      </c>
      <c r="BH54" s="62">
        <f t="shared" si="8"/>
        <v>673.24834812362474</v>
      </c>
      <c r="BI54" s="62">
        <f ca="1">AVERAGE(OFFSET($BH$3,0,0,'Données projet'!$E$11+1,1))-AVERAGE(OFFSET($H$3,0,0,'Données projet'!$E$11+1,1))</f>
        <v>475.48669758994771</v>
      </c>
      <c r="BJ54" s="62">
        <f t="shared" si="38"/>
        <v>249.93713224442419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10.9</v>
      </c>
      <c r="BY54" s="13">
        <f>IF('Données projet'!$A$114&gt;35,BY53+BX54-CG53,IF(A54&lt;'Données projet'!$A$114,$BV$205^A54,IF(A54='Données projet'!$A$114,'Données projet'!$B$114,BY53+BX54-CG53)))</f>
        <v>289.89999999999992</v>
      </c>
      <c r="BZ54" s="14">
        <f>BY54*VLOOKUP('Données projet'!$B$12,Paramètres!$A$1:$I$89,3,0)*VLOOKUP('Données projet'!$B$12,Paramètres!$A$1:$I$89,5,0)</f>
        <v>185.42003999999994</v>
      </c>
      <c r="CA54" s="14">
        <f t="shared" si="39"/>
        <v>46.525955274356527</v>
      </c>
      <c r="CB54" s="22">
        <f t="shared" si="10"/>
        <v>403.97260843617079</v>
      </c>
      <c r="CC54" s="62">
        <f t="shared" si="11"/>
        <v>659.75648883941767</v>
      </c>
      <c r="CD54" s="62">
        <f ca="1">AVERAGE(OFFSET($CC$3,0,0,'Données projet'!$E$12+1,1))-AVERAGE(OFFSET($H$3,0,0,'Données projet'!$E$12+1,1))</f>
        <v>420.47368055225792</v>
      </c>
      <c r="CE54" s="62">
        <f t="shared" si="40"/>
        <v>372.56045490833549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251.40000000000003</v>
      </c>
      <c r="O55" s="14">
        <f>N55*VLOOKUP('Données projet'!$B$9,Paramètres!$A$1:$I$89,3,0)*VLOOKUP('Données projet'!$B$9,Paramètres!$A$1:$I$89,5,0)</f>
        <v>227.46672000000004</v>
      </c>
      <c r="P55" s="14">
        <f t="shared" si="33"/>
        <v>55.734574592438989</v>
      </c>
      <c r="Q55" s="22">
        <f t="shared" si="53"/>
        <v>493.24225474849794</v>
      </c>
      <c r="R55" s="62">
        <f t="shared" si="0"/>
        <v>749.67753421208135</v>
      </c>
      <c r="S55" s="62">
        <f ca="1">AVERAGE(OFFSET($R$3,0,0,'Données projet'!$E$9+1,1))-AVERAGE(OFFSET($H$3,0,0,'Données projet'!$E$9+1,1))</f>
        <v>551.36480098497589</v>
      </c>
      <c r="T55" s="62">
        <f t="shared" si="34"/>
        <v>297.32483725004136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19.2</v>
      </c>
      <c r="AI55" s="14">
        <f>IF('Données projet'!$A$62&gt;35,AI54+AH55-AQ54,IF(A55&lt;'Données projet'!$A$62,$AF$205^A55,IF(A55='Données projet'!$A$62,'Données projet'!$B$62,AI54+AH55-AQ54)))</f>
        <v>452.40000000000009</v>
      </c>
      <c r="AJ55" s="14">
        <f>AI55*VLOOKUP('Données projet'!$B$10,Paramètres!$A$1:$I$89,3,0)*VLOOKUP('Données projet'!$B$10,Paramètres!$A$1:$I$89,5,0)</f>
        <v>270.53520000000009</v>
      </c>
      <c r="AK55" s="14">
        <f t="shared" si="35"/>
        <v>64.962839141501462</v>
      </c>
      <c r="AL55" s="22">
        <f t="shared" si="4"/>
        <v>584.32575150478181</v>
      </c>
      <c r="AM55" s="62">
        <f t="shared" si="5"/>
        <v>840.76103096836516</v>
      </c>
      <c r="AN55" s="62">
        <f ca="1">AVERAGE(OFFSET($AM$3,0,0,'Données projet'!$E$10+1,1))-AVERAGE(OFFSET($H$3,0,0,'Données projet'!$E$10+1,1))</f>
        <v>388.30126110099434</v>
      </c>
      <c r="AO55" s="62">
        <f t="shared" si="36"/>
        <v>390.81417197867495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15.5</v>
      </c>
      <c r="BD55" s="13">
        <f>IF('Données projet'!$A$88&gt;35,BD54+BC55-BL54,IF(A55&lt;'Données projet'!$A$88,$BA$205^A55,IF(A55='Données projet'!$A$88,'Données projet'!$B$88,BD54+BC55-BL54)))</f>
        <v>238.99999999999986</v>
      </c>
      <c r="BE55" s="14">
        <f>BD55*VLOOKUP('Données projet'!$B$11,Paramètres!$A$1:$I$89,3,0)*VLOOKUP('Données projet'!$B$11,Paramètres!$A$1:$I$89,5,0)</f>
        <v>205.0619999999999</v>
      </c>
      <c r="BF55" s="14">
        <f t="shared" si="37"/>
        <v>50.855018623514823</v>
      </c>
      <c r="BG55" s="22">
        <f t="shared" si="7"/>
        <v>445.72214076928805</v>
      </c>
      <c r="BH55" s="62">
        <f t="shared" si="8"/>
        <v>702.15742023287135</v>
      </c>
      <c r="BI55" s="62">
        <f ca="1">AVERAGE(OFFSET($BH$3,0,0,'Données projet'!$E$11+1,1))-AVERAGE(OFFSET($H$3,0,0,'Données projet'!$E$11+1,1))</f>
        <v>475.48669758994771</v>
      </c>
      <c r="BJ55" s="62">
        <f t="shared" si="38"/>
        <v>249.93713224442419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10.9</v>
      </c>
      <c r="BY55" s="13">
        <f>IF('Données projet'!$A$114&gt;35,BY54+BX55-CG54,IF(A55&lt;'Données projet'!$A$114,$BV$205^A55,IF(A55='Données projet'!$A$114,'Données projet'!$B$114,BY54+BX55-CG54)))</f>
        <v>300.7999999999999</v>
      </c>
      <c r="BZ55" s="14">
        <f>BY55*VLOOKUP('Données projet'!$B$12,Paramètres!$A$1:$I$89,3,0)*VLOOKUP('Données projet'!$B$12,Paramètres!$A$1:$I$89,5,0)</f>
        <v>192.39167999999992</v>
      </c>
      <c r="CA55" s="14">
        <f t="shared" si="39"/>
        <v>48.068333764993156</v>
      </c>
      <c r="CB55" s="22">
        <f t="shared" si="10"/>
        <v>418.80119064069623</v>
      </c>
      <c r="CC55" s="62">
        <f t="shared" si="11"/>
        <v>675.23647010427953</v>
      </c>
      <c r="CD55" s="62">
        <f ca="1">AVERAGE(OFFSET($CC$3,0,0,'Données projet'!$E$12+1,1))-AVERAGE(OFFSET($H$3,0,0,'Données projet'!$E$12+1,1))</f>
        <v>420.47368055225792</v>
      </c>
      <c r="CE55" s="62">
        <f t="shared" si="40"/>
        <v>372.56045490833549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261.60000000000002</v>
      </c>
      <c r="O56" s="14">
        <f>N56*VLOOKUP('Données projet'!$B$9,Paramètres!$A$1:$I$89,3,0)*VLOOKUP('Données projet'!$B$9,Paramètres!$A$1:$I$89,5,0)</f>
        <v>236.69568000000001</v>
      </c>
      <c r="P56" s="14">
        <f t="shared" si="33"/>
        <v>57.72801732243034</v>
      </c>
      <c r="Q56" s="22">
        <f t="shared" si="53"/>
        <v>512.78793950323291</v>
      </c>
      <c r="R56" s="62">
        <f t="shared" si="0"/>
        <v>769.86331770976608</v>
      </c>
      <c r="S56" s="62">
        <f ca="1">AVERAGE(OFFSET($R$3,0,0,'Données projet'!$E$9+1,1))-AVERAGE(OFFSET($H$3,0,0,'Données projet'!$E$9+1,1))</f>
        <v>551.36480098497589</v>
      </c>
      <c r="T56" s="62">
        <f t="shared" si="34"/>
        <v>297.32483725004136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19.2</v>
      </c>
      <c r="AI56" s="14">
        <f>IF('Données projet'!$A$62&gt;35,AI55+AH56-AQ55,IF(A56&lt;'Données projet'!$A$62,$AF$205^A56,IF(A56='Données projet'!$A$62,'Données projet'!$B$62,AI55+AH56-AQ55)))</f>
        <v>471.60000000000008</v>
      </c>
      <c r="AJ56" s="14">
        <f>AI56*VLOOKUP('Données projet'!$B$10,Paramètres!$A$1:$I$89,3,0)*VLOOKUP('Données projet'!$B$10,Paramètres!$A$1:$I$89,5,0)</f>
        <v>282.01680000000005</v>
      </c>
      <c r="AK56" s="14">
        <f t="shared" si="35"/>
        <v>67.393038505342176</v>
      </c>
      <c r="AL56" s="22">
        <f t="shared" si="4"/>
        <v>608.5554687301377</v>
      </c>
      <c r="AM56" s="62">
        <f t="shared" si="5"/>
        <v>865.63084693667088</v>
      </c>
      <c r="AN56" s="62">
        <f ca="1">AVERAGE(OFFSET($AM$3,0,0,'Données projet'!$E$10+1,1))-AVERAGE(OFFSET($H$3,0,0,'Données projet'!$E$10+1,1))</f>
        <v>388.30126110099434</v>
      </c>
      <c r="AO56" s="62">
        <f t="shared" si="36"/>
        <v>390.81417197867495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15.5</v>
      </c>
      <c r="BD56" s="13">
        <f>IF('Données projet'!$A$88&gt;35,BD55+BC56-BL55,IF(A56&lt;'Données projet'!$A$88,$BA$205^A56,IF(A56='Données projet'!$A$88,'Données projet'!$B$88,BD55+BC56-BL55)))</f>
        <v>254.49999999999986</v>
      </c>
      <c r="BE56" s="14">
        <f>BD56*VLOOKUP('Données projet'!$B$11,Paramètres!$A$1:$I$89,3,0)*VLOOKUP('Données projet'!$B$11,Paramètres!$A$1:$I$89,5,0)</f>
        <v>218.3609999999999</v>
      </c>
      <c r="BF56" s="14">
        <f t="shared" si="37"/>
        <v>53.758502281527136</v>
      </c>
      <c r="BG56" s="22">
        <f t="shared" si="7"/>
        <v>473.94146647365955</v>
      </c>
      <c r="BH56" s="62">
        <f t="shared" si="8"/>
        <v>731.01684468019278</v>
      </c>
      <c r="BI56" s="62">
        <f ca="1">AVERAGE(OFFSET($BH$3,0,0,'Données projet'!$E$11+1,1))-AVERAGE(OFFSET($H$3,0,0,'Données projet'!$E$11+1,1))</f>
        <v>475.48669758994771</v>
      </c>
      <c r="BJ56" s="62">
        <f t="shared" si="38"/>
        <v>249.93713224442419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10.9</v>
      </c>
      <c r="BY56" s="13">
        <f>IF('Données projet'!$A$114&gt;35,BY55+BX56-CG55,IF(A56&lt;'Données projet'!$A$114,$BV$205^A56,IF(A56='Données projet'!$A$114,'Données projet'!$B$114,BY55+BX56-CG55)))</f>
        <v>311.69999999999987</v>
      </c>
      <c r="BZ56" s="14">
        <f>BY56*VLOOKUP('Données projet'!$B$12,Paramètres!$A$1:$I$89,3,0)*VLOOKUP('Données projet'!$B$12,Paramètres!$A$1:$I$89,5,0)</f>
        <v>199.3633199999999</v>
      </c>
      <c r="CA56" s="14">
        <f t="shared" si="39"/>
        <v>49.604218776931177</v>
      </c>
      <c r="CB56" s="22">
        <f t="shared" si="10"/>
        <v>433.61846336982154</v>
      </c>
      <c r="CC56" s="62">
        <f t="shared" si="11"/>
        <v>690.69384157635477</v>
      </c>
      <c r="CD56" s="62">
        <f ca="1">AVERAGE(OFFSET($CC$3,0,0,'Données projet'!$E$12+1,1))-AVERAGE(OFFSET($H$3,0,0,'Données projet'!$E$12+1,1))</f>
        <v>420.47368055225792</v>
      </c>
      <c r="CE56" s="62">
        <f t="shared" si="40"/>
        <v>372.56045490833549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271.8</v>
      </c>
      <c r="O57" s="14">
        <f>N57*VLOOKUP('Données projet'!$B$9,Paramètres!$A$1:$I$89,3,0)*VLOOKUP('Données projet'!$B$9,Paramètres!$A$1:$I$89,5,0)</f>
        <v>245.92464000000001</v>
      </c>
      <c r="P57" s="14">
        <f t="shared" si="33"/>
        <v>59.712430831913537</v>
      </c>
      <c r="Q57" s="22">
        <f t="shared" si="53"/>
        <v>532.31789836558266</v>
      </c>
      <c r="R57" s="62">
        <f t="shared" si="0"/>
        <v>790.02227103292194</v>
      </c>
      <c r="S57" s="62">
        <f ca="1">AVERAGE(OFFSET($R$3,0,0,'Données projet'!$E$9+1,1))-AVERAGE(OFFSET($H$3,0,0,'Données projet'!$E$9+1,1))</f>
        <v>551.36480098497589</v>
      </c>
      <c r="T57" s="62">
        <f t="shared" si="34"/>
        <v>297.32483725004136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19.2</v>
      </c>
      <c r="AI57" s="14">
        <f>IF('Données projet'!$A$62&gt;35,AI56+AH57-AQ56,IF(A57&lt;'Données projet'!$A$62,$AF$205^A57,IF(A57='Données projet'!$A$62,'Données projet'!$B$62,AI56+AH57-AQ56)))</f>
        <v>490.80000000000007</v>
      </c>
      <c r="AJ57" s="14">
        <f>AI57*VLOOKUP('Données projet'!$B$10,Paramètres!$A$1:$I$89,3,0)*VLOOKUP('Données projet'!$B$10,Paramètres!$A$1:$I$89,5,0)</f>
        <v>293.49840000000006</v>
      </c>
      <c r="AK57" s="14">
        <f t="shared" si="35"/>
        <v>69.811745213342235</v>
      </c>
      <c r="AL57" s="22">
        <f t="shared" si="4"/>
        <v>632.76516957990441</v>
      </c>
      <c r="AM57" s="62">
        <f t="shared" si="5"/>
        <v>890.46954224724368</v>
      </c>
      <c r="AN57" s="62">
        <f ca="1">AVERAGE(OFFSET($AM$3,0,0,'Données projet'!$E$10+1,1))-AVERAGE(OFFSET($H$3,0,0,'Données projet'!$E$10+1,1))</f>
        <v>388.30126110099434</v>
      </c>
      <c r="AO57" s="62">
        <f t="shared" si="36"/>
        <v>390.81417197867495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>
        <f>VLOOKUP(A57,'Données projet'!$A$87:$I$107,2,0)</f>
        <v>270</v>
      </c>
      <c r="BB57" s="13">
        <f>VLOOKUP(A57,'Données projet'!$A$87:$I$107,9,0)</f>
        <v>15.5</v>
      </c>
      <c r="BC57" s="13">
        <f t="array" ref="BC57">INDEX(BB:BB,MIN(IF(ISNUMBER(BB57:BB253),ROW(BB57:BB253),"")))</f>
        <v>15.5</v>
      </c>
      <c r="BD57" s="13">
        <f>IF('Données projet'!$A$88&gt;35,BD56+BC57-BL56,IF(A57&lt;'Données projet'!$A$88,$BA$205^A57,IF(A57='Données projet'!$A$88,'Données projet'!$B$88,BD56+BC57-BL56)))</f>
        <v>269.99999999999989</v>
      </c>
      <c r="BE57" s="14">
        <f>BD57*VLOOKUP('Données projet'!$B$11,Paramètres!$A$1:$I$89,3,0)*VLOOKUP('Données projet'!$B$11,Paramètres!$A$1:$I$89,5,0)</f>
        <v>231.65999999999991</v>
      </c>
      <c r="BF57" s="14">
        <f t="shared" si="37"/>
        <v>56.641461975682766</v>
      </c>
      <c r="BG57" s="22">
        <f t="shared" si="7"/>
        <v>502.125046274314</v>
      </c>
      <c r="BH57" s="62">
        <f t="shared" si="8"/>
        <v>759.82941894165333</v>
      </c>
      <c r="BI57" s="62">
        <f ca="1">AVERAGE(OFFSET($BH$3,0,0,'Données projet'!$E$11+1,1))-AVERAGE(OFFSET($H$3,0,0,'Données projet'!$E$11+1,1))</f>
        <v>475.48669758994771</v>
      </c>
      <c r="BJ57" s="62">
        <f t="shared" si="38"/>
        <v>249.93713224442419</v>
      </c>
      <c r="BK57" s="16">
        <f>IF(ISNA(VLOOKUP(A57,'Données projet'!$A$87:$I$107,3,0)),0,VLOOKUP(A57,'Données projet'!$A$87:$I$107,3,0))</f>
        <v>6</v>
      </c>
      <c r="BL57" s="16">
        <f>IF(ISNA(VLOOKUP(A57,'Données projet'!$A$87:$I$107,4,0)),0,VLOOKUP(A57,'Données projet'!$A$87:$I$107,4,0))</f>
        <v>64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10.9</v>
      </c>
      <c r="BY57" s="13">
        <f>IF('Données projet'!$A$114&gt;35,BY56+BX57-CG56,IF(A57&lt;'Données projet'!$A$114,$BV$205^A57,IF(A57='Données projet'!$A$114,'Données projet'!$B$114,BY56+BX57-CG56)))</f>
        <v>322.59999999999985</v>
      </c>
      <c r="BZ57" s="14">
        <f>BY57*VLOOKUP('Données projet'!$B$12,Paramètres!$A$1:$I$89,3,0)*VLOOKUP('Données projet'!$B$12,Paramètres!$A$1:$I$89,5,0)</f>
        <v>206.33495999999991</v>
      </c>
      <c r="CA57" s="14">
        <f t="shared" si="39"/>
        <v>51.133863405029423</v>
      </c>
      <c r="CB57" s="22">
        <f t="shared" si="10"/>
        <v>448.4248674304261</v>
      </c>
      <c r="CC57" s="62">
        <f t="shared" si="11"/>
        <v>706.12924009776543</v>
      </c>
      <c r="CD57" s="62">
        <f ca="1">AVERAGE(OFFSET($CC$3,0,0,'Données projet'!$E$12+1,1))-AVERAGE(OFFSET($H$3,0,0,'Données projet'!$E$12+1,1))</f>
        <v>420.47368055225792</v>
      </c>
      <c r="CE57" s="62">
        <f t="shared" si="40"/>
        <v>372.56045490833549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282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282</v>
      </c>
      <c r="O58" s="14">
        <f>N58*VLOOKUP('Données projet'!$B$9,Paramètres!$A$1:$I$89,3,0)*VLOOKUP('Données projet'!$B$9,Paramètres!$A$1:$I$89,5,0)</f>
        <v>255.15360000000001</v>
      </c>
      <c r="P58" s="14">
        <f t="shared" si="33"/>
        <v>61.688192762754426</v>
      </c>
      <c r="Q58" s="22">
        <f t="shared" si="53"/>
        <v>551.83278906179726</v>
      </c>
      <c r="R58" s="62">
        <f t="shared" si="0"/>
        <v>810.15524454226863</v>
      </c>
      <c r="S58" s="62">
        <f ca="1">AVERAGE(OFFSET($R$3,0,0,'Données projet'!$E$9+1,1))-AVERAGE(OFFSET($H$3,0,0,'Données projet'!$E$9+1,1))</f>
        <v>551.36480098497589</v>
      </c>
      <c r="T58" s="62">
        <f t="shared" si="34"/>
        <v>297.32483725004136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56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510</v>
      </c>
      <c r="AG58" s="13">
        <f>VLOOKUP(A58,'Données projet'!$A$61:$I$81,9,0)</f>
        <v>19.2</v>
      </c>
      <c r="AH58" s="13">
        <f t="array" ref="AH58">INDEX(AG:AG,MIN(IF(ISNUMBER(AG58:AG254),ROW(AG58:AG254),"")))</f>
        <v>19.2</v>
      </c>
      <c r="AI58" s="14">
        <f>IF('Données projet'!$A$62&gt;35,AI57+AH58-AQ57,IF(A58&lt;'Données projet'!$A$62,$AF$205^A58,IF(A58='Données projet'!$A$62,'Données projet'!$B$62,AI57+AH58-AQ57)))</f>
        <v>510.00000000000006</v>
      </c>
      <c r="AJ58" s="14">
        <f>AI58*VLOOKUP('Données projet'!$B$10,Paramètres!$A$1:$I$89,3,0)*VLOOKUP('Données projet'!$B$10,Paramètres!$A$1:$I$89,5,0)</f>
        <v>304.98</v>
      </c>
      <c r="AK58" s="14">
        <f t="shared" si="35"/>
        <v>72.219460307561079</v>
      </c>
      <c r="AL58" s="22">
        <f t="shared" si="4"/>
        <v>656.9557267023356</v>
      </c>
      <c r="AM58" s="62">
        <f t="shared" si="5"/>
        <v>915.27818218280697</v>
      </c>
      <c r="AN58" s="62">
        <f ca="1">AVERAGE(OFFSET($AM$3,0,0,'Données projet'!$E$10+1,1))-AVERAGE(OFFSET($H$3,0,0,'Données projet'!$E$10+1,1))</f>
        <v>388.30126110099434</v>
      </c>
      <c r="AO58" s="62">
        <f t="shared" si="36"/>
        <v>390.81417197867495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95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14.833333333333334</v>
      </c>
      <c r="BD58" s="13">
        <f>IF('Données projet'!$A$88&gt;35,BD57+BC58-BL57,IF(A58&lt;'Données projet'!$A$88,$BA$205^A58,IF(A58='Données projet'!$A$88,'Données projet'!$B$88,BD57+BC58-BL57)))</f>
        <v>220.8333333333332</v>
      </c>
      <c r="BE58" s="14">
        <f>BD58*VLOOKUP('Données projet'!$B$11,Paramètres!$A$1:$I$89,3,0)*VLOOKUP('Données projet'!$B$11,Paramètres!$A$1:$I$89,5,0)</f>
        <v>189.47499999999991</v>
      </c>
      <c r="BF58" s="14">
        <f t="shared" si="37"/>
        <v>47.423864120172716</v>
      </c>
      <c r="BG58" s="22">
        <f t="shared" si="7"/>
        <v>412.59885500930062</v>
      </c>
      <c r="BH58" s="62">
        <f t="shared" si="8"/>
        <v>670.92131048977194</v>
      </c>
      <c r="BI58" s="62">
        <f ca="1">AVERAGE(OFFSET($BH$3,0,0,'Données projet'!$E$11+1,1))-AVERAGE(OFFSET($H$3,0,0,'Données projet'!$E$11+1,1))</f>
        <v>475.48669758994771</v>
      </c>
      <c r="BJ58" s="62">
        <f t="shared" si="38"/>
        <v>249.93713224442419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10.9</v>
      </c>
      <c r="BY58" s="13">
        <f>IF('Données projet'!$A$114&gt;35,BY57+BX58-CG57,IF(A58&lt;'Données projet'!$A$114,$BV$205^A58,IF(A58='Données projet'!$A$114,'Données projet'!$B$114,BY57+BX58-CG57)))</f>
        <v>333.49999999999983</v>
      </c>
      <c r="BZ58" s="14">
        <f>BY58*VLOOKUP('Données projet'!$B$12,Paramètres!$A$1:$I$89,3,0)*VLOOKUP('Données projet'!$B$12,Paramètres!$A$1:$I$89,5,0)</f>
        <v>213.30659999999989</v>
      </c>
      <c r="CA58" s="14">
        <f t="shared" si="39"/>
        <v>52.657502670702272</v>
      </c>
      <c r="CB58" s="22">
        <f t="shared" si="10"/>
        <v>463.2208121514729</v>
      </c>
      <c r="CC58" s="62">
        <f t="shared" si="11"/>
        <v>721.54326763194422</v>
      </c>
      <c r="CD58" s="62">
        <f ca="1">AVERAGE(OFFSET($CC$3,0,0,'Données projet'!$E$12+1,1))-AVERAGE(OFFSET($H$3,0,0,'Données projet'!$E$12+1,1))</f>
        <v>420.47368055225792</v>
      </c>
      <c r="CE58" s="62">
        <f t="shared" si="40"/>
        <v>372.56045490833549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721.47875790189846</v>
      </c>
      <c r="S59" s="62">
        <f ca="1">AVERAGE(OFFSET($R$3,0,0,'Données projet'!$E$9+1,1))-AVERAGE(OFFSET($H$3,0,0,'Données projet'!$E$9+1,1))</f>
        <v>551.36480098497589</v>
      </c>
      <c r="T59" s="62">
        <f t="shared" si="34"/>
        <v>297.32483725004136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17</v>
      </c>
      <c r="AI59" s="14">
        <f>IF('Données projet'!$A$62&gt;35,AI58+AH59-AQ58,IF(A59&lt;'Données projet'!$A$62,$AF$205^A59,IF(A59='Données projet'!$A$62,'Données projet'!$B$62,AI58+AH59-AQ58)))</f>
        <v>432</v>
      </c>
      <c r="AJ59" s="14">
        <f>AI59*VLOOKUP('Données projet'!$B$10,Paramètres!$A$1:$I$89,3,0)*VLOOKUP('Données projet'!$B$10,Paramètres!$A$1:$I$89,5,0)</f>
        <v>258.33600000000001</v>
      </c>
      <c r="AK59" s="14">
        <f t="shared" si="35"/>
        <v>62.367547966451262</v>
      </c>
      <c r="AL59" s="22">
        <f t="shared" si="4"/>
        <v>558.55867937490257</v>
      </c>
      <c r="AM59" s="62">
        <f t="shared" si="5"/>
        <v>817.48849531352425</v>
      </c>
      <c r="AN59" s="62">
        <f ca="1">AVERAGE(OFFSET($AM$3,0,0,'Données projet'!$E$10+1,1))-AVERAGE(OFFSET($H$3,0,0,'Données projet'!$E$10+1,1))</f>
        <v>388.30126110099434</v>
      </c>
      <c r="AO59" s="62">
        <f t="shared" si="36"/>
        <v>390.81417197867495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14.833333333333334</v>
      </c>
      <c r="BD59" s="13">
        <f>IF('Données projet'!$A$88&gt;35,BD58+BC59-BL58,IF(A59&lt;'Données projet'!$A$88,$BA$205^A59,IF(A59='Données projet'!$A$88,'Données projet'!$B$88,BD58+BC59-BL58)))</f>
        <v>235.66666666666654</v>
      </c>
      <c r="BE59" s="14">
        <f>BD59*VLOOKUP('Données projet'!$B$11,Paramètres!$A$1:$I$89,3,0)*VLOOKUP('Données projet'!$B$11,Paramètres!$A$1:$I$89,5,0)</f>
        <v>202.20199999999994</v>
      </c>
      <c r="BF59" s="14">
        <f t="shared" si="37"/>
        <v>50.227791845116698</v>
      </c>
      <c r="BG59" s="22">
        <f t="shared" si="7"/>
        <v>439.6485541302448</v>
      </c>
      <c r="BH59" s="62">
        <f t="shared" si="8"/>
        <v>698.57837006886655</v>
      </c>
      <c r="BI59" s="62">
        <f ca="1">AVERAGE(OFFSET($BH$3,0,0,'Données projet'!$E$11+1,1))-AVERAGE(OFFSET($H$3,0,0,'Données projet'!$E$11+1,1))</f>
        <v>475.48669758994771</v>
      </c>
      <c r="BJ59" s="62">
        <f t="shared" si="38"/>
        <v>249.93713224442419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10.9</v>
      </c>
      <c r="BY59" s="13">
        <f>IF('Données projet'!$A$114&gt;35,BY58+BX59-CG58,IF(A59&lt;'Données projet'!$A$114,$BV$205^A59,IF(A59='Données projet'!$A$114,'Données projet'!$B$114,BY58+BX59-CG58)))</f>
        <v>344.39999999999981</v>
      </c>
      <c r="BZ59" s="14">
        <f>BY59*VLOOKUP('Données projet'!$B$12,Paramètres!$A$1:$I$89,3,0)*VLOOKUP('Données projet'!$B$12,Paramètres!$A$1:$I$89,5,0)</f>
        <v>220.2782399999999</v>
      </c>
      <c r="CA59" s="14">
        <f t="shared" si="39"/>
        <v>54.175355360635812</v>
      </c>
      <c r="CB59" s="22">
        <f t="shared" si="10"/>
        <v>478.00667858644039</v>
      </c>
      <c r="CC59" s="62">
        <f t="shared" si="11"/>
        <v>736.93649452506213</v>
      </c>
      <c r="CD59" s="62">
        <f ca="1">AVERAGE(OFFSET($CC$3,0,0,'Données projet'!$E$12+1,1))-AVERAGE(OFFSET($H$3,0,0,'Données projet'!$E$12+1,1))</f>
        <v>420.47368055225792</v>
      </c>
      <c r="CE59" s="62">
        <f t="shared" si="40"/>
        <v>372.56045490833549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740.11297380909809</v>
      </c>
      <c r="S60" s="62">
        <f ca="1">AVERAGE(OFFSET($R$3,0,0,'Données projet'!$E$9+1,1))-AVERAGE(OFFSET($H$3,0,0,'Données projet'!$E$9+1,1))</f>
        <v>551.36480098497589</v>
      </c>
      <c r="T60" s="62">
        <f t="shared" si="34"/>
        <v>297.32483725004136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17</v>
      </c>
      <c r="AI60" s="14">
        <f>IF('Données projet'!$A$62&gt;35,AI59+AH60-AQ59,IF(A60&lt;'Données projet'!$A$62,$AF$205^A60,IF(A60='Données projet'!$A$62,'Données projet'!$B$62,AI59+AH60-AQ59)))</f>
        <v>449</v>
      </c>
      <c r="AJ60" s="14">
        <f>AI60*VLOOKUP('Données projet'!$B$10,Paramètres!$A$1:$I$89,3,0)*VLOOKUP('Données projet'!$B$10,Paramètres!$A$1:$I$89,5,0)</f>
        <v>268.50200000000001</v>
      </c>
      <c r="AK60" s="14">
        <f t="shared" si="35"/>
        <v>64.531253013339168</v>
      </c>
      <c r="AL60" s="22">
        <f t="shared" si="4"/>
        <v>580.03291566489895</v>
      </c>
      <c r="AM60" s="62">
        <f t="shared" si="5"/>
        <v>839.55955571557661</v>
      </c>
      <c r="AN60" s="62">
        <f ca="1">AVERAGE(OFFSET($AM$3,0,0,'Données projet'!$E$10+1,1))-AVERAGE(OFFSET($H$3,0,0,'Données projet'!$E$10+1,1))</f>
        <v>388.30126110099434</v>
      </c>
      <c r="AO60" s="62">
        <f t="shared" si="36"/>
        <v>390.81417197867495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14.833333333333334</v>
      </c>
      <c r="BD60" s="13">
        <f>IF('Données projet'!$A$88&gt;35,BD59+BC60-BL59,IF(A60&lt;'Données projet'!$A$88,$BA$205^A60,IF(A60='Données projet'!$A$88,'Données projet'!$B$88,BD59+BC60-BL59)))</f>
        <v>250.49999999999989</v>
      </c>
      <c r="BE60" s="14">
        <f>BD60*VLOOKUP('Données projet'!$B$11,Paramètres!$A$1:$I$89,3,0)*VLOOKUP('Données projet'!$B$11,Paramètres!$A$1:$I$89,5,0)</f>
        <v>214.92899999999992</v>
      </c>
      <c r="BF60" s="14">
        <f t="shared" si="37"/>
        <v>53.011237531572512</v>
      </c>
      <c r="BG60" s="22">
        <f t="shared" si="7"/>
        <v>466.66258036748872</v>
      </c>
      <c r="BH60" s="62">
        <f t="shared" si="8"/>
        <v>726.18922041816643</v>
      </c>
      <c r="BI60" s="62">
        <f ca="1">AVERAGE(OFFSET($BH$3,0,0,'Données projet'!$E$11+1,1))-AVERAGE(OFFSET($H$3,0,0,'Données projet'!$E$11+1,1))</f>
        <v>475.48669758994771</v>
      </c>
      <c r="BJ60" s="62">
        <f t="shared" si="38"/>
        <v>249.93713224442419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10.9</v>
      </c>
      <c r="BY60" s="13">
        <f>IF('Données projet'!$A$114&gt;35,BY59+BX60-CG59,IF(A60&lt;'Données projet'!$A$114,$BV$205^A60,IF(A60='Données projet'!$A$114,'Données projet'!$B$114,BY59+BX60-CG59)))</f>
        <v>355.29999999999978</v>
      </c>
      <c r="BZ60" s="14">
        <f>BY60*VLOOKUP('Données projet'!$B$12,Paramètres!$A$1:$I$89,3,0)*VLOOKUP('Données projet'!$B$12,Paramètres!$A$1:$I$89,5,0)</f>
        <v>227.24987999999988</v>
      </c>
      <c r="CA60" s="14">
        <f t="shared" si="39"/>
        <v>55.687625626189636</v>
      </c>
      <c r="CB60" s="22">
        <f t="shared" si="10"/>
        <v>492.78282229894677</v>
      </c>
      <c r="CC60" s="62">
        <f t="shared" si="11"/>
        <v>752.30946234962448</v>
      </c>
      <c r="CD60" s="62">
        <f ca="1">AVERAGE(OFFSET($CC$3,0,0,'Données projet'!$E$12+1,1))-AVERAGE(OFFSET($H$3,0,0,'Données projet'!$E$12+1,1))</f>
        <v>420.47368055225792</v>
      </c>
      <c r="CE60" s="62">
        <f t="shared" si="40"/>
        <v>372.56045490833549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758.7224531863385</v>
      </c>
      <c r="S61" s="62">
        <f ca="1">AVERAGE(OFFSET($R$3,0,0,'Données projet'!$E$9+1,1))-AVERAGE(OFFSET($H$3,0,0,'Données projet'!$E$9+1,1))</f>
        <v>551.36480098497589</v>
      </c>
      <c r="T61" s="62">
        <f t="shared" si="34"/>
        <v>297.32483725004136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17</v>
      </c>
      <c r="AI61" s="14">
        <f>IF('Données projet'!$A$62&gt;35,AI60+AH61-AQ60,IF(A61&lt;'Données projet'!$A$62,$AF$205^A61,IF(A61='Données projet'!$A$62,'Données projet'!$B$62,AI60+AH61-AQ60)))</f>
        <v>466</v>
      </c>
      <c r="AJ61" s="14">
        <f>AI61*VLOOKUP('Données projet'!$B$10,Paramètres!$A$1:$I$89,3,0)*VLOOKUP('Données projet'!$B$10,Paramètres!$A$1:$I$89,5,0)</f>
        <v>278.66800000000001</v>
      </c>
      <c r="AK61" s="14">
        <f t="shared" si="35"/>
        <v>66.685440917424543</v>
      </c>
      <c r="AL61" s="22">
        <f t="shared" si="4"/>
        <v>601.49057626451452</v>
      </c>
      <c r="AM61" s="62">
        <f t="shared" si="5"/>
        <v>861.60368686320294</v>
      </c>
      <c r="AN61" s="62">
        <f ca="1">AVERAGE(OFFSET($AM$3,0,0,'Données projet'!$E$10+1,1))-AVERAGE(OFFSET($H$3,0,0,'Données projet'!$E$10+1,1))</f>
        <v>388.30126110099434</v>
      </c>
      <c r="AO61" s="62">
        <f t="shared" si="36"/>
        <v>390.81417197867495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14.833333333333334</v>
      </c>
      <c r="BD61" s="13">
        <f>IF('Données projet'!$A$88&gt;35,BD60+BC61-BL60,IF(A61&lt;'Données projet'!$A$88,$BA$205^A61,IF(A61='Données projet'!$A$88,'Données projet'!$B$88,BD60+BC61-BL60)))</f>
        <v>265.3333333333332</v>
      </c>
      <c r="BE61" s="14">
        <f>BD61*VLOOKUP('Données projet'!$B$11,Paramètres!$A$1:$I$89,3,0)*VLOOKUP('Données projet'!$B$11,Paramètres!$A$1:$I$89,5,0)</f>
        <v>227.65599999999992</v>
      </c>
      <c r="BF61" s="14">
        <f t="shared" si="37"/>
        <v>55.775552165489643</v>
      </c>
      <c r="BG61" s="22">
        <f t="shared" si="7"/>
        <v>493.64328668822759</v>
      </c>
      <c r="BH61" s="62">
        <f t="shared" si="8"/>
        <v>753.75639728691601</v>
      </c>
      <c r="BI61" s="62">
        <f ca="1">AVERAGE(OFFSET($BH$3,0,0,'Données projet'!$E$11+1,1))-AVERAGE(OFFSET($H$3,0,0,'Données projet'!$E$11+1,1))</f>
        <v>475.48669758994771</v>
      </c>
      <c r="BJ61" s="62">
        <f t="shared" si="38"/>
        <v>249.93713224442419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10.9</v>
      </c>
      <c r="BY61" s="13">
        <f>IF('Données projet'!$A$114&gt;35,BY60+BX61-CG60,IF(A61&lt;'Données projet'!$A$114,$BV$205^A61,IF(A61='Données projet'!$A$114,'Données projet'!$B$114,BY60+BX61-CG60)))</f>
        <v>366.19999999999976</v>
      </c>
      <c r="BZ61" s="14">
        <f>BY61*VLOOKUP('Données projet'!$B$12,Paramètres!$A$1:$I$89,3,0)*VLOOKUP('Données projet'!$B$12,Paramètres!$A$1:$I$89,5,0)</f>
        <v>234.22151999999983</v>
      </c>
      <c r="CA61" s="14">
        <f t="shared" si="39"/>
        <v>57.194504381016898</v>
      </c>
      <c r="CB61" s="22">
        <f t="shared" si="10"/>
        <v>507.5495757969374</v>
      </c>
      <c r="CC61" s="62">
        <f t="shared" si="11"/>
        <v>767.66268639562577</v>
      </c>
      <c r="CD61" s="62">
        <f ca="1">AVERAGE(OFFSET($CC$3,0,0,'Données projet'!$E$12+1,1))-AVERAGE(OFFSET($H$3,0,0,'Données projet'!$E$12+1,1))</f>
        <v>420.47368055225792</v>
      </c>
      <c r="CE61" s="62">
        <f t="shared" si="40"/>
        <v>372.56045490833549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777.30796841682741</v>
      </c>
      <c r="S62" s="62">
        <f ca="1">AVERAGE(OFFSET($R$3,0,0,'Données projet'!$E$9+1,1))-AVERAGE(OFFSET($H$3,0,0,'Données projet'!$E$9+1,1))</f>
        <v>551.36480098497589</v>
      </c>
      <c r="T62" s="62">
        <f t="shared" si="34"/>
        <v>297.32483725004136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17</v>
      </c>
      <c r="AI62" s="14">
        <f>IF('Données projet'!$A$62&gt;35,AI61+AH62-AQ61,IF(A62&lt;'Données projet'!$A$62,$AF$205^A62,IF(A62='Données projet'!$A$62,'Données projet'!$B$62,AI61+AH62-AQ61)))</f>
        <v>483</v>
      </c>
      <c r="AJ62" s="14">
        <f>AI62*VLOOKUP('Données projet'!$B$10,Paramètres!$A$1:$I$89,3,0)*VLOOKUP('Données projet'!$B$10,Paramètres!$A$1:$I$89,5,0)</f>
        <v>288.834</v>
      </c>
      <c r="AK62" s="14">
        <f t="shared" si="35"/>
        <v>68.830498636563377</v>
      </c>
      <c r="AL62" s="22">
        <f t="shared" si="4"/>
        <v>622.93233512534789</v>
      </c>
      <c r="AM62" s="62">
        <f t="shared" si="5"/>
        <v>883.62174231919062</v>
      </c>
      <c r="AN62" s="62">
        <f ca="1">AVERAGE(OFFSET($AM$3,0,0,'Données projet'!$E$10+1,1))-AVERAGE(OFFSET($H$3,0,0,'Données projet'!$E$10+1,1))</f>
        <v>388.30126110099434</v>
      </c>
      <c r="AO62" s="62">
        <f t="shared" si="36"/>
        <v>390.81417197867495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14.833333333333334</v>
      </c>
      <c r="BD62" s="13">
        <f>IF('Données projet'!$A$88&gt;35,BD61+BC62-BL61,IF(A62&lt;'Données projet'!$A$88,$BA$205^A62,IF(A62='Données projet'!$A$88,'Données projet'!$B$88,BD61+BC62-BL61)))</f>
        <v>280.16666666666652</v>
      </c>
      <c r="BE62" s="14">
        <f>BD62*VLOOKUP('Données projet'!$B$11,Paramètres!$A$1:$I$89,3,0)*VLOOKUP('Données projet'!$B$11,Paramètres!$A$1:$I$89,5,0)</f>
        <v>240.38299999999987</v>
      </c>
      <c r="BF62" s="14">
        <f t="shared" si="37"/>
        <v>58.521927148992098</v>
      </c>
      <c r="BG62" s="22">
        <f t="shared" si="7"/>
        <v>520.59274811782768</v>
      </c>
      <c r="BH62" s="62">
        <f t="shared" si="8"/>
        <v>781.28215531167052</v>
      </c>
      <c r="BI62" s="62">
        <f ca="1">AVERAGE(OFFSET($BH$3,0,0,'Données projet'!$E$11+1,1))-AVERAGE(OFFSET($H$3,0,0,'Données projet'!$E$11+1,1))</f>
        <v>475.48669758994771</v>
      </c>
      <c r="BJ62" s="62">
        <f t="shared" si="38"/>
        <v>249.93713224442419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10.9</v>
      </c>
      <c r="BY62" s="13">
        <f>IF('Données projet'!$A$114&gt;35,BY61+BX62-CG61,IF(A62&lt;'Données projet'!$A$114,$BV$205^A62,IF(A62='Données projet'!$A$114,'Données projet'!$B$114,BY61+BX62-CG61)))</f>
        <v>377.09999999999974</v>
      </c>
      <c r="BZ62" s="14">
        <f>BY62*VLOOKUP('Données projet'!$B$12,Paramètres!$A$1:$I$89,3,0)*VLOOKUP('Données projet'!$B$12,Paramètres!$A$1:$I$89,5,0)</f>
        <v>241.19315999999981</v>
      </c>
      <c r="CA62" s="14">
        <f t="shared" si="39"/>
        <v>58.696170527606689</v>
      </c>
      <c r="CB62" s="22">
        <f t="shared" si="10"/>
        <v>522.30725066891466</v>
      </c>
      <c r="CC62" s="62">
        <f t="shared" si="11"/>
        <v>782.9966578627575</v>
      </c>
      <c r="CD62" s="62">
        <f ca="1">AVERAGE(OFFSET($CC$3,0,0,'Données projet'!$E$12+1,1))-AVERAGE(OFFSET($H$3,0,0,'Données projet'!$E$12+1,1))</f>
        <v>420.47368055225792</v>
      </c>
      <c r="CE62" s="62">
        <f t="shared" si="40"/>
        <v>372.56045490833549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795.87024409467267</v>
      </c>
      <c r="S63" s="62">
        <f ca="1">AVERAGE(OFFSET($R$3,0,0,'Données projet'!$E$9+1,1))-AVERAGE(OFFSET($H$3,0,0,'Données projet'!$E$9+1,1))</f>
        <v>551.36480098497589</v>
      </c>
      <c r="T63" s="62">
        <f t="shared" si="34"/>
        <v>297.32483725004136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500</v>
      </c>
      <c r="AG63" s="13">
        <f>VLOOKUP(A63,'Données projet'!$A$61:$I$81,9,0)</f>
        <v>17</v>
      </c>
      <c r="AH63" s="13">
        <f t="array" ref="AH63">INDEX(AG:AG,MIN(IF(ISNUMBER(AG63:AG259),ROW(AG63:AG259),"")))</f>
        <v>17</v>
      </c>
      <c r="AI63" s="14">
        <f>IF('Données projet'!$A$62&gt;35,AI62+AH63-AQ62,IF(A63&lt;'Données projet'!$A$62,$AF$205^A63,IF(A63='Données projet'!$A$62,'Données projet'!$B$62,AI62+AH63-AQ62)))</f>
        <v>500</v>
      </c>
      <c r="AJ63" s="14">
        <f>AI63*VLOOKUP('Données projet'!$B$10,Paramètres!$A$1:$I$89,3,0)*VLOOKUP('Données projet'!$B$10,Paramètres!$A$1:$I$89,5,0)</f>
        <v>299</v>
      </c>
      <c r="AK63" s="14">
        <f t="shared" si="35"/>
        <v>70.966784344875109</v>
      </c>
      <c r="AL63" s="22">
        <f t="shared" si="4"/>
        <v>644.35881606732414</v>
      </c>
      <c r="AM63" s="62">
        <f t="shared" si="5"/>
        <v>905.61452239880168</v>
      </c>
      <c r="AN63" s="62">
        <f ca="1">AVERAGE(OFFSET($AM$3,0,0,'Données projet'!$E$10+1,1))-AVERAGE(OFFSET($H$3,0,0,'Données projet'!$E$10+1,1))</f>
        <v>388.30126110099434</v>
      </c>
      <c r="AO63" s="62">
        <f t="shared" si="36"/>
        <v>390.81417197867495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295</v>
      </c>
      <c r="BB63" s="13">
        <f>VLOOKUP(A63,'Données projet'!$A$87:$I$107,9,0)</f>
        <v>14.833333333333334</v>
      </c>
      <c r="BC63" s="13">
        <f t="array" ref="BC63">INDEX(BB:BB,MIN(IF(ISNUMBER(BB63:BB259),ROW(BB63:BB259),"")))</f>
        <v>14.833333333333334</v>
      </c>
      <c r="BD63" s="13">
        <f>IF('Données projet'!$A$88&gt;35,BD62+BC63-BL62,IF(A63&lt;'Données projet'!$A$88,$BA$205^A63,IF(A63='Données projet'!$A$88,'Données projet'!$B$88,BD62+BC63-BL62)))</f>
        <v>294.99999999999983</v>
      </c>
      <c r="BE63" s="14">
        <f>BD63*VLOOKUP('Données projet'!$B$11,Paramètres!$A$1:$I$89,3,0)*VLOOKUP('Données projet'!$B$11,Paramètres!$A$1:$I$89,5,0)</f>
        <v>253.10999999999987</v>
      </c>
      <c r="BF63" s="14">
        <f t="shared" si="37"/>
        <v>61.251420602177625</v>
      </c>
      <c r="BG63" s="22">
        <f t="shared" si="7"/>
        <v>547.51280754879247</v>
      </c>
      <c r="BH63" s="62">
        <f t="shared" si="8"/>
        <v>808.76851388026989</v>
      </c>
      <c r="BI63" s="62">
        <f ca="1">AVERAGE(OFFSET($BH$3,0,0,'Données projet'!$E$11+1,1))-AVERAGE(OFFSET($H$3,0,0,'Données projet'!$E$11+1,1))</f>
        <v>475.48669758994771</v>
      </c>
      <c r="BJ63" s="62">
        <f t="shared" si="38"/>
        <v>249.93713224442419</v>
      </c>
      <c r="BK63" s="16">
        <f>IF(ISNA(VLOOKUP(A63,'Données projet'!$A$87:$I$107,3,0)),0,VLOOKUP(A63,'Données projet'!$A$87:$I$107,3,0))</f>
        <v>7</v>
      </c>
      <c r="BL63" s="16">
        <f>IF(ISNA(VLOOKUP(A63,'Données projet'!$A$87:$I$107,4,0)),0,VLOOKUP(A63,'Données projet'!$A$87:$I$107,4,0))</f>
        <v>61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388</v>
      </c>
      <c r="BW63" s="13">
        <f>VLOOKUP(A63,'Données projet'!$A$113:$I$133,9,0)</f>
        <v>10.9</v>
      </c>
      <c r="BX63" s="13">
        <f t="array" ref="BX63">INDEX(BW:BW,MIN(IF(ISNUMBER(BW63:BW259),ROW(BW63:BW259),"")))</f>
        <v>10.9</v>
      </c>
      <c r="BY63" s="13">
        <f>IF('Données projet'!$A$114&gt;35,BY62+BX63-CG62,IF(A63&lt;'Données projet'!$A$114,$BV$205^A63,IF(A63='Données projet'!$A$114,'Données projet'!$B$114,BY62+BX63-CG62)))</f>
        <v>387.99999999999972</v>
      </c>
      <c r="BZ63" s="14">
        <f>BY63*VLOOKUP('Données projet'!$B$12,Paramètres!$A$1:$I$89,3,0)*VLOOKUP('Données projet'!$B$12,Paramètres!$A$1:$I$89,5,0)</f>
        <v>248.16479999999981</v>
      </c>
      <c r="CA63" s="14">
        <f t="shared" si="39"/>
        <v>60.192792038029438</v>
      </c>
      <c r="CB63" s="22">
        <f t="shared" si="10"/>
        <v>537.05613946623419</v>
      </c>
      <c r="CC63" s="62">
        <f t="shared" si="11"/>
        <v>798.31184579771161</v>
      </c>
      <c r="CD63" s="62">
        <f ca="1">AVERAGE(OFFSET($CC$3,0,0,'Données projet'!$E$12+1,1))-AVERAGE(OFFSET($H$3,0,0,'Données projet'!$E$12+1,1))</f>
        <v>420.47368055225792</v>
      </c>
      <c r="CE63" s="62">
        <f t="shared" si="40"/>
        <v>372.56045490833549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281.79999999999995</v>
      </c>
      <c r="O64" s="14">
        <f>N64*VLOOKUP('Données projet'!$B$9,Paramètres!$A$1:$I$89,3,0)*VLOOKUP('Données projet'!$B$9,Paramètres!$A$1:$I$89,5,0)</f>
        <v>254.97263999999996</v>
      </c>
      <c r="P64" s="14">
        <f t="shared" si="33"/>
        <v>61.649533232533919</v>
      </c>
      <c r="Q64" s="22">
        <f t="shared" si="53"/>
        <v>551.45028504666311</v>
      </c>
      <c r="R64" s="62">
        <f t="shared" si="0"/>
        <v>813.26246649179245</v>
      </c>
      <c r="S64" s="62">
        <f ca="1">AVERAGE(OFFSET($R$3,0,0,'Données projet'!$E$9+1,1))-AVERAGE(OFFSET($H$3,0,0,'Données projet'!$E$9+1,1))</f>
        <v>551.36480098497589</v>
      </c>
      <c r="T64" s="62">
        <f t="shared" si="34"/>
        <v>297.32483725004136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17.399999999999999</v>
      </c>
      <c r="AI64" s="14">
        <f>IF('Données projet'!$A$62&gt;35,AI63+AH64-AQ63,IF(A64&lt;'Données projet'!$A$62,$AF$205^A64,IF(A64='Données projet'!$A$62,'Données projet'!$B$62,AI63+AH64-AQ63)))</f>
        <v>517.4</v>
      </c>
      <c r="AJ64" s="14">
        <f>AI64*VLOOKUP('Données projet'!$B$10,Paramètres!$A$1:$I$89,3,0)*VLOOKUP('Données projet'!$B$10,Paramètres!$A$1:$I$89,5,0)</f>
        <v>309.40519999999998</v>
      </c>
      <c r="AK64" s="14">
        <f t="shared" si="35"/>
        <v>73.144598376896283</v>
      </c>
      <c r="AL64" s="22">
        <f t="shared" si="4"/>
        <v>666.27423217309422</v>
      </c>
      <c r="AM64" s="62">
        <f t="shared" si="5"/>
        <v>928.08641361822356</v>
      </c>
      <c r="AN64" s="62">
        <f ca="1">AVERAGE(OFFSET($AM$3,0,0,'Données projet'!$E$10+1,1))-AVERAGE(OFFSET($H$3,0,0,'Données projet'!$E$10+1,1))</f>
        <v>388.30126110099434</v>
      </c>
      <c r="AO64" s="62">
        <f t="shared" si="36"/>
        <v>390.81417197867495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13.777777777777779</v>
      </c>
      <c r="BD64" s="13">
        <f>IF('Données projet'!$A$88&gt;35,BD63+BC64-BL63,IF(A64&lt;'Données projet'!$A$88,$BA$205^A64,IF(A64='Données projet'!$A$88,'Données projet'!$B$88,BD63+BC64-BL63)))</f>
        <v>247.7777777777776</v>
      </c>
      <c r="BE64" s="14">
        <f>BD64*VLOOKUP('Données projet'!$B$11,Paramètres!$A$1:$I$89,3,0)*VLOOKUP('Données projet'!$B$11,Paramètres!$A$1:$I$89,5,0)</f>
        <v>212.59333333333319</v>
      </c>
      <c r="BF64" s="14">
        <f t="shared" si="37"/>
        <v>52.501888831663351</v>
      </c>
      <c r="BG64" s="22">
        <f t="shared" si="7"/>
        <v>461.70751193736891</v>
      </c>
      <c r="BH64" s="62">
        <f t="shared" si="8"/>
        <v>723.51969338249819</v>
      </c>
      <c r="BI64" s="62">
        <f ca="1">AVERAGE(OFFSET($BH$3,0,0,'Données projet'!$E$11+1,1))-AVERAGE(OFFSET($H$3,0,0,'Données projet'!$E$11+1,1))</f>
        <v>475.48669758994771</v>
      </c>
      <c r="BJ64" s="62">
        <f t="shared" si="38"/>
        <v>249.93713224442419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10.7</v>
      </c>
      <c r="BY64" s="13">
        <f>IF('Données projet'!$A$114&gt;35,BY63+BX64-CG63,IF(A64&lt;'Données projet'!$A$114,$BV$205^A64,IF(A64='Données projet'!$A$114,'Données projet'!$B$114,BY63+BX64-CG63)))</f>
        <v>398.6999999999997</v>
      </c>
      <c r="BZ64" s="14">
        <f>BY64*VLOOKUP('Données projet'!$B$12,Paramètres!$A$1:$I$89,3,0)*VLOOKUP('Données projet'!$B$12,Paramètres!$A$1:$I$89,5,0)</f>
        <v>255.00851999999981</v>
      </c>
      <c r="CA64" s="14">
        <f t="shared" si="39"/>
        <v>61.657198737987599</v>
      </c>
      <c r="CB64" s="22">
        <f t="shared" si="10"/>
        <v>551.52612680199479</v>
      </c>
      <c r="CC64" s="62">
        <f t="shared" si="11"/>
        <v>813.33830824712413</v>
      </c>
      <c r="CD64" s="62">
        <f ca="1">AVERAGE(OFFSET($CC$3,0,0,'Données projet'!$E$12+1,1))-AVERAGE(OFFSET($H$3,0,0,'Données projet'!$E$12+1,1))</f>
        <v>420.47368055225792</v>
      </c>
      <c r="CE64" s="62">
        <f t="shared" si="40"/>
        <v>372.56045490833549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290.59999999999997</v>
      </c>
      <c r="O65" s="14">
        <f>N65*VLOOKUP('Données projet'!$B$9,Paramètres!$A$1:$I$89,3,0)*VLOOKUP('Données projet'!$B$9,Paramètres!$A$1:$I$89,5,0)</f>
        <v>262.93487999999996</v>
      </c>
      <c r="P65" s="14">
        <f t="shared" si="33"/>
        <v>63.347566493432765</v>
      </c>
      <c r="Q65" s="22">
        <f t="shared" si="53"/>
        <v>568.27526097606199</v>
      </c>
      <c r="R65" s="62">
        <f t="shared" si="0"/>
        <v>830.63426393571331</v>
      </c>
      <c r="S65" s="62">
        <f ca="1">AVERAGE(OFFSET($R$3,0,0,'Données projet'!$E$9+1,1))-AVERAGE(OFFSET($H$3,0,0,'Données projet'!$E$9+1,1))</f>
        <v>551.36480098497589</v>
      </c>
      <c r="T65" s="62">
        <f t="shared" si="34"/>
        <v>297.32483725004136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17.399999999999999</v>
      </c>
      <c r="AI65" s="14">
        <f>IF('Données projet'!$A$62&gt;35,AI64+AH65-AQ64,IF(A65&lt;'Données projet'!$A$62,$AF$205^A65,IF(A65='Données projet'!$A$62,'Données projet'!$B$62,AI64+AH65-AQ64)))</f>
        <v>534.79999999999995</v>
      </c>
      <c r="AJ65" s="14">
        <f>AI65*VLOOKUP('Données projet'!$B$10,Paramètres!$A$1:$I$89,3,0)*VLOOKUP('Données projet'!$B$10,Paramètres!$A$1:$I$89,5,0)</f>
        <v>319.81039999999996</v>
      </c>
      <c r="AK65" s="14">
        <f t="shared" si="35"/>
        <v>75.313902334852955</v>
      </c>
      <c r="AL65" s="22">
        <f t="shared" si="4"/>
        <v>688.17482656653544</v>
      </c>
      <c r="AM65" s="62">
        <f t="shared" si="5"/>
        <v>950.53382952618676</v>
      </c>
      <c r="AN65" s="62">
        <f ca="1">AVERAGE(OFFSET($AM$3,0,0,'Données projet'!$E$10+1,1))-AVERAGE(OFFSET($H$3,0,0,'Données projet'!$E$10+1,1))</f>
        <v>388.30126110099434</v>
      </c>
      <c r="AO65" s="62">
        <f t="shared" si="36"/>
        <v>390.81417197867495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13.777777777777779</v>
      </c>
      <c r="BD65" s="13">
        <f>IF('Données projet'!$A$88&gt;35,BD64+BC65-BL64,IF(A65&lt;'Données projet'!$A$88,$BA$205^A65,IF(A65='Données projet'!$A$88,'Données projet'!$B$88,BD64+BC65-BL64)))</f>
        <v>261.55555555555537</v>
      </c>
      <c r="BE65" s="14">
        <f>BD65*VLOOKUP('Données projet'!$B$11,Paramètres!$A$1:$I$89,3,0)*VLOOKUP('Données projet'!$B$11,Paramètres!$A$1:$I$89,5,0)</f>
        <v>224.41466666666653</v>
      </c>
      <c r="BF65" s="14">
        <f t="shared" si="37"/>
        <v>55.073279400945509</v>
      </c>
      <c r="BG65" s="22">
        <f t="shared" si="7"/>
        <v>486.77483940109096</v>
      </c>
      <c r="BH65" s="62">
        <f t="shared" si="8"/>
        <v>749.13384236074228</v>
      </c>
      <c r="BI65" s="62">
        <f ca="1">AVERAGE(OFFSET($BH$3,0,0,'Données projet'!$E$11+1,1))-AVERAGE(OFFSET($H$3,0,0,'Données projet'!$E$11+1,1))</f>
        <v>475.48669758994771</v>
      </c>
      <c r="BJ65" s="62">
        <f t="shared" si="38"/>
        <v>249.93713224442419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10.7</v>
      </c>
      <c r="BY65" s="13">
        <f>IF('Données projet'!$A$114&gt;35,BY64+BX65-CG64,IF(A65&lt;'Données projet'!$A$114,$BV$205^A65,IF(A65='Données projet'!$A$114,'Données projet'!$B$114,BY64+BX65-CG64)))</f>
        <v>409.39999999999969</v>
      </c>
      <c r="BZ65" s="14">
        <f>BY65*VLOOKUP('Données projet'!$B$12,Paramètres!$A$1:$I$89,3,0)*VLOOKUP('Données projet'!$B$12,Paramètres!$A$1:$I$89,5,0)</f>
        <v>261.85223999999982</v>
      </c>
      <c r="CA65" s="14">
        <f t="shared" si="39"/>
        <v>63.117037405670807</v>
      </c>
      <c r="CB65" s="22">
        <f t="shared" si="10"/>
        <v>565.98815814820966</v>
      </c>
      <c r="CC65" s="62">
        <f t="shared" si="11"/>
        <v>828.34716110786098</v>
      </c>
      <c r="CD65" s="62">
        <f ca="1">AVERAGE(OFFSET($CC$3,0,0,'Données projet'!$E$12+1,1))-AVERAGE(OFFSET($H$3,0,0,'Données projet'!$E$12+1,1))</f>
        <v>420.47368055225792</v>
      </c>
      <c r="CE65" s="62">
        <f t="shared" si="40"/>
        <v>372.56045490833549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299.39999999999998</v>
      </c>
      <c r="O66" s="14">
        <f>N66*VLOOKUP('Données projet'!$B$9,Paramètres!$A$1:$I$89,3,0)*VLOOKUP('Données projet'!$B$9,Paramètres!$A$1:$I$89,5,0)</f>
        <v>270.89711999999997</v>
      </c>
      <c r="P66" s="14">
        <f t="shared" si="33"/>
        <v>65.039624021315475</v>
      </c>
      <c r="Q66" s="22">
        <f t="shared" si="53"/>
        <v>585.08982917045773</v>
      </c>
      <c r="R66" s="62">
        <f t="shared" si="0"/>
        <v>847.98616751386385</v>
      </c>
      <c r="S66" s="62">
        <f ca="1">AVERAGE(OFFSET($R$3,0,0,'Données projet'!$E$9+1,1))-AVERAGE(OFFSET($H$3,0,0,'Données projet'!$E$9+1,1))</f>
        <v>551.36480098497589</v>
      </c>
      <c r="T66" s="62">
        <f t="shared" si="34"/>
        <v>297.32483725004136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17.399999999999999</v>
      </c>
      <c r="AI66" s="14">
        <f>IF('Données projet'!$A$62&gt;35,AI65+AH66-AQ65,IF(A66&lt;'Données projet'!$A$62,$AF$205^A66,IF(A66='Données projet'!$A$62,'Données projet'!$B$62,AI65+AH66-AQ65)))</f>
        <v>552.19999999999993</v>
      </c>
      <c r="AJ66" s="14">
        <f>AI66*VLOOKUP('Données projet'!$B$10,Paramètres!$A$1:$I$89,3,0)*VLOOKUP('Données projet'!$B$10,Paramètres!$A$1:$I$89,5,0)</f>
        <v>330.21559999999999</v>
      </c>
      <c r="AK66" s="14">
        <f t="shared" si="35"/>
        <v>77.475004853271543</v>
      </c>
      <c r="AL66" s="22">
        <f t="shared" si="4"/>
        <v>710.06113678611473</v>
      </c>
      <c r="AM66" s="62">
        <f t="shared" si="5"/>
        <v>972.95747512952084</v>
      </c>
      <c r="AN66" s="62">
        <f ca="1">AVERAGE(OFFSET($AM$3,0,0,'Données projet'!$E$10+1,1))-AVERAGE(OFFSET($H$3,0,0,'Données projet'!$E$10+1,1))</f>
        <v>388.30126110099434</v>
      </c>
      <c r="AO66" s="62">
        <f t="shared" si="36"/>
        <v>390.81417197867495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13.777777777777779</v>
      </c>
      <c r="BD66" s="13">
        <f>IF('Données projet'!$A$88&gt;35,BD65+BC66-BL65,IF(A66&lt;'Données projet'!$A$88,$BA$205^A66,IF(A66='Données projet'!$A$88,'Données projet'!$B$88,BD65+BC66-BL65)))</f>
        <v>275.33333333333314</v>
      </c>
      <c r="BE66" s="14">
        <f>BD66*VLOOKUP('Données projet'!$B$11,Paramètres!$A$1:$I$89,3,0)*VLOOKUP('Données projet'!$B$11,Paramètres!$A$1:$I$89,5,0)</f>
        <v>236.23599999999988</v>
      </c>
      <c r="BF66" s="14">
        <f t="shared" si="37"/>
        <v>57.628943995616872</v>
      </c>
      <c r="BG66" s="22">
        <f t="shared" si="7"/>
        <v>511.81477745903248</v>
      </c>
      <c r="BH66" s="62">
        <f t="shared" si="8"/>
        <v>774.7111158024386</v>
      </c>
      <c r="BI66" s="62">
        <f ca="1">AVERAGE(OFFSET($BH$3,0,0,'Données projet'!$E$11+1,1))-AVERAGE(OFFSET($H$3,0,0,'Données projet'!$E$11+1,1))</f>
        <v>475.48669758994771</v>
      </c>
      <c r="BJ66" s="62">
        <f t="shared" si="38"/>
        <v>249.93713224442419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10.7</v>
      </c>
      <c r="BY66" s="13">
        <f>IF('Données projet'!$A$114&gt;35,BY65+BX66-CG65,IF(A66&lt;'Données projet'!$A$114,$BV$205^A66,IF(A66='Données projet'!$A$114,'Données projet'!$B$114,BY65+BX66-CG65)))</f>
        <v>420.09999999999968</v>
      </c>
      <c r="BZ66" s="14">
        <f>BY66*VLOOKUP('Données projet'!$B$12,Paramètres!$A$1:$I$89,3,0)*VLOOKUP('Données projet'!$B$12,Paramètres!$A$1:$I$89,5,0)</f>
        <v>268.69595999999979</v>
      </c>
      <c r="CA66" s="14">
        <f t="shared" si="39"/>
        <v>64.572441155338581</v>
      </c>
      <c r="CB66" s="22">
        <f t="shared" si="10"/>
        <v>580.4424653455477</v>
      </c>
      <c r="CC66" s="62">
        <f t="shared" si="11"/>
        <v>843.33880368895382</v>
      </c>
      <c r="CD66" s="62">
        <f ca="1">AVERAGE(OFFSET($CC$3,0,0,'Données projet'!$E$12+1,1))-AVERAGE(OFFSET($H$3,0,0,'Données projet'!$E$12+1,1))</f>
        <v>420.47368055225792</v>
      </c>
      <c r="CE66" s="62">
        <f t="shared" si="40"/>
        <v>372.56045490833549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308.2</v>
      </c>
      <c r="O67" s="14">
        <f>N67*VLOOKUP('Données projet'!$B$9,Paramètres!$A$1:$I$89,3,0)*VLOOKUP('Données projet'!$B$9,Paramètres!$A$1:$I$89,5,0)</f>
        <v>278.85935999999998</v>
      </c>
      <c r="P67" s="14">
        <f t="shared" si="33"/>
        <v>66.725901622172444</v>
      </c>
      <c r="Q67" s="22">
        <f t="shared" ref="Q67:Q98" si="54">(O67+P67)*0.475*44/12</f>
        <v>601.89433065861692</v>
      </c>
      <c r="R67" s="62">
        <f t="shared" ref="R67:R130" si="55">Q67+(I67+J67)*44/12</f>
        <v>865.31868281817174</v>
      </c>
      <c r="S67" s="62">
        <f ca="1">AVERAGE(OFFSET($R$3,0,0,'Données projet'!$E$9+1,1))-AVERAGE(OFFSET($H$3,0,0,'Données projet'!$E$9+1,1))</f>
        <v>551.36480098497589</v>
      </c>
      <c r="T67" s="62">
        <f t="shared" si="34"/>
        <v>297.32483725004136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17.399999999999999</v>
      </c>
      <c r="AI67" s="14">
        <f>IF('Données projet'!$A$62&gt;35,AI66+AH67-AQ66,IF(A67&lt;'Données projet'!$A$62,$AF$205^A67,IF(A67='Données projet'!$A$62,'Données projet'!$B$62,AI66+AH67-AQ66)))</f>
        <v>569.59999999999991</v>
      </c>
      <c r="AJ67" s="14">
        <f>AI67*VLOOKUP('Données projet'!$B$10,Paramètres!$A$1:$I$89,3,0)*VLOOKUP('Données projet'!$B$10,Paramètres!$A$1:$I$89,5,0)</f>
        <v>340.62079999999997</v>
      </c>
      <c r="AK67" s="14">
        <f t="shared" si="35"/>
        <v>79.628194011697346</v>
      </c>
      <c r="AL67" s="22">
        <f t="shared" si="4"/>
        <v>731.9336645703728</v>
      </c>
      <c r="AM67" s="62">
        <f t="shared" si="5"/>
        <v>995.35801672992761</v>
      </c>
      <c r="AN67" s="62">
        <f ca="1">AVERAGE(OFFSET($AM$3,0,0,'Données projet'!$E$10+1,1))-AVERAGE(OFFSET($H$3,0,0,'Données projet'!$E$10+1,1))</f>
        <v>388.30126110099434</v>
      </c>
      <c r="AO67" s="62">
        <f t="shared" si="36"/>
        <v>390.81417197867495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13.777777777777779</v>
      </c>
      <c r="BD67" s="13">
        <f>IF('Données projet'!$A$88&gt;35,BD66+BC67-BL66,IF(A67&lt;'Données projet'!$A$88,$BA$205^A67,IF(A67='Données projet'!$A$88,'Données projet'!$B$88,BD66+BC67-BL66)))</f>
        <v>289.11111111111092</v>
      </c>
      <c r="BE67" s="14">
        <f>BD67*VLOOKUP('Données projet'!$B$11,Paramètres!$A$1:$I$89,3,0)*VLOOKUP('Données projet'!$B$11,Paramètres!$A$1:$I$89,5,0)</f>
        <v>248.05733333333319</v>
      </c>
      <c r="BF67" s="14">
        <f t="shared" si="37"/>
        <v>60.169759343876592</v>
      </c>
      <c r="BG67" s="22">
        <f t="shared" si="7"/>
        <v>536.82885307947356</v>
      </c>
      <c r="BH67" s="62">
        <f t="shared" si="8"/>
        <v>800.25320523902838</v>
      </c>
      <c r="BI67" s="62">
        <f ca="1">AVERAGE(OFFSET($BH$3,0,0,'Données projet'!$E$11+1,1))-AVERAGE(OFFSET($H$3,0,0,'Données projet'!$E$11+1,1))</f>
        <v>475.48669758994771</v>
      </c>
      <c r="BJ67" s="62">
        <f t="shared" si="38"/>
        <v>249.93713224442419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10.7</v>
      </c>
      <c r="BY67" s="13">
        <f>IF('Données projet'!$A$114&gt;35,BY66+BX67-CG66,IF(A67&lt;'Données projet'!$A$114,$BV$205^A67,IF(A67='Données projet'!$A$114,'Données projet'!$B$114,BY66+BX67-CG66)))</f>
        <v>430.79999999999967</v>
      </c>
      <c r="BZ67" s="14">
        <f>BY67*VLOOKUP('Données projet'!$B$12,Paramètres!$A$1:$I$89,3,0)*VLOOKUP('Données projet'!$B$12,Paramètres!$A$1:$I$89,5,0)</f>
        <v>275.53967999999975</v>
      </c>
      <c r="CA67" s="14">
        <f t="shared" si="39"/>
        <v>66.023535934018753</v>
      </c>
      <c r="CB67" s="22">
        <f t="shared" si="10"/>
        <v>594.88926775174889</v>
      </c>
      <c r="CC67" s="62">
        <f t="shared" si="11"/>
        <v>858.3136199113037</v>
      </c>
      <c r="CD67" s="62">
        <f ca="1">AVERAGE(OFFSET($CC$3,0,0,'Données projet'!$E$12+1,1))-AVERAGE(OFFSET($H$3,0,0,'Données projet'!$E$12+1,1))</f>
        <v>420.47368055225792</v>
      </c>
      <c r="CE67" s="62">
        <f t="shared" si="40"/>
        <v>372.56045490833549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317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317</v>
      </c>
      <c r="O68" s="14">
        <f>N68*VLOOKUP('Données projet'!$B$9,Paramètres!$A$1:$I$89,3,0)*VLOOKUP('Données projet'!$B$9,Paramètres!$A$1:$I$89,5,0)</f>
        <v>286.82159999999999</v>
      </c>
      <c r="P68" s="14">
        <f t="shared" si="33"/>
        <v>68.406583284351484</v>
      </c>
      <c r="Q68" s="22">
        <f t="shared" si="54"/>
        <v>618.68908588691215</v>
      </c>
      <c r="R68" s="62">
        <f t="shared" si="55"/>
        <v>882.63229200336741</v>
      </c>
      <c r="S68" s="62">
        <f ca="1">AVERAGE(OFFSET($R$3,0,0,'Données projet'!$E$9+1,1))-AVERAGE(OFFSET($H$3,0,0,'Données projet'!$E$9+1,1))</f>
        <v>551.36480098497589</v>
      </c>
      <c r="T68" s="62">
        <f t="shared" si="34"/>
        <v>297.32483725004136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56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587</v>
      </c>
      <c r="AG68" s="13">
        <f>VLOOKUP(A68,'Données projet'!$A$61:$I$81,9,0)</f>
        <v>17.399999999999999</v>
      </c>
      <c r="AH68" s="13">
        <f t="array" ref="AH68">INDEX(AG:AG,MIN(IF(ISNUMBER(AG68:AG264),ROW(AG68:AG264),"")))</f>
        <v>17.399999999999999</v>
      </c>
      <c r="AI68" s="14">
        <f>IF('Données projet'!$A$62&gt;35,AI67+AH68-AQ67,IF(A68&lt;'Données projet'!$A$62,$AF$205^A68,IF(A68='Données projet'!$A$62,'Données projet'!$B$62,AI67+AH68-AQ67)))</f>
        <v>586.99999999999989</v>
      </c>
      <c r="AJ68" s="14">
        <f>AI68*VLOOKUP('Données projet'!$B$10,Paramètres!$A$1:$I$89,3,0)*VLOOKUP('Données projet'!$B$10,Paramètres!$A$1:$I$89,5,0)</f>
        <v>351.02600000000001</v>
      </c>
      <c r="AK68" s="14">
        <f t="shared" si="35"/>
        <v>81.773739289271447</v>
      </c>
      <c r="AL68" s="22">
        <f t="shared" ref="AL68:AL131" si="58">(AJ68+AK68)*0.475*44/12</f>
        <v>753.79287926214772</v>
      </c>
      <c r="AM68" s="62">
        <f t="shared" ref="AM68:AM131" si="59">AL68+(AD68+AE68)*44/12</f>
        <v>1017.7360853786029</v>
      </c>
      <c r="AN68" s="62">
        <f ca="1">AVERAGE(OFFSET($AM$3,0,0,'Données projet'!$E$10+1,1))-AVERAGE(OFFSET($H$3,0,0,'Données projet'!$E$10+1,1))</f>
        <v>388.30126110099434</v>
      </c>
      <c r="AO68" s="62">
        <f t="shared" si="36"/>
        <v>390.81417197867495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587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13.777777777777779</v>
      </c>
      <c r="BD68" s="13">
        <f>IF('Données projet'!$A$88&gt;35,BD67+BC68-BL67,IF(A68&lt;'Données projet'!$A$88,$BA$205^A68,IF(A68='Données projet'!$A$88,'Données projet'!$B$88,BD67+BC68-BL67)))</f>
        <v>302.88888888888869</v>
      </c>
      <c r="BE68" s="14">
        <f>BD68*VLOOKUP('Données projet'!$B$11,Paramètres!$A$1:$I$89,3,0)*VLOOKUP('Données projet'!$B$11,Paramètres!$A$1:$I$89,5,0)</f>
        <v>259.8786666666665</v>
      </c>
      <c r="BF68" s="14">
        <f t="shared" si="37"/>
        <v>62.69651389011603</v>
      </c>
      <c r="BG68" s="22">
        <f t="shared" ref="BG68:BG131" si="61">(BE68+BF68)*0.475*44/12</f>
        <v>561.81843946972958</v>
      </c>
      <c r="BH68" s="62">
        <f t="shared" ref="BH68:BH131" si="62">BG68+(AY68+AZ68)*44/12</f>
        <v>825.76164558618484</v>
      </c>
      <c r="BI68" s="62">
        <f ca="1">AVERAGE(OFFSET($BH$3,0,0,'Données projet'!$E$11+1,1))-AVERAGE(OFFSET($H$3,0,0,'Données projet'!$E$11+1,1))</f>
        <v>475.48669758994771</v>
      </c>
      <c r="BJ68" s="62">
        <f t="shared" si="38"/>
        <v>249.93713224442419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10.7</v>
      </c>
      <c r="BY68" s="13">
        <f>IF('Données projet'!$A$114&gt;35,BY67+BX68-CG67,IF(A68&lt;'Données projet'!$A$114,$BV$205^A68,IF(A68='Données projet'!$A$114,'Données projet'!$B$114,BY67+BX68-CG67)))</f>
        <v>441.49999999999966</v>
      </c>
      <c r="BZ68" s="14">
        <f>BY68*VLOOKUP('Données projet'!$B$12,Paramètres!$A$1:$I$89,3,0)*VLOOKUP('Données projet'!$B$12,Paramètres!$A$1:$I$89,5,0)</f>
        <v>282.38339999999977</v>
      </c>
      <c r="CA68" s="14">
        <f t="shared" si="39"/>
        <v>67.470441075705352</v>
      </c>
      <c r="CB68" s="22">
        <f t="shared" ref="CB68:CB131" si="64">(BZ68+CA68)*0.475*44/12</f>
        <v>609.32877320685304</v>
      </c>
      <c r="CC68" s="62">
        <f t="shared" ref="CC68:CC131" si="65">CB68+(BT68+BU68)*44/12</f>
        <v>873.27197932330819</v>
      </c>
      <c r="CD68" s="62">
        <f ca="1">AVERAGE(OFFSET($CC$3,0,0,'Données projet'!$E$12+1,1))-AVERAGE(OFFSET($H$3,0,0,'Données projet'!$E$12+1,1))</f>
        <v>420.47368055225792</v>
      </c>
      <c r="CE68" s="62">
        <f t="shared" si="40"/>
        <v>372.56045490833549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791.79418880959736</v>
      </c>
      <c r="S69" s="62">
        <f ca="1">AVERAGE(OFFSET($R$3,0,0,'Données projet'!$E$9+1,1))-AVERAGE(OFFSET($H$3,0,0,'Données projet'!$E$9+1,1))</f>
        <v>551.36480098497589</v>
      </c>
      <c r="T69" s="62">
        <f t="shared" ref="T69:T132" si="88">$T$3</f>
        <v>297.32483725004136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-1.1368683772161603E-13</v>
      </c>
      <c r="AJ69" s="14">
        <f>AI69*VLOOKUP('Données projet'!$B$10,Paramètres!$A$1:$I$89,3,0)*VLOOKUP('Données projet'!$B$10,Paramètres!$A$1:$I$89,5,0)</f>
        <v>-6.7984728957526396E-14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388.30126110099434</v>
      </c>
      <c r="AO69" s="62">
        <f t="shared" ref="AO69:AO132" si="90">$AO$3</f>
        <v>390.81417197867495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13.777777777777779</v>
      </c>
      <c r="BD69" s="13">
        <f>IF('Données projet'!$A$88&gt;35,BD68+BC69-BL68,IF(A69&lt;'Données projet'!$A$88,$BA$205^A69,IF(A69='Données projet'!$A$88,'Données projet'!$B$88,BD68+BC69-BL68)))</f>
        <v>316.66666666666646</v>
      </c>
      <c r="BE69" s="14">
        <f>BD69*VLOOKUP('Données projet'!$B$11,Paramètres!$A$1:$I$89,3,0)*VLOOKUP('Données projet'!$B$11,Paramètres!$A$1:$I$89,5,0)</f>
        <v>271.69999999999987</v>
      </c>
      <c r="BF69" s="14">
        <f t="shared" ref="BF69:BF132" si="91">EXP(-1.0587+0.8836*LN(BE69)+0.284)</f>
        <v>65.209920294809322</v>
      </c>
      <c r="BG69" s="22">
        <f t="shared" si="61"/>
        <v>586.78477784679262</v>
      </c>
      <c r="BH69" s="62">
        <f t="shared" si="62"/>
        <v>851.2378369639797</v>
      </c>
      <c r="BI69" s="62">
        <f ca="1">AVERAGE(OFFSET($BH$3,0,0,'Données projet'!$E$11+1,1))-AVERAGE(OFFSET($H$3,0,0,'Données projet'!$E$11+1,1))</f>
        <v>475.48669758994771</v>
      </c>
      <c r="BJ69" s="62">
        <f t="shared" ref="BJ69:BJ132" si="92">$BJ$3</f>
        <v>249.93713224442419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10.7</v>
      </c>
      <c r="BY69" s="13">
        <f>IF('Données projet'!$A$114&gt;35,BY68+BX69-CG68,IF(A69&lt;'Données projet'!$A$114,$BV$205^A69,IF(A69='Données projet'!$A$114,'Données projet'!$B$114,BY68+BX69-CG68)))</f>
        <v>452.19999999999965</v>
      </c>
      <c r="BZ69" s="14">
        <f>BY69*VLOOKUP('Données projet'!$B$12,Paramètres!$A$1:$I$89,3,0)*VLOOKUP('Données projet'!$B$12,Paramètres!$A$1:$I$89,5,0)</f>
        <v>289.22711999999979</v>
      </c>
      <c r="CA69" s="14">
        <f t="shared" ref="CA69:CA132" si="93">EXP(-1.0587+0.8836*LN(BZ69)+0.284)</f>
        <v>68.913269800318972</v>
      </c>
      <c r="CB69" s="22">
        <f t="shared" si="64"/>
        <v>623.76117890222179</v>
      </c>
      <c r="CC69" s="62">
        <f t="shared" si="65"/>
        <v>888.21423801940887</v>
      </c>
      <c r="CD69" s="62">
        <f ca="1">AVERAGE(OFFSET($CC$3,0,0,'Données projet'!$E$12+1,1))-AVERAGE(OFFSET($H$3,0,0,'Données projet'!$E$12+1,1))</f>
        <v>420.47368055225792</v>
      </c>
      <c r="CE69" s="62">
        <f t="shared" ref="CE69:CE132" si="94">$CE$3</f>
        <v>372.56045490833549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807.98784880122344</v>
      </c>
      <c r="S70" s="62">
        <f ca="1">AVERAGE(OFFSET($R$3,0,0,'Données projet'!$E$9+1,1))-AVERAGE(OFFSET($H$3,0,0,'Données projet'!$E$9+1,1))</f>
        <v>551.36480098497589</v>
      </c>
      <c r="T70" s="62">
        <f t="shared" si="88"/>
        <v>297.32483725004136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-1.1368683772161603E-13</v>
      </c>
      <c r="AJ70" s="14">
        <f>AI70*VLOOKUP('Données projet'!$B$10,Paramètres!$A$1:$I$89,3,0)*VLOOKUP('Données projet'!$B$10,Paramètres!$A$1:$I$89,5,0)</f>
        <v>-6.7984728957526396E-14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388.30126110099434</v>
      </c>
      <c r="AO70" s="62">
        <f t="shared" si="90"/>
        <v>390.81417197867495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13.777777777777779</v>
      </c>
      <c r="BD70" s="13">
        <f>IF('Données projet'!$A$88&gt;35,BD69+BC70-BL69,IF(A70&lt;'Données projet'!$A$88,$BA$205^A70,IF(A70='Données projet'!$A$88,'Données projet'!$B$88,BD69+BC70-BL69)))</f>
        <v>330.44444444444423</v>
      </c>
      <c r="BE70" s="14">
        <f>BD70*VLOOKUP('Données projet'!$B$11,Paramètres!$A$1:$I$89,3,0)*VLOOKUP('Données projet'!$B$11,Paramètres!$A$1:$I$89,5,0)</f>
        <v>283.52133333333319</v>
      </c>
      <c r="BF70" s="14">
        <f t="shared" si="91"/>
        <v>67.71062569759917</v>
      </c>
      <c r="BG70" s="22">
        <f t="shared" si="61"/>
        <v>611.72899531220708</v>
      </c>
      <c r="BH70" s="62">
        <f t="shared" si="62"/>
        <v>876.68306262042393</v>
      </c>
      <c r="BI70" s="62">
        <f ca="1">AVERAGE(OFFSET($BH$3,0,0,'Données projet'!$E$11+1,1))-AVERAGE(OFFSET($H$3,0,0,'Données projet'!$E$11+1,1))</f>
        <v>475.48669758994771</v>
      </c>
      <c r="BJ70" s="62">
        <f t="shared" si="92"/>
        <v>249.93713224442419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10.7</v>
      </c>
      <c r="BY70" s="13">
        <f>IF('Données projet'!$A$114&gt;35,BY69+BX70-CG69,IF(A70&lt;'Données projet'!$A$114,$BV$205^A70,IF(A70='Données projet'!$A$114,'Données projet'!$B$114,BY69+BX70-CG69)))</f>
        <v>462.89999999999964</v>
      </c>
      <c r="BZ70" s="14">
        <f>BY70*VLOOKUP('Données projet'!$B$12,Paramètres!$A$1:$I$89,3,0)*VLOOKUP('Données projet'!$B$12,Paramètres!$A$1:$I$89,5,0)</f>
        <v>296.07083999999975</v>
      </c>
      <c r="CA70" s="14">
        <f t="shared" si="93"/>
        <v>70.352129664110763</v>
      </c>
      <c r="CB70" s="22">
        <f t="shared" si="64"/>
        <v>638.18667216499239</v>
      </c>
      <c r="CC70" s="62">
        <f t="shared" si="65"/>
        <v>903.14073947320935</v>
      </c>
      <c r="CD70" s="62">
        <f ca="1">AVERAGE(OFFSET($CC$3,0,0,'Données projet'!$E$12+1,1))-AVERAGE(OFFSET($H$3,0,0,'Données projet'!$E$12+1,1))</f>
        <v>420.47368055225792</v>
      </c>
      <c r="CE70" s="62">
        <f t="shared" si="94"/>
        <v>372.56045490833549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824.16329923760372</v>
      </c>
      <c r="S71" s="62">
        <f ca="1">AVERAGE(OFFSET($R$3,0,0,'Données projet'!$E$9+1,1))-AVERAGE(OFFSET($H$3,0,0,'Données projet'!$E$9+1,1))</f>
        <v>551.36480098497589</v>
      </c>
      <c r="T71" s="62">
        <f t="shared" si="88"/>
        <v>297.32483725004136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-1.1368683772161603E-13</v>
      </c>
      <c r="AJ71" s="14">
        <f>AI71*VLOOKUP('Données projet'!$B$10,Paramètres!$A$1:$I$89,3,0)*VLOOKUP('Données projet'!$B$10,Paramètres!$A$1:$I$89,5,0)</f>
        <v>-6.7984728957526396E-14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388.30126110099434</v>
      </c>
      <c r="AO71" s="62">
        <f t="shared" si="90"/>
        <v>390.81417197867495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13.777777777777779</v>
      </c>
      <c r="BD71" s="13">
        <f>IF('Données projet'!$A$88&gt;35,BD70+BC71-BL70,IF(A71&lt;'Données projet'!$A$88,$BA$205^A71,IF(A71='Données projet'!$A$88,'Données projet'!$B$88,BD70+BC71-BL70)))</f>
        <v>344.222222222222</v>
      </c>
      <c r="BE71" s="14">
        <f>BD71*VLOOKUP('Données projet'!$B$11,Paramètres!$A$1:$I$89,3,0)*VLOOKUP('Données projet'!$B$11,Paramètres!$A$1:$I$89,5,0)</f>
        <v>295.3426666666665</v>
      </c>
      <c r="BF71" s="14">
        <f t="shared" si="91"/>
        <v>70.199220220485287</v>
      </c>
      <c r="BG71" s="22">
        <f t="shared" si="61"/>
        <v>636.65211966178947</v>
      </c>
      <c r="BH71" s="62">
        <f t="shared" si="62"/>
        <v>902.0985037890083</v>
      </c>
      <c r="BI71" s="62">
        <f ca="1">AVERAGE(OFFSET($BH$3,0,0,'Données projet'!$E$11+1,1))-AVERAGE(OFFSET($H$3,0,0,'Données projet'!$E$11+1,1))</f>
        <v>475.48669758994771</v>
      </c>
      <c r="BJ71" s="62">
        <f t="shared" si="92"/>
        <v>249.93713224442419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10.7</v>
      </c>
      <c r="BY71" s="13">
        <f>IF('Données projet'!$A$114&gt;35,BY70+BX71-CG70,IF(A71&lt;'Données projet'!$A$114,$BV$205^A71,IF(A71='Données projet'!$A$114,'Données projet'!$B$114,BY70+BX71-CG70)))</f>
        <v>473.59999999999962</v>
      </c>
      <c r="BZ71" s="14">
        <f>BY71*VLOOKUP('Données projet'!$B$12,Paramètres!$A$1:$I$89,3,0)*VLOOKUP('Données projet'!$B$12,Paramètres!$A$1:$I$89,5,0)</f>
        <v>302.91455999999977</v>
      </c>
      <c r="CA71" s="14">
        <f t="shared" si="93"/>
        <v>71.787122967248209</v>
      </c>
      <c r="CB71" s="22">
        <f t="shared" si="64"/>
        <v>652.60543116795679</v>
      </c>
      <c r="CC71" s="62">
        <f t="shared" si="65"/>
        <v>918.05181529517563</v>
      </c>
      <c r="CD71" s="62">
        <f ca="1">AVERAGE(OFFSET($CC$3,0,0,'Données projet'!$E$12+1,1))-AVERAGE(OFFSET($H$3,0,0,'Données projet'!$E$12+1,1))</f>
        <v>420.47368055225792</v>
      </c>
      <c r="CE71" s="62">
        <f t="shared" si="94"/>
        <v>372.56045490833549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840.32099556130004</v>
      </c>
      <c r="S72" s="62">
        <f ca="1">AVERAGE(OFFSET($R$3,0,0,'Données projet'!$E$9+1,1))-AVERAGE(OFFSET($H$3,0,0,'Données projet'!$E$9+1,1))</f>
        <v>551.36480098497589</v>
      </c>
      <c r="T72" s="62">
        <f t="shared" si="88"/>
        <v>297.32483725004136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-1.1368683772161603E-13</v>
      </c>
      <c r="AJ72" s="14">
        <f>AI72*VLOOKUP('Données projet'!$B$10,Paramètres!$A$1:$I$89,3,0)*VLOOKUP('Données projet'!$B$10,Paramètres!$A$1:$I$89,5,0)</f>
        <v>-6.7984728957526396E-14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388.30126110099434</v>
      </c>
      <c r="AO72" s="62">
        <f t="shared" si="90"/>
        <v>390.81417197867495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>
        <f>VLOOKUP(A72,'Données projet'!$A$87:$I$107,2,0)</f>
        <v>358</v>
      </c>
      <c r="BB72" s="13">
        <f>VLOOKUP(A72,'Données projet'!$A$87:$I$107,9,0)</f>
        <v>13.777777777777779</v>
      </c>
      <c r="BC72" s="13">
        <f t="array" ref="BC72">INDEX(BB:BB,MIN(IF(ISNUMBER(BB72:BB268),ROW(BB72:BB268),"")))</f>
        <v>13.777777777777779</v>
      </c>
      <c r="BD72" s="13">
        <f>IF('Données projet'!$A$88&gt;35,BD71+BC72-BL71,IF(A72&lt;'Données projet'!$A$88,$BA$205^A72,IF(A72='Données projet'!$A$88,'Données projet'!$B$88,BD71+BC72-BL71)))</f>
        <v>357.99999999999977</v>
      </c>
      <c r="BE72" s="14">
        <f>BD72*VLOOKUP('Données projet'!$B$11,Paramètres!$A$1:$I$89,3,0)*VLOOKUP('Données projet'!$B$11,Paramètres!$A$1:$I$89,5,0)</f>
        <v>307.16399999999982</v>
      </c>
      <c r="BF72" s="14">
        <f t="shared" si="91"/>
        <v>72.676244071302918</v>
      </c>
      <c r="BG72" s="22">
        <f t="shared" si="61"/>
        <v>661.55509175751888</v>
      </c>
      <c r="BH72" s="62">
        <f t="shared" si="62"/>
        <v>927.48525210758544</v>
      </c>
      <c r="BI72" s="62">
        <f ca="1">AVERAGE(OFFSET($BH$3,0,0,'Données projet'!$E$11+1,1))-AVERAGE(OFFSET($H$3,0,0,'Données projet'!$E$11+1,1))</f>
        <v>475.48669758994771</v>
      </c>
      <c r="BJ72" s="62">
        <f t="shared" si="92"/>
        <v>249.93713224442419</v>
      </c>
      <c r="BK72" s="16">
        <f>IF(ISNA(VLOOKUP(A72,'Données projet'!$A$87:$I$107,3,0)),0,VLOOKUP(A72,'Données projet'!$A$87:$I$107,3,0))</f>
        <v>8</v>
      </c>
      <c r="BL72" s="16">
        <f>IF(ISNA(VLOOKUP(A72,'Données projet'!$A$87:$I$107,4,0)),0,VLOOKUP(A72,'Données projet'!$A$87:$I$107,4,0))</f>
        <v>84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10.7</v>
      </c>
      <c r="BY72" s="13">
        <f>IF('Données projet'!$A$114&gt;35,BY71+BX72-CG71,IF(A72&lt;'Données projet'!$A$114,$BV$205^A72,IF(A72='Données projet'!$A$114,'Données projet'!$B$114,BY71+BX72-CG71)))</f>
        <v>484.29999999999961</v>
      </c>
      <c r="BZ72" s="14">
        <f>BY72*VLOOKUP('Données projet'!$B$12,Paramètres!$A$1:$I$89,3,0)*VLOOKUP('Données projet'!$B$12,Paramètres!$A$1:$I$89,5,0)</f>
        <v>309.75827999999973</v>
      </c>
      <c r="CA72" s="14">
        <f t="shared" si="93"/>
        <v>73.218347123528545</v>
      </c>
      <c r="CB72" s="22">
        <f t="shared" si="64"/>
        <v>667.01762557347843</v>
      </c>
      <c r="CC72" s="62">
        <f t="shared" si="65"/>
        <v>932.94778592354498</v>
      </c>
      <c r="CD72" s="62">
        <f ca="1">AVERAGE(OFFSET($CC$3,0,0,'Données projet'!$E$12+1,1))-AVERAGE(OFFSET($H$3,0,0,'Données projet'!$E$12+1,1))</f>
        <v>420.47368055225792</v>
      </c>
      <c r="CE72" s="62">
        <f t="shared" si="94"/>
        <v>372.56045490833549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856.46137262503021</v>
      </c>
      <c r="S73" s="62">
        <f ca="1">AVERAGE(OFFSET($R$3,0,0,'Données projet'!$E$9+1,1))-AVERAGE(OFFSET($H$3,0,0,'Données projet'!$E$9+1,1))</f>
        <v>551.36480098497589</v>
      </c>
      <c r="T73" s="62">
        <f t="shared" si="88"/>
        <v>297.32483725004136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-1.1368683772161603E-13</v>
      </c>
      <c r="AJ73" s="14">
        <f>AI73*VLOOKUP('Données projet'!$B$10,Paramètres!$A$1:$I$89,3,0)*VLOOKUP('Données projet'!$B$10,Paramètres!$A$1:$I$89,5,0)</f>
        <v>-6.7984728957526396E-14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388.30126110099434</v>
      </c>
      <c r="AO73" s="62">
        <f t="shared" si="90"/>
        <v>390.81417197867495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12.555555555555555</v>
      </c>
      <c r="BD73" s="13">
        <f>IF('Données projet'!$A$88&gt;35,BD72+BC73-BL72,IF(A73&lt;'Données projet'!$A$88,$BA$205^A73,IF(A73='Données projet'!$A$88,'Données projet'!$B$88,BD72+BC73-BL72)))</f>
        <v>286.55555555555532</v>
      </c>
      <c r="BE73" s="14">
        <f>BD73*VLOOKUP('Données projet'!$B$11,Paramètres!$A$1:$I$89,3,0)*VLOOKUP('Données projet'!$B$11,Paramètres!$A$1:$I$89,5,0)</f>
        <v>245.86466666666649</v>
      </c>
      <c r="BF73" s="14">
        <f t="shared" si="91"/>
        <v>59.699563669987469</v>
      </c>
      <c r="BG73" s="22">
        <f t="shared" si="61"/>
        <v>532.19103450300565</v>
      </c>
      <c r="BH73" s="62">
        <f t="shared" si="62"/>
        <v>798.5965786400152</v>
      </c>
      <c r="BI73" s="62">
        <f ca="1">AVERAGE(OFFSET($BH$3,0,0,'Données projet'!$E$11+1,1))-AVERAGE(OFFSET($H$3,0,0,'Données projet'!$E$11+1,1))</f>
        <v>475.48669758994771</v>
      </c>
      <c r="BJ73" s="62">
        <f t="shared" si="92"/>
        <v>249.93713224442419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495</v>
      </c>
      <c r="BW73" s="13">
        <f>VLOOKUP(A73,'Données projet'!$A$113:$I$133,9,0)</f>
        <v>10.7</v>
      </c>
      <c r="BX73" s="13">
        <f t="array" ref="BX73">INDEX(BW:BW,MIN(IF(ISNUMBER(BW73:BW269),ROW(BW73:BW269),"")))</f>
        <v>10.7</v>
      </c>
      <c r="BY73" s="13">
        <f>IF('Données projet'!$A$114&gt;35,BY72+BX73-CG72,IF(A73&lt;'Données projet'!$A$114,$BV$205^A73,IF(A73='Données projet'!$A$114,'Données projet'!$B$114,BY72+BX73-CG72)))</f>
        <v>494.9999999999996</v>
      </c>
      <c r="BZ73" s="14">
        <f>BY73*VLOOKUP('Données projet'!$B$12,Paramètres!$A$1:$I$89,3,0)*VLOOKUP('Données projet'!$B$12,Paramètres!$A$1:$I$89,5,0)</f>
        <v>316.60199999999975</v>
      </c>
      <c r="CA73" s="14">
        <f t="shared" si="93"/>
        <v>74.645894996497191</v>
      </c>
      <c r="CB73" s="22">
        <f t="shared" si="64"/>
        <v>681.42341711889878</v>
      </c>
      <c r="CC73" s="62">
        <f t="shared" si="65"/>
        <v>947.82896125590833</v>
      </c>
      <c r="CD73" s="62">
        <f ca="1">AVERAGE(OFFSET($CC$3,0,0,'Données projet'!$E$12+1,1))-AVERAGE(OFFSET($H$3,0,0,'Données projet'!$E$12+1,1))</f>
        <v>420.47368055225792</v>
      </c>
      <c r="CE73" s="62">
        <f t="shared" si="94"/>
        <v>372.56045490833549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309.59999999999997</v>
      </c>
      <c r="O74" s="14">
        <f>N74*VLOOKUP('Données projet'!$B$9,Paramètres!$A$1:$I$89,3,0)*VLOOKUP('Données projet'!$B$9,Paramètres!$A$1:$I$89,5,0)</f>
        <v>280.12607999999994</v>
      </c>
      <c r="P74" s="14">
        <f t="shared" si="87"/>
        <v>66.993652511337999</v>
      </c>
      <c r="Q74" s="22">
        <f t="shared" si="54"/>
        <v>604.56686745724687</v>
      </c>
      <c r="R74" s="62">
        <f t="shared" si="55"/>
        <v>871.43954853529476</v>
      </c>
      <c r="S74" s="62">
        <f ca="1">AVERAGE(OFFSET($R$3,0,0,'Données projet'!$E$9+1,1))-AVERAGE(OFFSET($H$3,0,0,'Données projet'!$E$9+1,1))</f>
        <v>551.36480098497589</v>
      </c>
      <c r="T74" s="62">
        <f t="shared" si="88"/>
        <v>297.32483725004136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-1.1368683772161603E-13</v>
      </c>
      <c r="AJ74" s="14">
        <f>AI74*VLOOKUP('Données projet'!$B$10,Paramètres!$A$1:$I$89,3,0)*VLOOKUP('Données projet'!$B$10,Paramètres!$A$1:$I$89,5,0)</f>
        <v>-6.7984728957526396E-14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388.30126110099434</v>
      </c>
      <c r="AO74" s="62">
        <f t="shared" si="90"/>
        <v>390.81417197867495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12.555555555555555</v>
      </c>
      <c r="BD74" s="13">
        <f>IF('Données projet'!$A$88&gt;35,BD73+BC74-BL73,IF(A74&lt;'Données projet'!$A$88,$BA$205^A74,IF(A74='Données projet'!$A$88,'Données projet'!$B$88,BD73+BC74-BL73)))</f>
        <v>299.11111111111086</v>
      </c>
      <c r="BE74" s="14">
        <f>BD74*VLOOKUP('Données projet'!$B$11,Paramètres!$A$1:$I$89,3,0)*VLOOKUP('Données projet'!$B$11,Paramètres!$A$1:$I$89,5,0)</f>
        <v>256.63733333333312</v>
      </c>
      <c r="BF74" s="14">
        <f t="shared" si="91"/>
        <v>62.005051158458208</v>
      </c>
      <c r="BG74" s="22">
        <f t="shared" si="61"/>
        <v>554.96881965653654</v>
      </c>
      <c r="BH74" s="62">
        <f t="shared" si="62"/>
        <v>821.84150073458454</v>
      </c>
      <c r="BI74" s="62">
        <f ca="1">AVERAGE(OFFSET($BH$3,0,0,'Données projet'!$E$11+1,1))-AVERAGE(OFFSET($H$3,0,0,'Données projet'!$E$11+1,1))</f>
        <v>475.48669758994771</v>
      </c>
      <c r="BJ74" s="62">
        <f t="shared" si="92"/>
        <v>249.93713224442419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9.5</v>
      </c>
      <c r="BY74" s="13">
        <f>IF('Données projet'!$A$114&gt;35,BY73+BX74-CG73,IF(A74&lt;'Données projet'!$A$114,$BV$205^A74,IF(A74='Données projet'!$A$114,'Données projet'!$B$114,BY73+BX74-CG73)))</f>
        <v>504.4999999999996</v>
      </c>
      <c r="BZ74" s="14">
        <f>BY74*VLOOKUP('Données projet'!$B$12,Paramètres!$A$1:$I$89,3,0)*VLOOKUP('Données projet'!$B$12,Paramètres!$A$1:$I$89,5,0)</f>
        <v>322.67819999999972</v>
      </c>
      <c r="CA74" s="14">
        <f t="shared" si="93"/>
        <v>75.910334663671861</v>
      </c>
      <c r="CB74" s="22">
        <f t="shared" si="64"/>
        <v>694.208364539228</v>
      </c>
      <c r="CC74" s="62">
        <f t="shared" si="65"/>
        <v>961.081045617276</v>
      </c>
      <c r="CD74" s="62">
        <f ca="1">AVERAGE(OFFSET($CC$3,0,0,'Données projet'!$E$12+1,1))-AVERAGE(OFFSET($H$3,0,0,'Données projet'!$E$12+1,1))</f>
        <v>420.47368055225792</v>
      </c>
      <c r="CE74" s="62">
        <f t="shared" si="94"/>
        <v>372.56045490833549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317.2</v>
      </c>
      <c r="O75" s="14">
        <f>N75*VLOOKUP('Données projet'!$B$9,Paramètres!$A$1:$I$89,3,0)*VLOOKUP('Données projet'!$B$9,Paramètres!$A$1:$I$89,5,0)</f>
        <v>287.00255999999996</v>
      </c>
      <c r="P75" s="14">
        <f t="shared" si="87"/>
        <v>68.444716936118553</v>
      </c>
      <c r="Q75" s="22">
        <f t="shared" si="54"/>
        <v>619.07067399707296</v>
      </c>
      <c r="R75" s="62">
        <f t="shared" si="55"/>
        <v>886.40238823459413</v>
      </c>
      <c r="S75" s="62">
        <f ca="1">AVERAGE(OFFSET($R$3,0,0,'Données projet'!$E$9+1,1))-AVERAGE(OFFSET($H$3,0,0,'Données projet'!$E$9+1,1))</f>
        <v>551.36480098497589</v>
      </c>
      <c r="T75" s="62">
        <f t="shared" si="88"/>
        <v>297.32483725004136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-1.1368683772161603E-13</v>
      </c>
      <c r="AJ75" s="14">
        <f>AI75*VLOOKUP('Données projet'!$B$10,Paramètres!$A$1:$I$89,3,0)*VLOOKUP('Données projet'!$B$10,Paramètres!$A$1:$I$89,5,0)</f>
        <v>-6.7984728957526396E-14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388.30126110099434</v>
      </c>
      <c r="AO75" s="62">
        <f t="shared" si="90"/>
        <v>390.81417197867495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12.555555555555555</v>
      </c>
      <c r="BD75" s="13">
        <f>IF('Données projet'!$A$88&gt;35,BD74+BC75-BL74,IF(A75&lt;'Données projet'!$A$88,$BA$205^A75,IF(A75='Données projet'!$A$88,'Données projet'!$B$88,BD74+BC75-BL74)))</f>
        <v>311.6666666666664</v>
      </c>
      <c r="BE75" s="14">
        <f>BD75*VLOOKUP('Données projet'!$B$11,Paramètres!$A$1:$I$89,3,0)*VLOOKUP('Données projet'!$B$11,Paramètres!$A$1:$I$89,5,0)</f>
        <v>267.4099999999998</v>
      </c>
      <c r="BF75" s="14">
        <f t="shared" si="91"/>
        <v>64.299297948636735</v>
      </c>
      <c r="BG75" s="22">
        <f t="shared" si="61"/>
        <v>577.72702726054183</v>
      </c>
      <c r="BH75" s="62">
        <f t="shared" si="62"/>
        <v>845.058741498063</v>
      </c>
      <c r="BI75" s="62">
        <f ca="1">AVERAGE(OFFSET($BH$3,0,0,'Données projet'!$E$11+1,1))-AVERAGE(OFFSET($H$3,0,0,'Données projet'!$E$11+1,1))</f>
        <v>475.48669758994771</v>
      </c>
      <c r="BJ75" s="62">
        <f t="shared" si="92"/>
        <v>249.93713224442419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9.5</v>
      </c>
      <c r="BY75" s="13">
        <f>IF('Données projet'!$A$114&gt;35,BY74+BX75-CG74,IF(A75&lt;'Données projet'!$A$114,$BV$205^A75,IF(A75='Données projet'!$A$114,'Données projet'!$B$114,BY74+BX75-CG74)))</f>
        <v>513.99999999999955</v>
      </c>
      <c r="BZ75" s="14">
        <f>BY75*VLOOKUP('Données projet'!$B$12,Paramètres!$A$1:$I$89,3,0)*VLOOKUP('Données projet'!$B$12,Paramètres!$A$1:$I$89,5,0)</f>
        <v>328.75439999999969</v>
      </c>
      <c r="CA75" s="14">
        <f t="shared" si="93"/>
        <v>77.172005701692854</v>
      </c>
      <c r="CB75" s="22">
        <f t="shared" si="64"/>
        <v>706.98848993044794</v>
      </c>
      <c r="CC75" s="62">
        <f t="shared" si="65"/>
        <v>974.320204167969</v>
      </c>
      <c r="CD75" s="62">
        <f ca="1">AVERAGE(OFFSET($CC$3,0,0,'Données projet'!$E$12+1,1))-AVERAGE(OFFSET($H$3,0,0,'Données projet'!$E$12+1,1))</f>
        <v>420.47368055225792</v>
      </c>
      <c r="CE75" s="62">
        <f t="shared" si="94"/>
        <v>372.56045490833549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324.8</v>
      </c>
      <c r="O76" s="14">
        <f>N76*VLOOKUP('Données projet'!$B$9,Paramètres!$A$1:$I$89,3,0)*VLOOKUP('Données projet'!$B$9,Paramètres!$A$1:$I$89,5,0)</f>
        <v>293.87903999999997</v>
      </c>
      <c r="P76" s="14">
        <f t="shared" si="87"/>
        <v>69.891739712361669</v>
      </c>
      <c r="Q76" s="22">
        <f t="shared" si="54"/>
        <v>633.56744133236327</v>
      </c>
      <c r="R76" s="62">
        <f t="shared" si="55"/>
        <v>901.35022553028512</v>
      </c>
      <c r="S76" s="62">
        <f ca="1">AVERAGE(OFFSET($R$3,0,0,'Données projet'!$E$9+1,1))-AVERAGE(OFFSET($H$3,0,0,'Données projet'!$E$9+1,1))</f>
        <v>551.36480098497589</v>
      </c>
      <c r="T76" s="62">
        <f t="shared" si="88"/>
        <v>297.32483725004136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-1.1368683772161603E-13</v>
      </c>
      <c r="AJ76" s="14">
        <f>AI76*VLOOKUP('Données projet'!$B$10,Paramètres!$A$1:$I$89,3,0)*VLOOKUP('Données projet'!$B$10,Paramètres!$A$1:$I$89,5,0)</f>
        <v>-6.7984728957526396E-14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388.30126110099434</v>
      </c>
      <c r="AO76" s="62">
        <f t="shared" si="90"/>
        <v>390.81417197867495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12.555555555555555</v>
      </c>
      <c r="BD76" s="13">
        <f>IF('Données projet'!$A$88&gt;35,BD75+BC76-BL75,IF(A76&lt;'Données projet'!$A$88,$BA$205^A76,IF(A76='Données projet'!$A$88,'Données projet'!$B$88,BD75+BC76-BL75)))</f>
        <v>324.22222222222194</v>
      </c>
      <c r="BE76" s="14">
        <f>BD76*VLOOKUP('Données projet'!$B$11,Paramètres!$A$1:$I$89,3,0)*VLOOKUP('Données projet'!$B$11,Paramètres!$A$1:$I$89,5,0)</f>
        <v>278.18266666666648</v>
      </c>
      <c r="BF76" s="14">
        <f t="shared" si="91"/>
        <v>66.582808678967709</v>
      </c>
      <c r="BG76" s="22">
        <f t="shared" si="61"/>
        <v>600.46653622697943</v>
      </c>
      <c r="BH76" s="62">
        <f t="shared" si="62"/>
        <v>868.24932042490127</v>
      </c>
      <c r="BI76" s="62">
        <f ca="1">AVERAGE(OFFSET($BH$3,0,0,'Données projet'!$E$11+1,1))-AVERAGE(OFFSET($H$3,0,0,'Données projet'!$E$11+1,1))</f>
        <v>475.48669758994771</v>
      </c>
      <c r="BJ76" s="62">
        <f t="shared" si="92"/>
        <v>249.93713224442419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9.5</v>
      </c>
      <c r="BY76" s="13">
        <f>IF('Données projet'!$A$114&gt;35,BY75+BX76-CG75,IF(A76&lt;'Données projet'!$A$114,$BV$205^A76,IF(A76='Données projet'!$A$114,'Données projet'!$B$114,BY75+BX76-CG75)))</f>
        <v>523.49999999999955</v>
      </c>
      <c r="BZ76" s="14">
        <f>BY76*VLOOKUP('Données projet'!$B$12,Paramètres!$A$1:$I$89,3,0)*VLOOKUP('Données projet'!$B$12,Paramètres!$A$1:$I$89,5,0)</f>
        <v>334.83059999999966</v>
      </c>
      <c r="CA76" s="14">
        <f t="shared" si="93"/>
        <v>78.430965183191148</v>
      </c>
      <c r="CB76" s="22">
        <f t="shared" si="64"/>
        <v>719.76389269405729</v>
      </c>
      <c r="CC76" s="62">
        <f t="shared" si="65"/>
        <v>987.54667689197913</v>
      </c>
      <c r="CD76" s="62">
        <f ca="1">AVERAGE(OFFSET($CC$3,0,0,'Données projet'!$E$12+1,1))-AVERAGE(OFFSET($H$3,0,0,'Données projet'!$E$12+1,1))</f>
        <v>420.47368055225792</v>
      </c>
      <c r="CE76" s="62">
        <f t="shared" si="94"/>
        <v>372.56045490833549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332.40000000000003</v>
      </c>
      <c r="O77" s="14">
        <f>N77*VLOOKUP('Données projet'!$B$9,Paramètres!$A$1:$I$89,3,0)*VLOOKUP('Données projet'!$B$9,Paramètres!$A$1:$I$89,5,0)</f>
        <v>300.75551999999999</v>
      </c>
      <c r="P77" s="14">
        <f t="shared" si="87"/>
        <v>71.334826294482014</v>
      </c>
      <c r="Q77" s="22">
        <f t="shared" si="54"/>
        <v>648.05735312955619</v>
      </c>
      <c r="R77" s="62">
        <f t="shared" si="55"/>
        <v>916.28338223250705</v>
      </c>
      <c r="S77" s="62">
        <f ca="1">AVERAGE(OFFSET($R$3,0,0,'Données projet'!$E$9+1,1))-AVERAGE(OFFSET($H$3,0,0,'Données projet'!$E$9+1,1))</f>
        <v>551.36480098497589</v>
      </c>
      <c r="T77" s="62">
        <f t="shared" si="88"/>
        <v>297.32483725004136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-1.1368683772161603E-13</v>
      </c>
      <c r="AJ77" s="14">
        <f>AI77*VLOOKUP('Données projet'!$B$10,Paramètres!$A$1:$I$89,3,0)*VLOOKUP('Données projet'!$B$10,Paramètres!$A$1:$I$89,5,0)</f>
        <v>-6.7984728957526396E-14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388.30126110099434</v>
      </c>
      <c r="AO77" s="62">
        <f t="shared" si="90"/>
        <v>390.81417197867495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12.555555555555555</v>
      </c>
      <c r="BD77" s="13">
        <f>IF('Données projet'!$A$88&gt;35,BD76+BC77-BL76,IF(A77&lt;'Données projet'!$A$88,$BA$205^A77,IF(A77='Données projet'!$A$88,'Données projet'!$B$88,BD76+BC77-BL76)))</f>
        <v>336.77777777777749</v>
      </c>
      <c r="BE77" s="14">
        <f>BD77*VLOOKUP('Données projet'!$B$11,Paramètres!$A$1:$I$89,3,0)*VLOOKUP('Données projet'!$B$11,Paramètres!$A$1:$I$89,5,0)</f>
        <v>288.95533333333316</v>
      </c>
      <c r="BF77" s="14">
        <f t="shared" si="91"/>
        <v>68.856046690289261</v>
      </c>
      <c r="BG77" s="22">
        <f t="shared" si="61"/>
        <v>623.18815354114236</v>
      </c>
      <c r="BH77" s="62">
        <f t="shared" si="62"/>
        <v>891.41418264409322</v>
      </c>
      <c r="BI77" s="62">
        <f ca="1">AVERAGE(OFFSET($BH$3,0,0,'Données projet'!$E$11+1,1))-AVERAGE(OFFSET($H$3,0,0,'Données projet'!$E$11+1,1))</f>
        <v>475.48669758994771</v>
      </c>
      <c r="BJ77" s="62">
        <f t="shared" si="92"/>
        <v>249.93713224442419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9.5</v>
      </c>
      <c r="BY77" s="13">
        <f>IF('Données projet'!$A$114&gt;35,BY76+BX77-CG76,IF(A77&lt;'Données projet'!$A$114,$BV$205^A77,IF(A77='Données projet'!$A$114,'Données projet'!$B$114,BY76+BX77-CG76)))</f>
        <v>532.99999999999955</v>
      </c>
      <c r="BZ77" s="14">
        <f>BY77*VLOOKUP('Données projet'!$B$12,Paramètres!$A$1:$I$89,3,0)*VLOOKUP('Données projet'!$B$12,Paramètres!$A$1:$I$89,5,0)</f>
        <v>340.90679999999969</v>
      </c>
      <c r="CA77" s="14">
        <f t="shared" si="93"/>
        <v>79.687267990791597</v>
      </c>
      <c r="CB77" s="22">
        <f t="shared" si="64"/>
        <v>732.53466841729471</v>
      </c>
      <c r="CC77" s="62">
        <f t="shared" si="65"/>
        <v>1000.7606975202456</v>
      </c>
      <c r="CD77" s="62">
        <f ca="1">AVERAGE(OFFSET($CC$3,0,0,'Données projet'!$E$12+1,1))-AVERAGE(OFFSET($H$3,0,0,'Données projet'!$E$12+1,1))</f>
        <v>420.47368055225792</v>
      </c>
      <c r="CE77" s="62">
        <f t="shared" si="94"/>
        <v>372.56045490833549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340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340.00000000000006</v>
      </c>
      <c r="O78" s="14">
        <f>N78*VLOOKUP('Données projet'!$B$9,Paramètres!$A$1:$I$89,3,0)*VLOOKUP('Données projet'!$B$9,Paramètres!$A$1:$I$89,5,0)</f>
        <v>307.63200000000006</v>
      </c>
      <c r="P78" s="14">
        <f t="shared" si="87"/>
        <v>72.774077039465567</v>
      </c>
      <c r="Q78" s="22">
        <f t="shared" si="54"/>
        <v>662.54058417706926</v>
      </c>
      <c r="R78" s="62">
        <f t="shared" si="55"/>
        <v>931.20216887689412</v>
      </c>
      <c r="S78" s="62">
        <f ca="1">AVERAGE(OFFSET($R$3,0,0,'Données projet'!$E$9+1,1))-AVERAGE(OFFSET($H$3,0,0,'Données projet'!$E$9+1,1))</f>
        <v>551.36480098497589</v>
      </c>
      <c r="T78" s="62">
        <f t="shared" si="88"/>
        <v>297.32483725004136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56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-1.1368683772161603E-13</v>
      </c>
      <c r="AJ78" s="14">
        <f>AI78*VLOOKUP('Données projet'!$B$10,Paramètres!$A$1:$I$89,3,0)*VLOOKUP('Données projet'!$B$10,Paramètres!$A$1:$I$89,5,0)</f>
        <v>-6.7984728957526396E-14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388.30126110099434</v>
      </c>
      <c r="AO78" s="62">
        <f t="shared" si="90"/>
        <v>390.81417197867495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12.555555555555555</v>
      </c>
      <c r="BD78" s="13">
        <f>IF('Données projet'!$A$88&gt;35,BD77+BC78-BL77,IF(A78&lt;'Données projet'!$A$88,$BA$205^A78,IF(A78='Données projet'!$A$88,'Données projet'!$B$88,BD77+BC78-BL77)))</f>
        <v>349.33333333333303</v>
      </c>
      <c r="BE78" s="14">
        <f>BD78*VLOOKUP('Données projet'!$B$11,Paramètres!$A$1:$I$89,3,0)*VLOOKUP('Données projet'!$B$11,Paramètres!$A$1:$I$89,5,0)</f>
        <v>299.72799999999978</v>
      </c>
      <c r="BF78" s="14">
        <f t="shared" si="91"/>
        <v>71.119438818118951</v>
      </c>
      <c r="BG78" s="22">
        <f t="shared" si="61"/>
        <v>645.89262260822341</v>
      </c>
      <c r="BH78" s="62">
        <f t="shared" si="62"/>
        <v>914.55420730804826</v>
      </c>
      <c r="BI78" s="62">
        <f ca="1">AVERAGE(OFFSET($BH$3,0,0,'Données projet'!$E$11+1,1))-AVERAGE(OFFSET($H$3,0,0,'Données projet'!$E$11+1,1))</f>
        <v>475.48669758994771</v>
      </c>
      <c r="BJ78" s="62">
        <f t="shared" si="92"/>
        <v>249.93713224442419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9.5</v>
      </c>
      <c r="BY78" s="13">
        <f>IF('Données projet'!$A$114&gt;35,BY77+BX78-CG77,IF(A78&lt;'Données projet'!$A$114,$BV$205^A78,IF(A78='Données projet'!$A$114,'Données projet'!$B$114,BY77+BX78-CG77)))</f>
        <v>542.49999999999955</v>
      </c>
      <c r="BZ78" s="14">
        <f>BY78*VLOOKUP('Données projet'!$B$12,Paramètres!$A$1:$I$89,3,0)*VLOOKUP('Données projet'!$B$12,Paramètres!$A$1:$I$89,5,0)</f>
        <v>346.98299999999972</v>
      </c>
      <c r="CA78" s="14">
        <f t="shared" si="93"/>
        <v>80.940966938657894</v>
      </c>
      <c r="CB78" s="22">
        <f t="shared" si="64"/>
        <v>745.30090908482862</v>
      </c>
      <c r="CC78" s="62">
        <f t="shared" si="65"/>
        <v>1013.9624937846534</v>
      </c>
      <c r="CD78" s="62">
        <f ca="1">AVERAGE(OFFSET($CC$3,0,0,'Données projet'!$E$12+1,1))-AVERAGE(OFFSET($H$3,0,0,'Données projet'!$E$12+1,1))</f>
        <v>420.47368055225792</v>
      </c>
      <c r="CE78" s="62">
        <f t="shared" si="94"/>
        <v>372.56045490833549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838.51161983006114</v>
      </c>
      <c r="S79" s="62">
        <f ca="1">AVERAGE(OFFSET($R$3,0,0,'Données projet'!$E$9+1,1))-AVERAGE(OFFSET($H$3,0,0,'Données projet'!$E$9+1,1))</f>
        <v>551.36480098497589</v>
      </c>
      <c r="T79" s="62">
        <f t="shared" si="88"/>
        <v>297.32483725004136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-1.1368683772161603E-13</v>
      </c>
      <c r="AJ79" s="14">
        <f>AI79*VLOOKUP('Données projet'!$B$10,Paramètres!$A$1:$I$89,3,0)*VLOOKUP('Données projet'!$B$10,Paramètres!$A$1:$I$89,5,0)</f>
        <v>-6.7984728957526396E-14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388.30126110099434</v>
      </c>
      <c r="AO79" s="62">
        <f t="shared" si="90"/>
        <v>390.81417197867495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12.555555555555555</v>
      </c>
      <c r="BD79" s="13">
        <f>IF('Données projet'!$A$88&gt;35,BD78+BC79-BL78,IF(A79&lt;'Données projet'!$A$88,$BA$205^A79,IF(A79='Données projet'!$A$88,'Données projet'!$B$88,BD78+BC79-BL78)))</f>
        <v>361.88888888888857</v>
      </c>
      <c r="BE79" s="14">
        <f>BD79*VLOOKUP('Données projet'!$B$11,Paramètres!$A$1:$I$89,3,0)*VLOOKUP('Données projet'!$B$11,Paramètres!$A$1:$I$89,5,0)</f>
        <v>310.5006666666664</v>
      </c>
      <c r="BF79" s="14">
        <f t="shared" si="91"/>
        <v>73.373379476611461</v>
      </c>
      <c r="BG79" s="22">
        <f t="shared" si="61"/>
        <v>668.58063036620888</v>
      </c>
      <c r="BH79" s="62">
        <f t="shared" si="62"/>
        <v>937.67021474705825</v>
      </c>
      <c r="BI79" s="62">
        <f ca="1">AVERAGE(OFFSET($BH$3,0,0,'Données projet'!$E$11+1,1))-AVERAGE(OFFSET($H$3,0,0,'Données projet'!$E$11+1,1))</f>
        <v>475.48669758994771</v>
      </c>
      <c r="BJ79" s="62">
        <f t="shared" si="92"/>
        <v>249.93713224442419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9.5</v>
      </c>
      <c r="BY79" s="13">
        <f>IF('Données projet'!$A$114&gt;35,BY78+BX79-CG78,IF(A79&lt;'Données projet'!$A$114,$BV$205^A79,IF(A79='Données projet'!$A$114,'Données projet'!$B$114,BY78+BX79-CG78)))</f>
        <v>551.99999999999955</v>
      </c>
      <c r="BZ79" s="14">
        <f>BY79*VLOOKUP('Données projet'!$B$12,Paramètres!$A$1:$I$89,3,0)*VLOOKUP('Données projet'!$B$12,Paramètres!$A$1:$I$89,5,0)</f>
        <v>353.05919999999969</v>
      </c>
      <c r="CA79" s="14">
        <f t="shared" si="93"/>
        <v>82.192112885281873</v>
      </c>
      <c r="CB79" s="22">
        <f t="shared" si="64"/>
        <v>758.0627032751986</v>
      </c>
      <c r="CC79" s="62">
        <f t="shared" si="65"/>
        <v>1027.152287656048</v>
      </c>
      <c r="CD79" s="62">
        <f ca="1">AVERAGE(OFFSET($CC$3,0,0,'Données projet'!$E$12+1,1))-AVERAGE(OFFSET($H$3,0,0,'Données projet'!$E$12+1,1))</f>
        <v>420.47368055225792</v>
      </c>
      <c r="CE79" s="62">
        <f t="shared" si="94"/>
        <v>372.56045490833549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852.68975517110448</v>
      </c>
      <c r="S80" s="62">
        <f ca="1">AVERAGE(OFFSET($R$3,0,0,'Données projet'!$E$9+1,1))-AVERAGE(OFFSET($H$3,0,0,'Données projet'!$E$9+1,1))</f>
        <v>551.36480098497589</v>
      </c>
      <c r="T80" s="62">
        <f t="shared" si="88"/>
        <v>297.32483725004136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-1.1368683772161603E-13</v>
      </c>
      <c r="AJ80" s="14">
        <f>AI80*VLOOKUP('Données projet'!$B$10,Paramètres!$A$1:$I$89,3,0)*VLOOKUP('Données projet'!$B$10,Paramètres!$A$1:$I$89,5,0)</f>
        <v>-6.7984728957526396E-14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388.30126110099434</v>
      </c>
      <c r="AO80" s="62">
        <f t="shared" si="90"/>
        <v>390.81417197867495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12.555555555555555</v>
      </c>
      <c r="BD80" s="13">
        <f>IF('Données projet'!$A$88&gt;35,BD79+BC80-BL79,IF(A80&lt;'Données projet'!$A$88,$BA$205^A80,IF(A80='Données projet'!$A$88,'Données projet'!$B$88,BD79+BC80-BL79)))</f>
        <v>374.44444444444412</v>
      </c>
      <c r="BE80" s="14">
        <f>BD80*VLOOKUP('Données projet'!$B$11,Paramètres!$A$1:$I$89,3,0)*VLOOKUP('Données projet'!$B$11,Paramètres!$A$1:$I$89,5,0)</f>
        <v>321.27333333333308</v>
      </c>
      <c r="BF80" s="14">
        <f t="shared" si="91"/>
        <v>75.618234159828049</v>
      </c>
      <c r="BG80" s="22">
        <f t="shared" si="61"/>
        <v>691.25281338392233</v>
      </c>
      <c r="BH80" s="62">
        <f t="shared" si="62"/>
        <v>960.76297260819456</v>
      </c>
      <c r="BI80" s="62">
        <f ca="1">AVERAGE(OFFSET($BH$3,0,0,'Données projet'!$E$11+1,1))-AVERAGE(OFFSET($H$3,0,0,'Données projet'!$E$11+1,1))</f>
        <v>475.48669758994771</v>
      </c>
      <c r="BJ80" s="62">
        <f t="shared" si="92"/>
        <v>249.93713224442419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9.5</v>
      </c>
      <c r="BY80" s="13">
        <f>IF('Données projet'!$A$114&gt;35,BY79+BX80-CG79,IF(A80&lt;'Données projet'!$A$114,$BV$205^A80,IF(A80='Données projet'!$A$114,'Données projet'!$B$114,BY79+BX80-CG79)))</f>
        <v>561.49999999999955</v>
      </c>
      <c r="BZ80" s="14">
        <f>BY80*VLOOKUP('Données projet'!$B$12,Paramètres!$A$1:$I$89,3,0)*VLOOKUP('Données projet'!$B$12,Paramètres!$A$1:$I$89,5,0)</f>
        <v>359.13539999999972</v>
      </c>
      <c r="CA80" s="14">
        <f t="shared" si="93"/>
        <v>83.440754838289919</v>
      </c>
      <c r="CB80" s="22">
        <f t="shared" si="64"/>
        <v>770.82013634335442</v>
      </c>
      <c r="CC80" s="62">
        <f t="shared" si="65"/>
        <v>1040.3302955676268</v>
      </c>
      <c r="CD80" s="62">
        <f ca="1">AVERAGE(OFFSET($CC$3,0,0,'Données projet'!$E$12+1,1))-AVERAGE(OFFSET($H$3,0,0,'Données projet'!$E$12+1,1))</f>
        <v>420.47368055225792</v>
      </c>
      <c r="CE80" s="62">
        <f t="shared" si="94"/>
        <v>372.56045490833549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866.8538307678042</v>
      </c>
      <c r="S81" s="62">
        <f ca="1">AVERAGE(OFFSET($R$3,0,0,'Données projet'!$E$9+1,1))-AVERAGE(OFFSET($H$3,0,0,'Données projet'!$E$9+1,1))</f>
        <v>551.36480098497589</v>
      </c>
      <c r="T81" s="62">
        <f t="shared" si="88"/>
        <v>297.32483725004136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-1.1368683772161603E-13</v>
      </c>
      <c r="AJ81" s="14">
        <f>AI81*VLOOKUP('Données projet'!$B$10,Paramètres!$A$1:$I$89,3,0)*VLOOKUP('Données projet'!$B$10,Paramètres!$A$1:$I$89,5,0)</f>
        <v>-6.7984728957526396E-14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388.30126110099434</v>
      </c>
      <c r="AO81" s="62">
        <f t="shared" si="90"/>
        <v>390.81417197867495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>
        <f>VLOOKUP(A81,'Données projet'!$A$87:$I$107,2,0)</f>
        <v>387</v>
      </c>
      <c r="BB81" s="13">
        <f>VLOOKUP(A81,'Données projet'!$A$87:$I$107,9,0)</f>
        <v>12.555555555555555</v>
      </c>
      <c r="BC81" s="13">
        <f t="array" ref="BC81">INDEX(BB:BB,MIN(IF(ISNUMBER(BB81:BB277),ROW(BB81:BB277),"")))</f>
        <v>12.555555555555555</v>
      </c>
      <c r="BD81" s="13">
        <f>IF('Données projet'!$A$88&gt;35,BD80+BC81-BL80,IF(A81&lt;'Données projet'!$A$88,$BA$205^A81,IF(A81='Données projet'!$A$88,'Données projet'!$B$88,BD80+BC81-BL80)))</f>
        <v>386.99999999999966</v>
      </c>
      <c r="BE81" s="14">
        <f>BD81*VLOOKUP('Données projet'!$B$11,Paramètres!$A$1:$I$89,3,0)*VLOOKUP('Données projet'!$B$11,Paramètres!$A$1:$I$89,5,0)</f>
        <v>332.04599999999971</v>
      </c>
      <c r="BF81" s="14">
        <f t="shared" si="91"/>
        <v>77.854342460208571</v>
      </c>
      <c r="BG81" s="22">
        <f t="shared" si="61"/>
        <v>713.90976311819611</v>
      </c>
      <c r="BH81" s="62">
        <f t="shared" si="62"/>
        <v>983.83320115262234</v>
      </c>
      <c r="BI81" s="62">
        <f ca="1">AVERAGE(OFFSET($BH$3,0,0,'Données projet'!$E$11+1,1))-AVERAGE(OFFSET($H$3,0,0,'Données projet'!$E$11+1,1))</f>
        <v>475.48669758994771</v>
      </c>
      <c r="BJ81" s="62">
        <f t="shared" si="92"/>
        <v>249.93713224442419</v>
      </c>
      <c r="BK81" s="16">
        <f>IF(ISNA(VLOOKUP(A81,'Données projet'!$A$87:$I$107,3,0)),0,VLOOKUP(A81,'Données projet'!$A$87:$I$107,3,0))</f>
        <v>9</v>
      </c>
      <c r="BL81" s="16">
        <f>IF(ISNA(VLOOKUP(A81,'Données projet'!$A$87:$I$107,4,0)),0,VLOOKUP(A81,'Données projet'!$A$87:$I$107,4,0))</f>
        <v>39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9.5</v>
      </c>
      <c r="BY81" s="13">
        <f>IF('Données projet'!$A$114&gt;35,BY80+BX81-CG80,IF(A81&lt;'Données projet'!$A$114,$BV$205^A81,IF(A81='Données projet'!$A$114,'Données projet'!$B$114,BY80+BX81-CG80)))</f>
        <v>570.99999999999955</v>
      </c>
      <c r="BZ81" s="14">
        <f>BY81*VLOOKUP('Données projet'!$B$12,Paramètres!$A$1:$I$89,3,0)*VLOOKUP('Données projet'!$B$12,Paramètres!$A$1:$I$89,5,0)</f>
        <v>365.21159999999969</v>
      </c>
      <c r="CA81" s="14">
        <f t="shared" si="93"/>
        <v>84.686940051953741</v>
      </c>
      <c r="CB81" s="22">
        <f t="shared" si="64"/>
        <v>783.5732905904855</v>
      </c>
      <c r="CC81" s="62">
        <f t="shared" si="65"/>
        <v>1053.4967286249116</v>
      </c>
      <c r="CD81" s="62">
        <f ca="1">AVERAGE(OFFSET($CC$3,0,0,'Données projet'!$E$12+1,1))-AVERAGE(OFFSET($H$3,0,0,'Données projet'!$E$12+1,1))</f>
        <v>420.47368055225792</v>
      </c>
      <c r="CE81" s="62">
        <f t="shared" si="94"/>
        <v>372.56045490833549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881.00415088284853</v>
      </c>
      <c r="S82" s="62">
        <f ca="1">AVERAGE(OFFSET($R$3,0,0,'Données projet'!$E$9+1,1))-AVERAGE(OFFSET($H$3,0,0,'Données projet'!$E$9+1,1))</f>
        <v>551.36480098497589</v>
      </c>
      <c r="T82" s="62">
        <f t="shared" si="88"/>
        <v>297.32483725004136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-1.1368683772161603E-13</v>
      </c>
      <c r="AJ82" s="14">
        <f>AI82*VLOOKUP('Données projet'!$B$10,Paramètres!$A$1:$I$89,3,0)*VLOOKUP('Données projet'!$B$10,Paramètres!$A$1:$I$89,5,0)</f>
        <v>-6.7984728957526396E-14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388.30126110099434</v>
      </c>
      <c r="AO82" s="62">
        <f t="shared" si="90"/>
        <v>390.81417197867495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12</v>
      </c>
      <c r="BD82" s="13">
        <f>IF('Données projet'!$A$88&gt;35,BD81+BC82-BL81,IF(A82&lt;'Données projet'!$A$88,$BA$205^A82,IF(A82='Données projet'!$A$88,'Données projet'!$B$88,BD81+BC82-BL81)))</f>
        <v>359.99999999999966</v>
      </c>
      <c r="BE82" s="14">
        <f>BD82*VLOOKUP('Données projet'!$B$11,Paramètres!$A$1:$I$89,3,0)*VLOOKUP('Données projet'!$B$11,Paramètres!$A$1:$I$89,5,0)</f>
        <v>308.87999999999977</v>
      </c>
      <c r="BF82" s="14">
        <f t="shared" si="91"/>
        <v>73.034880345800715</v>
      </c>
      <c r="BG82" s="22">
        <f t="shared" si="61"/>
        <v>665.16841660226919</v>
      </c>
      <c r="BH82" s="62">
        <f t="shared" si="62"/>
        <v>935.4979639834462</v>
      </c>
      <c r="BI82" s="62">
        <f ca="1">AVERAGE(OFFSET($BH$3,0,0,'Données projet'!$E$11+1,1))-AVERAGE(OFFSET($H$3,0,0,'Données projet'!$E$11+1,1))</f>
        <v>475.48669758994771</v>
      </c>
      <c r="BJ82" s="62">
        <f t="shared" si="92"/>
        <v>249.93713224442419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9.5</v>
      </c>
      <c r="BY82" s="13">
        <f>IF('Données projet'!$A$114&gt;35,BY81+BX82-CG81,IF(A82&lt;'Données projet'!$A$114,$BV$205^A82,IF(A82='Données projet'!$A$114,'Données projet'!$B$114,BY81+BX82-CG81)))</f>
        <v>580.49999999999955</v>
      </c>
      <c r="BZ82" s="14">
        <f>BY82*VLOOKUP('Données projet'!$B$12,Paramètres!$A$1:$I$89,3,0)*VLOOKUP('Données projet'!$B$12,Paramètres!$A$1:$I$89,5,0)</f>
        <v>371.28779999999972</v>
      </c>
      <c r="CA82" s="14">
        <f t="shared" si="93"/>
        <v>85.930714118029812</v>
      </c>
      <c r="CB82" s="22">
        <f t="shared" si="64"/>
        <v>796.32224542223469</v>
      </c>
      <c r="CC82" s="62">
        <f t="shared" si="65"/>
        <v>1066.6517928034116</v>
      </c>
      <c r="CD82" s="62">
        <f ca="1">AVERAGE(OFFSET($CC$3,0,0,'Données projet'!$E$12+1,1))-AVERAGE(OFFSET($H$3,0,0,'Données projet'!$E$12+1,1))</f>
        <v>420.47368055225792</v>
      </c>
      <c r="CE82" s="62">
        <f t="shared" si="94"/>
        <v>372.56045490833549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895.14100893618843</v>
      </c>
      <c r="S83" s="62">
        <f ca="1">AVERAGE(OFFSET($R$3,0,0,'Données projet'!$E$9+1,1))-AVERAGE(OFFSET($H$3,0,0,'Données projet'!$E$9+1,1))</f>
        <v>551.36480098497589</v>
      </c>
      <c r="T83" s="62">
        <f t="shared" si="88"/>
        <v>297.32483725004136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-1.1368683772161603E-13</v>
      </c>
      <c r="AJ83" s="14">
        <f>AI83*VLOOKUP('Données projet'!$B$10,Paramètres!$A$1:$I$89,3,0)*VLOOKUP('Données projet'!$B$10,Paramètres!$A$1:$I$89,5,0)</f>
        <v>-6.7984728957526396E-14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388.30126110099434</v>
      </c>
      <c r="AO83" s="62">
        <f t="shared" si="90"/>
        <v>390.81417197867495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12</v>
      </c>
      <c r="BD83" s="13">
        <f>IF('Données projet'!$A$88&gt;35,BD82+BC83-BL82,IF(A83&lt;'Données projet'!$A$88,$BA$205^A83,IF(A83='Données projet'!$A$88,'Données projet'!$B$88,BD82+BC83-BL82)))</f>
        <v>371.99999999999966</v>
      </c>
      <c r="BE83" s="14">
        <f>BD83*VLOOKUP('Données projet'!$B$11,Paramètres!$A$1:$I$89,3,0)*VLOOKUP('Données projet'!$B$11,Paramètres!$A$1:$I$89,5,0)</f>
        <v>319.17599999999976</v>
      </c>
      <c r="BF83" s="14">
        <f t="shared" si="91"/>
        <v>75.181878718947615</v>
      </c>
      <c r="BG83" s="22">
        <f t="shared" si="61"/>
        <v>686.8399721021666</v>
      </c>
      <c r="BH83" s="62">
        <f t="shared" si="62"/>
        <v>957.56858374085277</v>
      </c>
      <c r="BI83" s="62">
        <f ca="1">AVERAGE(OFFSET($BH$3,0,0,'Données projet'!$E$11+1,1))-AVERAGE(OFFSET($H$3,0,0,'Données projet'!$E$11+1,1))</f>
        <v>475.48669758994771</v>
      </c>
      <c r="BJ83" s="62">
        <f t="shared" si="92"/>
        <v>249.93713224442419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590</v>
      </c>
      <c r="BW83" s="13">
        <f>VLOOKUP(A83,'Données projet'!$A$113:$I$133,9,0)</f>
        <v>9.5</v>
      </c>
      <c r="BX83" s="13">
        <f t="array" ref="BX83">INDEX(BW:BW,MIN(IF(ISNUMBER(BW83:BW279),ROW(BW83:BW279),"")))</f>
        <v>9.5</v>
      </c>
      <c r="BY83" s="13">
        <f>IF('Données projet'!$A$114&gt;35,BY82+BX83-CG82,IF(A83&lt;'Données projet'!$A$114,$BV$205^A83,IF(A83='Données projet'!$A$114,'Données projet'!$B$114,BY82+BX83-CG82)))</f>
        <v>589.99999999999955</v>
      </c>
      <c r="BZ83" s="14">
        <f>BY83*VLOOKUP('Données projet'!$B$12,Paramètres!$A$1:$I$89,3,0)*VLOOKUP('Données projet'!$B$12,Paramètres!$A$1:$I$89,5,0)</f>
        <v>377.36399999999969</v>
      </c>
      <c r="CA83" s="14">
        <f t="shared" si="93"/>
        <v>87.17212105048192</v>
      </c>
      <c r="CB83" s="22">
        <f t="shared" si="64"/>
        <v>809.06707749625537</v>
      </c>
      <c r="CC83" s="62">
        <f t="shared" si="65"/>
        <v>1079.7956891349415</v>
      </c>
      <c r="CD83" s="62">
        <f ca="1">AVERAGE(OFFSET($CC$3,0,0,'Données projet'!$E$12+1,1))-AVERAGE(OFFSET($H$3,0,0,'Données projet'!$E$12+1,1))</f>
        <v>420.47368055225792</v>
      </c>
      <c r="CE83" s="62">
        <f t="shared" si="94"/>
        <v>372.56045490833549</v>
      </c>
      <c r="CF83" s="16">
        <f>IF(ISNA(VLOOKUP(A83,'Données projet'!$A$113:$I$133,3,0)),0,VLOOKUP(A83,'Données projet'!$A$113:$I$133,3,0))</f>
        <v>4</v>
      </c>
      <c r="CG83" s="16">
        <f>IF(ISNA(VLOOKUP(A83,'Données projet'!$A$113:$I$133,4,0)),0,VLOOKUP(A83,'Données projet'!$A$113:$I$133,4,0))</f>
        <v>590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6.8</v>
      </c>
      <c r="N84" s="14">
        <f>IF('Données projet'!$A$36&gt;35,N83+M84-V83,IF(A84&lt;'Données projet'!$A$36,$K$205^A84,IF(A84='Données projet'!$A$36,'Données projet'!$B$36,N83+M84-V83)))</f>
        <v>326.8</v>
      </c>
      <c r="O84" s="14">
        <f>N84*VLOOKUP('Données projet'!$B$9,Paramètres!$A$1:$I$89,3,0)*VLOOKUP('Données projet'!$B$9,Paramètres!$A$1:$I$89,5,0)</f>
        <v>295.68863999999996</v>
      </c>
      <c r="P84" s="14">
        <f t="shared" si="87"/>
        <v>70.271876780519747</v>
      </c>
      <c r="Q84" s="22">
        <f t="shared" si="54"/>
        <v>637.38123339273841</v>
      </c>
      <c r="R84" s="62">
        <f t="shared" si="55"/>
        <v>908.50198641623979</v>
      </c>
      <c r="S84" s="62">
        <f ca="1">AVERAGE(OFFSET($R$3,0,0,'Données projet'!$E$9+1,1))-AVERAGE(OFFSET($H$3,0,0,'Données projet'!$E$9+1,1))</f>
        <v>551.36480098497589</v>
      </c>
      <c r="T84" s="62">
        <f t="shared" si="88"/>
        <v>297.32483725004136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-1.1368683772161603E-13</v>
      </c>
      <c r="AJ84" s="14">
        <f>AI84*VLOOKUP('Données projet'!$B$10,Paramètres!$A$1:$I$89,3,0)*VLOOKUP('Données projet'!$B$10,Paramètres!$A$1:$I$89,5,0)</f>
        <v>-6.7984728957526396E-14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388.30126110099434</v>
      </c>
      <c r="AO84" s="62">
        <f t="shared" si="90"/>
        <v>390.81417197867495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12</v>
      </c>
      <c r="BD84" s="13">
        <f>IF('Données projet'!$A$88&gt;35,BD83+BC84-BL83,IF(A84&lt;'Données projet'!$A$88,$BA$205^A84,IF(A84='Données projet'!$A$88,'Données projet'!$B$88,BD83+BC84-BL83)))</f>
        <v>383.99999999999966</v>
      </c>
      <c r="BE84" s="14">
        <f>BD84*VLOOKUP('Données projet'!$B$11,Paramètres!$A$1:$I$89,3,0)*VLOOKUP('Données projet'!$B$11,Paramètres!$A$1:$I$89,5,0)</f>
        <v>329.47199999999975</v>
      </c>
      <c r="BF84" s="14">
        <f t="shared" si="91"/>
        <v>77.320829101031876</v>
      </c>
      <c r="BG84" s="22">
        <f t="shared" si="61"/>
        <v>708.49751068429669</v>
      </c>
      <c r="BH84" s="62">
        <f t="shared" si="62"/>
        <v>979.61826370779818</v>
      </c>
      <c r="BI84" s="62">
        <f ca="1">AVERAGE(OFFSET($BH$3,0,0,'Données projet'!$E$11+1,1))-AVERAGE(OFFSET($H$3,0,0,'Données projet'!$E$11+1,1))</f>
        <v>475.48669758994771</v>
      </c>
      <c r="BJ84" s="62">
        <f t="shared" si="92"/>
        <v>249.93713224442419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-4.5474735088646412E-13</v>
      </c>
      <c r="BZ84" s="14">
        <f>BY84*VLOOKUP('Données projet'!$B$12,Paramètres!$A$1:$I$89,3,0)*VLOOKUP('Données projet'!$B$12,Paramètres!$A$1:$I$89,5,0)</f>
        <v>-2.9085640562698243E-13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420.47368055225792</v>
      </c>
      <c r="CE84" s="62">
        <f t="shared" si="94"/>
        <v>372.56045490833549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6.8</v>
      </c>
      <c r="N85" s="14">
        <f>IF('Données projet'!$A$36&gt;35,N84+M85-V84,IF(A85&lt;'Données projet'!$A$36,$K$205^A85,IF(A85='Données projet'!$A$36,'Données projet'!$B$36,N84+M85-V84)))</f>
        <v>333.6</v>
      </c>
      <c r="O85" s="14">
        <f>N85*VLOOKUP('Données projet'!$B$9,Paramètres!$A$1:$I$89,3,0)*VLOOKUP('Données projet'!$B$9,Paramètres!$A$1:$I$89,5,0)</f>
        <v>301.84127999999998</v>
      </c>
      <c r="P85" s="14">
        <f t="shared" si="87"/>
        <v>71.562328918453616</v>
      </c>
      <c r="Q85" s="22">
        <f t="shared" si="54"/>
        <v>650.34461886630663</v>
      </c>
      <c r="R85" s="62">
        <f t="shared" si="55"/>
        <v>921.85071049829367</v>
      </c>
      <c r="S85" s="62">
        <f ca="1">AVERAGE(OFFSET($R$3,0,0,'Données projet'!$E$9+1,1))-AVERAGE(OFFSET($H$3,0,0,'Données projet'!$E$9+1,1))</f>
        <v>551.36480098497589</v>
      </c>
      <c r="T85" s="62">
        <f t="shared" si="88"/>
        <v>297.32483725004136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-1.1368683772161603E-13</v>
      </c>
      <c r="AJ85" s="14">
        <f>AI85*VLOOKUP('Données projet'!$B$10,Paramètres!$A$1:$I$89,3,0)*VLOOKUP('Données projet'!$B$10,Paramètres!$A$1:$I$89,5,0)</f>
        <v>-6.7984728957526396E-14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388.30126110099434</v>
      </c>
      <c r="AO85" s="62">
        <f t="shared" si="90"/>
        <v>390.81417197867495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12</v>
      </c>
      <c r="BD85" s="13">
        <f>IF('Données projet'!$A$88&gt;35,BD84+BC85-BL84,IF(A85&lt;'Données projet'!$A$88,$BA$205^A85,IF(A85='Données projet'!$A$88,'Données projet'!$B$88,BD84+BC85-BL84)))</f>
        <v>395.99999999999966</v>
      </c>
      <c r="BE85" s="14">
        <f>BD85*VLOOKUP('Données projet'!$B$11,Paramètres!$A$1:$I$89,3,0)*VLOOKUP('Données projet'!$B$11,Paramètres!$A$1:$I$89,5,0)</f>
        <v>339.76799999999974</v>
      </c>
      <c r="BF85" s="14">
        <f t="shared" si="91"/>
        <v>79.452011848891914</v>
      </c>
      <c r="BG85" s="22">
        <f t="shared" si="61"/>
        <v>730.14152063681968</v>
      </c>
      <c r="BH85" s="62">
        <f t="shared" si="62"/>
        <v>1001.6476122688067</v>
      </c>
      <c r="BI85" s="62">
        <f ca="1">AVERAGE(OFFSET($BH$3,0,0,'Données projet'!$E$11+1,1))-AVERAGE(OFFSET($H$3,0,0,'Données projet'!$E$11+1,1))</f>
        <v>475.48669758994771</v>
      </c>
      <c r="BJ85" s="62">
        <f t="shared" si="92"/>
        <v>249.93713224442419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-4.5474735088646412E-13</v>
      </c>
      <c r="BZ85" s="14">
        <f>BY85*VLOOKUP('Données projet'!$B$12,Paramètres!$A$1:$I$89,3,0)*VLOOKUP('Données projet'!$B$12,Paramètres!$A$1:$I$89,5,0)</f>
        <v>-2.9085640562698243E-13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420.47368055225792</v>
      </c>
      <c r="CE85" s="62">
        <f t="shared" si="94"/>
        <v>372.56045490833549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6.8</v>
      </c>
      <c r="N86" s="14">
        <f>IF('Données projet'!$A$36&gt;35,N85+M86-V85,IF(A86&lt;'Données projet'!$A$36,$K$205^A86,IF(A86='Données projet'!$A$36,'Données projet'!$B$36,N85+M86-V85)))</f>
        <v>340.40000000000003</v>
      </c>
      <c r="O86" s="14">
        <f>N86*VLOOKUP('Données projet'!$B$9,Paramètres!$A$1:$I$89,3,0)*VLOOKUP('Données projet'!$B$9,Paramètres!$A$1:$I$89,5,0)</f>
        <v>307.99392000000006</v>
      </c>
      <c r="P86" s="14">
        <f t="shared" si="87"/>
        <v>72.849722655374123</v>
      </c>
      <c r="Q86" s="22">
        <f t="shared" si="54"/>
        <v>663.30267762477672</v>
      </c>
      <c r="R86" s="62">
        <f t="shared" si="55"/>
        <v>935.1874231018802</v>
      </c>
      <c r="S86" s="62">
        <f ca="1">AVERAGE(OFFSET($R$3,0,0,'Données projet'!$E$9+1,1))-AVERAGE(OFFSET($H$3,0,0,'Données projet'!$E$9+1,1))</f>
        <v>551.36480098497589</v>
      </c>
      <c r="T86" s="62">
        <f t="shared" si="88"/>
        <v>297.32483725004136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-1.1368683772161603E-13</v>
      </c>
      <c r="AJ86" s="14">
        <f>AI86*VLOOKUP('Données projet'!$B$10,Paramètres!$A$1:$I$89,3,0)*VLOOKUP('Données projet'!$B$10,Paramètres!$A$1:$I$89,5,0)</f>
        <v>-6.7984728957526396E-14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388.30126110099434</v>
      </c>
      <c r="AO86" s="62">
        <f t="shared" si="90"/>
        <v>390.81417197867495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12</v>
      </c>
      <c r="BD86" s="13">
        <f>IF('Données projet'!$A$88&gt;35,BD85+BC86-BL85,IF(A86&lt;'Données projet'!$A$88,$BA$205^A86,IF(A86='Données projet'!$A$88,'Données projet'!$B$88,BD85+BC86-BL85)))</f>
        <v>407.99999999999966</v>
      </c>
      <c r="BE86" s="14">
        <f>BD86*VLOOKUP('Données projet'!$B$11,Paramètres!$A$1:$I$89,3,0)*VLOOKUP('Données projet'!$B$11,Paramètres!$A$1:$I$89,5,0)</f>
        <v>350.06399999999974</v>
      </c>
      <c r="BF86" s="14">
        <f t="shared" si="91"/>
        <v>81.575689362490451</v>
      </c>
      <c r="BG86" s="22">
        <f t="shared" si="61"/>
        <v>751.77245897300372</v>
      </c>
      <c r="BH86" s="62">
        <f t="shared" si="62"/>
        <v>1023.6572044501072</v>
      </c>
      <c r="BI86" s="62">
        <f ca="1">AVERAGE(OFFSET($BH$3,0,0,'Données projet'!$E$11+1,1))-AVERAGE(OFFSET($H$3,0,0,'Données projet'!$E$11+1,1))</f>
        <v>475.48669758994771</v>
      </c>
      <c r="BJ86" s="62">
        <f t="shared" si="92"/>
        <v>249.93713224442419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-4.5474735088646412E-13</v>
      </c>
      <c r="BZ86" s="14">
        <f>BY86*VLOOKUP('Données projet'!$B$12,Paramètres!$A$1:$I$89,3,0)*VLOOKUP('Données projet'!$B$12,Paramètres!$A$1:$I$89,5,0)</f>
        <v>-2.9085640562698243E-13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420.47368055225792</v>
      </c>
      <c r="CE86" s="62">
        <f t="shared" si="94"/>
        <v>372.56045490833549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6.8</v>
      </c>
      <c r="N87" s="14">
        <f>IF('Données projet'!$A$36&gt;35,N86+M87-V86,IF(A87&lt;'Données projet'!$A$36,$K$205^A87,IF(A87='Données projet'!$A$36,'Données projet'!$B$36,N86+M87-V86)))</f>
        <v>347.20000000000005</v>
      </c>
      <c r="O87" s="14">
        <f>N87*VLOOKUP('Données projet'!$B$9,Paramètres!$A$1:$I$89,3,0)*VLOOKUP('Données projet'!$B$9,Paramètres!$A$1:$I$89,5,0)</f>
        <v>314.14656000000002</v>
      </c>
      <c r="P87" s="14">
        <f t="shared" si="87"/>
        <v>74.134126128922034</v>
      </c>
      <c r="Q87" s="22">
        <f t="shared" si="54"/>
        <v>676.25552834120583</v>
      </c>
      <c r="R87" s="62">
        <f t="shared" si="55"/>
        <v>948.51235886575614</v>
      </c>
      <c r="S87" s="62">
        <f ca="1">AVERAGE(OFFSET($R$3,0,0,'Données projet'!$E$9+1,1))-AVERAGE(OFFSET($H$3,0,0,'Données projet'!$E$9+1,1))</f>
        <v>551.36480098497589</v>
      </c>
      <c r="T87" s="62">
        <f t="shared" si="88"/>
        <v>297.32483725004136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-1.1368683772161603E-13</v>
      </c>
      <c r="AJ87" s="14">
        <f>AI87*VLOOKUP('Données projet'!$B$10,Paramètres!$A$1:$I$89,3,0)*VLOOKUP('Données projet'!$B$10,Paramètres!$A$1:$I$89,5,0)</f>
        <v>-6.7984728957526396E-14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388.30126110099434</v>
      </c>
      <c r="AO87" s="62">
        <f t="shared" si="90"/>
        <v>390.81417197867495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>
        <f>VLOOKUP(A87,'Données projet'!$A$87:$I$107,2,0)</f>
        <v>420</v>
      </c>
      <c r="BB87" s="13">
        <f>VLOOKUP(A87,'Données projet'!$A$87:$I$107,9,0)</f>
        <v>12</v>
      </c>
      <c r="BC87" s="13">
        <f t="array" ref="BC87">INDEX(BB:BB,MIN(IF(ISNUMBER(BB87:BB283),ROW(BB87:BB283),"")))</f>
        <v>12</v>
      </c>
      <c r="BD87" s="13">
        <f>IF('Données projet'!$A$88&gt;35,BD86+BC87-BL86,IF(A87&lt;'Données projet'!$A$88,$BA$205^A87,IF(A87='Données projet'!$A$88,'Données projet'!$B$88,BD86+BC87-BL86)))</f>
        <v>419.99999999999966</v>
      </c>
      <c r="BE87" s="14">
        <f>BD87*VLOOKUP('Données projet'!$B$11,Paramètres!$A$1:$I$89,3,0)*VLOOKUP('Données projet'!$B$11,Paramètres!$A$1:$I$89,5,0)</f>
        <v>360.35999999999973</v>
      </c>
      <c r="BF87" s="14">
        <f t="shared" si="91"/>
        <v>83.692107728969532</v>
      </c>
      <c r="BG87" s="22">
        <f t="shared" si="61"/>
        <v>773.39075429462139</v>
      </c>
      <c r="BH87" s="62">
        <f t="shared" si="62"/>
        <v>1045.6475848191717</v>
      </c>
      <c r="BI87" s="62">
        <f ca="1">AVERAGE(OFFSET($BH$3,0,0,'Données projet'!$E$11+1,1))-AVERAGE(OFFSET($H$3,0,0,'Données projet'!$E$11+1,1))</f>
        <v>475.48669758994771</v>
      </c>
      <c r="BJ87" s="62">
        <f t="shared" si="92"/>
        <v>249.93713224442419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-4.5474735088646412E-13</v>
      </c>
      <c r="BZ87" s="14">
        <f>BY87*VLOOKUP('Données projet'!$B$12,Paramètres!$A$1:$I$89,3,0)*VLOOKUP('Données projet'!$B$12,Paramètres!$A$1:$I$89,5,0)</f>
        <v>-2.9085640562698243E-13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420.47368055225792</v>
      </c>
      <c r="CE87" s="62">
        <f t="shared" si="94"/>
        <v>372.56045490833549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354</v>
      </c>
      <c r="L88" s="13">
        <f>VLOOKUP(A88,'Données projet'!$A$35:$I$55,9,0)</f>
        <v>6.8</v>
      </c>
      <c r="M88" s="13">
        <f t="array" ref="M88">INDEX(L:L,MIN(IF(ISNUMBER(L88:L284),ROW(L88:L284),"")))</f>
        <v>6.8</v>
      </c>
      <c r="N88" s="14">
        <f>IF('Données projet'!$A$36&gt;35,N87+M88-V87,IF(A88&lt;'Données projet'!$A$36,$K$205^A88,IF(A88='Données projet'!$A$36,'Données projet'!$B$36,N87+M88-V87)))</f>
        <v>354.00000000000006</v>
      </c>
      <c r="O88" s="14">
        <f>N88*VLOOKUP('Données projet'!$B$9,Paramètres!$A$1:$I$89,3,0)*VLOOKUP('Données projet'!$B$9,Paramètres!$A$1:$I$89,5,0)</f>
        <v>320.29920000000004</v>
      </c>
      <c r="P88" s="14">
        <f t="shared" si="87"/>
        <v>75.415604655092991</v>
      </c>
      <c r="Q88" s="22">
        <f t="shared" si="54"/>
        <v>689.203284774287</v>
      </c>
      <c r="R88" s="62">
        <f t="shared" si="55"/>
        <v>961.82574550256845</v>
      </c>
      <c r="S88" s="62">
        <f ca="1">AVERAGE(OFFSET($R$3,0,0,'Données projet'!$E$9+1,1))-AVERAGE(OFFSET($H$3,0,0,'Données projet'!$E$9+1,1))</f>
        <v>551.36480098497589</v>
      </c>
      <c r="T88" s="62">
        <f t="shared" si="88"/>
        <v>297.32483725004136</v>
      </c>
      <c r="U88" s="16">
        <f>IF(ISNA(VLOOKUP(A88,'Données projet'!$A$35:$I$55,3,0)),0,VLOOKUP(A88,'Données projet'!$A$35:$I$55,3,0))</f>
        <v>7</v>
      </c>
      <c r="V88" s="16">
        <f>IF(ISNA(VLOOKUP(A88,'Données projet'!$A$35:$I$55,4,0)),0,VLOOKUP(A88,'Données projet'!$A$35:$I$55,4,0))</f>
        <v>56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-1.1368683772161603E-13</v>
      </c>
      <c r="AJ88" s="14">
        <f>AI88*VLOOKUP('Données projet'!$B$10,Paramètres!$A$1:$I$89,3,0)*VLOOKUP('Données projet'!$B$10,Paramètres!$A$1:$I$89,5,0)</f>
        <v>-6.7984728957526396E-14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388.30126110099434</v>
      </c>
      <c r="AO88" s="62">
        <f t="shared" si="90"/>
        <v>390.81417197867495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11.5</v>
      </c>
      <c r="BD88" s="13">
        <f>IF('Données projet'!$A$88&gt;35,BD87+BC88-BL87,IF(A88&lt;'Données projet'!$A$88,$BA$205^A88,IF(A88='Données projet'!$A$88,'Données projet'!$B$88,BD87+BC88-BL87)))</f>
        <v>431.49999999999966</v>
      </c>
      <c r="BE88" s="14">
        <f>BD88*VLOOKUP('Données projet'!$B$11,Paramètres!$A$1:$I$89,3,0)*VLOOKUP('Données projet'!$B$11,Paramètres!$A$1:$I$89,5,0)</f>
        <v>370.22699999999975</v>
      </c>
      <c r="BF88" s="14">
        <f t="shared" si="91"/>
        <v>85.713744339137904</v>
      </c>
      <c r="BG88" s="22">
        <f t="shared" si="61"/>
        <v>794.09679639066474</v>
      </c>
      <c r="BH88" s="62">
        <f t="shared" si="62"/>
        <v>1066.7192571189462</v>
      </c>
      <c r="BI88" s="62">
        <f ca="1">AVERAGE(OFFSET($BH$3,0,0,'Données projet'!$E$11+1,1))-AVERAGE(OFFSET($H$3,0,0,'Données projet'!$E$11+1,1))</f>
        <v>475.48669758994771</v>
      </c>
      <c r="BJ88" s="62">
        <f t="shared" si="92"/>
        <v>249.93713224442419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-4.5474735088646412E-13</v>
      </c>
      <c r="BZ88" s="14">
        <f>BY88*VLOOKUP('Données projet'!$B$12,Paramètres!$A$1:$I$89,3,0)*VLOOKUP('Données projet'!$B$12,Paramètres!$A$1:$I$89,5,0)</f>
        <v>-2.9085640562698243E-13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420.47368055225792</v>
      </c>
      <c r="CE88" s="62">
        <f t="shared" si="94"/>
        <v>372.56045490833549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6.3</v>
      </c>
      <c r="N89" s="14">
        <f>IF('Données projet'!$A$36&gt;35,N88+M89-V88,IF(A89&lt;'Données projet'!$A$36,$K$205^A89,IF(A89='Données projet'!$A$36,'Données projet'!$B$36,N88+M89-V88)))</f>
        <v>304.30000000000007</v>
      </c>
      <c r="O89" s="14">
        <f>N89*VLOOKUP('Données projet'!$B$9,Paramètres!$A$1:$I$89,3,0)*VLOOKUP('Données projet'!$B$9,Paramètres!$A$1:$I$89,5,0)</f>
        <v>275.33064000000007</v>
      </c>
      <c r="P89" s="14">
        <f t="shared" si="87"/>
        <v>65.979275169167465</v>
      </c>
      <c r="Q89" s="22">
        <f t="shared" si="54"/>
        <v>594.44810225296681</v>
      </c>
      <c r="R89" s="62">
        <f t="shared" si="55"/>
        <v>867.42985031837156</v>
      </c>
      <c r="S89" s="62">
        <f ca="1">AVERAGE(OFFSET($R$3,0,0,'Données projet'!$E$9+1,1))-AVERAGE(OFFSET($H$3,0,0,'Données projet'!$E$9+1,1))</f>
        <v>551.36480098497589</v>
      </c>
      <c r="T89" s="62">
        <f t="shared" si="88"/>
        <v>297.32483725004136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-1.1368683772161603E-13</v>
      </c>
      <c r="AJ89" s="14">
        <f>AI89*VLOOKUP('Données projet'!$B$10,Paramètres!$A$1:$I$89,3,0)*VLOOKUP('Données projet'!$B$10,Paramètres!$A$1:$I$89,5,0)</f>
        <v>-6.7984728957526396E-14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388.30126110099434</v>
      </c>
      <c r="AO89" s="62">
        <f t="shared" si="90"/>
        <v>390.81417197867495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11.5</v>
      </c>
      <c r="BD89" s="13">
        <f>IF('Données projet'!$A$88&gt;35,BD88+BC89-BL88,IF(A89&lt;'Données projet'!$A$88,$BA$205^A89,IF(A89='Données projet'!$A$88,'Données projet'!$B$88,BD88+BC89-BL88)))</f>
        <v>442.99999999999966</v>
      </c>
      <c r="BE89" s="14">
        <f>BD89*VLOOKUP('Données projet'!$B$11,Paramètres!$A$1:$I$89,3,0)*VLOOKUP('Données projet'!$B$11,Paramètres!$A$1:$I$89,5,0)</f>
        <v>380.09399999999977</v>
      </c>
      <c r="BF89" s="14">
        <f t="shared" si="91"/>
        <v>87.729118359210162</v>
      </c>
      <c r="BG89" s="22">
        <f t="shared" si="61"/>
        <v>814.79193114229065</v>
      </c>
      <c r="BH89" s="62">
        <f t="shared" si="62"/>
        <v>1087.7736792076953</v>
      </c>
      <c r="BI89" s="62">
        <f ca="1">AVERAGE(OFFSET($BH$3,0,0,'Données projet'!$E$11+1,1))-AVERAGE(OFFSET($H$3,0,0,'Données projet'!$E$11+1,1))</f>
        <v>475.48669758994771</v>
      </c>
      <c r="BJ89" s="62">
        <f t="shared" si="92"/>
        <v>249.93713224442419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-4.5474735088646412E-13</v>
      </c>
      <c r="BZ89" s="14">
        <f>BY89*VLOOKUP('Données projet'!$B$12,Paramètres!$A$1:$I$89,3,0)*VLOOKUP('Données projet'!$B$12,Paramètres!$A$1:$I$89,5,0)</f>
        <v>-2.9085640562698243E-13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420.47368055225792</v>
      </c>
      <c r="CE89" s="62">
        <f t="shared" si="94"/>
        <v>372.56045490833549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6.3</v>
      </c>
      <c r="N90" s="14">
        <f>IF('Données projet'!$A$36&gt;35,N89+M90-V89,IF(A90&lt;'Données projet'!$A$36,$K$205^A90,IF(A90='Données projet'!$A$36,'Données projet'!$B$36,N89+M90-V89)))</f>
        <v>310.60000000000008</v>
      </c>
      <c r="O90" s="14">
        <f>N90*VLOOKUP('Données projet'!$B$9,Paramètres!$A$1:$I$89,3,0)*VLOOKUP('Données projet'!$B$9,Paramètres!$A$1:$I$89,5,0)</f>
        <v>281.03088000000002</v>
      </c>
      <c r="P90" s="14">
        <f t="shared" si="87"/>
        <v>67.184816842275524</v>
      </c>
      <c r="Q90" s="22">
        <f t="shared" si="54"/>
        <v>606.47567200029653</v>
      </c>
      <c r="R90" s="62">
        <f t="shared" si="55"/>
        <v>879.81047457077136</v>
      </c>
      <c r="S90" s="62">
        <f ca="1">AVERAGE(OFFSET($R$3,0,0,'Données projet'!$E$9+1,1))-AVERAGE(OFFSET($H$3,0,0,'Données projet'!$E$9+1,1))</f>
        <v>551.36480098497589</v>
      </c>
      <c r="T90" s="62">
        <f t="shared" si="88"/>
        <v>297.32483725004136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-1.1368683772161603E-13</v>
      </c>
      <c r="AJ90" s="14">
        <f>AI90*VLOOKUP('Données projet'!$B$10,Paramètres!$A$1:$I$89,3,0)*VLOOKUP('Données projet'!$B$10,Paramètres!$A$1:$I$89,5,0)</f>
        <v>-6.7984728957526396E-14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388.30126110099434</v>
      </c>
      <c r="AO90" s="62">
        <f t="shared" si="90"/>
        <v>390.81417197867495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11.5</v>
      </c>
      <c r="BD90" s="13">
        <f>IF('Données projet'!$A$88&gt;35,BD89+BC90-BL89,IF(A90&lt;'Données projet'!$A$88,$BA$205^A90,IF(A90='Données projet'!$A$88,'Données projet'!$B$88,BD89+BC90-BL89)))</f>
        <v>454.49999999999966</v>
      </c>
      <c r="BE90" s="14">
        <f>BD90*VLOOKUP('Données projet'!$B$11,Paramètres!$A$1:$I$89,3,0)*VLOOKUP('Données projet'!$B$11,Paramètres!$A$1:$I$89,5,0)</f>
        <v>389.96099999999973</v>
      </c>
      <c r="BF90" s="14">
        <f t="shared" si="91"/>
        <v>89.738411052819643</v>
      </c>
      <c r="BG90" s="22">
        <f t="shared" si="61"/>
        <v>835.47647425032699</v>
      </c>
      <c r="BH90" s="62">
        <f t="shared" si="62"/>
        <v>1108.8112768208018</v>
      </c>
      <c r="BI90" s="62">
        <f ca="1">AVERAGE(OFFSET($BH$3,0,0,'Données projet'!$E$11+1,1))-AVERAGE(OFFSET($H$3,0,0,'Données projet'!$E$11+1,1))</f>
        <v>475.48669758994771</v>
      </c>
      <c r="BJ90" s="62">
        <f t="shared" si="92"/>
        <v>249.93713224442419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-4.5474735088646412E-13</v>
      </c>
      <c r="BZ90" s="14">
        <f>BY90*VLOOKUP('Données projet'!$B$12,Paramètres!$A$1:$I$89,3,0)*VLOOKUP('Données projet'!$B$12,Paramètres!$A$1:$I$89,5,0)</f>
        <v>-2.9085640562698243E-13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420.47368055225792</v>
      </c>
      <c r="CE90" s="62">
        <f t="shared" si="94"/>
        <v>372.56045490833549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6.3</v>
      </c>
      <c r="N91" s="14">
        <f>IF('Données projet'!$A$36&gt;35,N90+M91-V90,IF(A91&lt;'Données projet'!$A$36,$K$205^A91,IF(A91='Données projet'!$A$36,'Données projet'!$B$36,N90+M91-V90)))</f>
        <v>316.90000000000009</v>
      </c>
      <c r="O91" s="14">
        <f>N91*VLOOKUP('Données projet'!$B$9,Paramètres!$A$1:$I$89,3,0)*VLOOKUP('Données projet'!$B$9,Paramètres!$A$1:$I$89,5,0)</f>
        <v>286.73112000000009</v>
      </c>
      <c r="P91" s="14">
        <f t="shared" si="87"/>
        <v>68.387515408373432</v>
      </c>
      <c r="Q91" s="22">
        <f t="shared" si="54"/>
        <v>618.4982900029172</v>
      </c>
      <c r="R91" s="62">
        <f t="shared" si="55"/>
        <v>892.1800223721109</v>
      </c>
      <c r="S91" s="62">
        <f ca="1">AVERAGE(OFFSET($R$3,0,0,'Données projet'!$E$9+1,1))-AVERAGE(OFFSET($H$3,0,0,'Données projet'!$E$9+1,1))</f>
        <v>551.36480098497589</v>
      </c>
      <c r="T91" s="62">
        <f t="shared" si="88"/>
        <v>297.32483725004136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-1.1368683772161603E-13</v>
      </c>
      <c r="AJ91" s="14">
        <f>AI91*VLOOKUP('Données projet'!$B$10,Paramètres!$A$1:$I$89,3,0)*VLOOKUP('Données projet'!$B$10,Paramètres!$A$1:$I$89,5,0)</f>
        <v>-6.7984728957526396E-14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388.30126110099434</v>
      </c>
      <c r="AO91" s="62">
        <f t="shared" si="90"/>
        <v>390.81417197867495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11.5</v>
      </c>
      <c r="BD91" s="13">
        <f>IF('Données projet'!$A$88&gt;35,BD90+BC91-BL90,IF(A91&lt;'Données projet'!$A$88,$BA$205^A91,IF(A91='Données projet'!$A$88,'Données projet'!$B$88,BD90+BC91-BL90)))</f>
        <v>465.99999999999966</v>
      </c>
      <c r="BE91" s="14">
        <f>BD91*VLOOKUP('Données projet'!$B$11,Paramètres!$A$1:$I$89,3,0)*VLOOKUP('Données projet'!$B$11,Paramètres!$A$1:$I$89,5,0)</f>
        <v>399.82799999999975</v>
      </c>
      <c r="BF91" s="14">
        <f t="shared" si="91"/>
        <v>91.741793988042701</v>
      </c>
      <c r="BG91" s="22">
        <f t="shared" si="61"/>
        <v>856.15072452917377</v>
      </c>
      <c r="BH91" s="62">
        <f t="shared" si="62"/>
        <v>1129.8324568983676</v>
      </c>
      <c r="BI91" s="62">
        <f ca="1">AVERAGE(OFFSET($BH$3,0,0,'Données projet'!$E$11+1,1))-AVERAGE(OFFSET($H$3,0,0,'Données projet'!$E$11+1,1))</f>
        <v>475.48669758994771</v>
      </c>
      <c r="BJ91" s="62">
        <f t="shared" si="92"/>
        <v>249.93713224442419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-4.5474735088646412E-13</v>
      </c>
      <c r="BZ91" s="14">
        <f>BY91*VLOOKUP('Données projet'!$B$12,Paramètres!$A$1:$I$89,3,0)*VLOOKUP('Données projet'!$B$12,Paramètres!$A$1:$I$89,5,0)</f>
        <v>-2.9085640562698243E-13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420.47368055225792</v>
      </c>
      <c r="CE91" s="62">
        <f t="shared" si="94"/>
        <v>372.56045490833549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6.3</v>
      </c>
      <c r="N92" s="14">
        <f>IF('Données projet'!$A$36&gt;35,N91+M92-V91,IF(A92&lt;'Données projet'!$A$36,$K$205^A92,IF(A92='Données projet'!$A$36,'Données projet'!$B$36,N91+M92-V91)))</f>
        <v>323.2000000000001</v>
      </c>
      <c r="O92" s="14">
        <f>N92*VLOOKUP('Données projet'!$B$9,Paramètres!$A$1:$I$89,3,0)*VLOOKUP('Données projet'!$B$9,Paramètres!$A$1:$I$89,5,0)</f>
        <v>292.4313600000001</v>
      </c>
      <c r="P92" s="14">
        <f t="shared" si="87"/>
        <v>69.587433903176986</v>
      </c>
      <c r="Q92" s="22">
        <f t="shared" si="54"/>
        <v>630.51606604803339</v>
      </c>
      <c r="R92" s="62">
        <f t="shared" si="55"/>
        <v>904.53870975955692</v>
      </c>
      <c r="S92" s="62">
        <f ca="1">AVERAGE(OFFSET($R$3,0,0,'Données projet'!$E$9+1,1))-AVERAGE(OFFSET($H$3,0,0,'Données projet'!$E$9+1,1))</f>
        <v>551.36480098497589</v>
      </c>
      <c r="T92" s="62">
        <f t="shared" si="88"/>
        <v>297.32483725004136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-1.1368683772161603E-13</v>
      </c>
      <c r="AJ92" s="14">
        <f>AI92*VLOOKUP('Données projet'!$B$10,Paramètres!$A$1:$I$89,3,0)*VLOOKUP('Données projet'!$B$10,Paramètres!$A$1:$I$89,5,0)</f>
        <v>-6.7984728957526396E-14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388.30126110099434</v>
      </c>
      <c r="AO92" s="62">
        <f t="shared" si="90"/>
        <v>390.81417197867495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11.5</v>
      </c>
      <c r="BD92" s="13">
        <f>IF('Données projet'!$A$88&gt;35,BD91+BC92-BL91,IF(A92&lt;'Données projet'!$A$88,$BA$205^A92,IF(A92='Données projet'!$A$88,'Données projet'!$B$88,BD91+BC92-BL91)))</f>
        <v>477.49999999999966</v>
      </c>
      <c r="BE92" s="14">
        <f>BD92*VLOOKUP('Données projet'!$B$11,Paramètres!$A$1:$I$89,3,0)*VLOOKUP('Données projet'!$B$11,Paramètres!$A$1:$I$89,5,0)</f>
        <v>409.69499999999977</v>
      </c>
      <c r="BF92" s="14">
        <f t="shared" si="91"/>
        <v>93.739429782288525</v>
      </c>
      <c r="BG92" s="22">
        <f t="shared" si="61"/>
        <v>876.81496520415214</v>
      </c>
      <c r="BH92" s="62">
        <f t="shared" si="62"/>
        <v>1150.8376089156757</v>
      </c>
      <c r="BI92" s="62">
        <f ca="1">AVERAGE(OFFSET($BH$3,0,0,'Données projet'!$E$11+1,1))-AVERAGE(OFFSET($H$3,0,0,'Données projet'!$E$11+1,1))</f>
        <v>475.48669758994771</v>
      </c>
      <c r="BJ92" s="62">
        <f t="shared" si="92"/>
        <v>249.93713224442419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-4.5474735088646412E-13</v>
      </c>
      <c r="BZ92" s="14">
        <f>BY92*VLOOKUP('Données projet'!$B$12,Paramètres!$A$1:$I$89,3,0)*VLOOKUP('Données projet'!$B$12,Paramètres!$A$1:$I$89,5,0)</f>
        <v>-2.9085640562698243E-13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420.47368055225792</v>
      </c>
      <c r="CE92" s="62">
        <f t="shared" si="94"/>
        <v>372.56045490833549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6.3</v>
      </c>
      <c r="N93" s="14">
        <f>IF('Données projet'!$A$36&gt;35,N92+M93-V92,IF(A93&lt;'Données projet'!$A$36,$K$205^A93,IF(A93='Données projet'!$A$36,'Données projet'!$B$36,N92+M93-V92)))</f>
        <v>329.50000000000011</v>
      </c>
      <c r="O93" s="14">
        <f>N93*VLOOKUP('Données projet'!$B$9,Paramètres!$A$1:$I$89,3,0)*VLOOKUP('Données projet'!$B$9,Paramètres!$A$1:$I$89,5,0)</f>
        <v>298.13160000000005</v>
      </c>
      <c r="P93" s="14">
        <f t="shared" si="87"/>
        <v>70.784632764376099</v>
      </c>
      <c r="Q93" s="22">
        <f t="shared" si="54"/>
        <v>642.52910539795516</v>
      </c>
      <c r="R93" s="62">
        <f t="shared" si="55"/>
        <v>916.88674640218278</v>
      </c>
      <c r="S93" s="62">
        <f ca="1">AVERAGE(OFFSET($R$3,0,0,'Données projet'!$E$9+1,1))-AVERAGE(OFFSET($H$3,0,0,'Données projet'!$E$9+1,1))</f>
        <v>551.36480098497589</v>
      </c>
      <c r="T93" s="62">
        <f t="shared" si="88"/>
        <v>297.32483725004136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-1.1368683772161603E-13</v>
      </c>
      <c r="AJ93" s="14">
        <f>AI93*VLOOKUP('Données projet'!$B$10,Paramètres!$A$1:$I$89,3,0)*VLOOKUP('Données projet'!$B$10,Paramètres!$A$1:$I$89,5,0)</f>
        <v>-6.7984728957526396E-14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388.30126110099434</v>
      </c>
      <c r="AO93" s="62">
        <f t="shared" si="90"/>
        <v>390.81417197867495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489</v>
      </c>
      <c r="BB93" s="13">
        <f>VLOOKUP(A93,'Données projet'!$A$87:$I$107,9,0)</f>
        <v>11.5</v>
      </c>
      <c r="BC93" s="13">
        <f t="array" ref="BC93">INDEX(BB:BB,MIN(IF(ISNUMBER(BB93:BB289),ROW(BB93:BB289),"")))</f>
        <v>11.5</v>
      </c>
      <c r="BD93" s="13">
        <f>IF('Données projet'!$A$88&gt;35,BD92+BC93-BL92,IF(A93&lt;'Données projet'!$A$88,$BA$205^A93,IF(A93='Données projet'!$A$88,'Données projet'!$B$88,BD92+BC93-BL92)))</f>
        <v>488.99999999999966</v>
      </c>
      <c r="BE93" s="14">
        <f>BD93*VLOOKUP('Données projet'!$B$11,Paramètres!$A$1:$I$89,3,0)*VLOOKUP('Données projet'!$B$11,Paramètres!$A$1:$I$89,5,0)</f>
        <v>419.56199999999973</v>
      </c>
      <c r="BF93" s="14">
        <f t="shared" si="91"/>
        <v>95.731472773408413</v>
      </c>
      <c r="BG93" s="22">
        <f t="shared" si="61"/>
        <v>897.46946508035228</v>
      </c>
      <c r="BH93" s="62">
        <f t="shared" si="62"/>
        <v>1171.82710608458</v>
      </c>
      <c r="BI93" s="62">
        <f ca="1">AVERAGE(OFFSET($BH$3,0,0,'Données projet'!$E$11+1,1))-AVERAGE(OFFSET($H$3,0,0,'Données projet'!$E$11+1,1))</f>
        <v>475.48669758994771</v>
      </c>
      <c r="BJ93" s="62">
        <f t="shared" si="92"/>
        <v>249.93713224442419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-4.5474735088646412E-13</v>
      </c>
      <c r="BZ93" s="14">
        <f>BY93*VLOOKUP('Données projet'!$B$12,Paramètres!$A$1:$I$89,3,0)*VLOOKUP('Données projet'!$B$12,Paramètres!$A$1:$I$89,5,0)</f>
        <v>-2.9085640562698243E-13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420.47368055225792</v>
      </c>
      <c r="CE93" s="62">
        <f t="shared" si="94"/>
        <v>372.56045490833549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6.3</v>
      </c>
      <c r="N94" s="14">
        <f>IF('Données projet'!$A$36&gt;35,N93+M94-V93,IF(A94&lt;'Données projet'!$A$36,$K$205^A94,IF(A94='Données projet'!$A$36,'Données projet'!$B$36,N93+M94-V93)))</f>
        <v>335.80000000000013</v>
      </c>
      <c r="O94" s="14">
        <f>N94*VLOOKUP('Données projet'!$B$9,Paramètres!$A$1:$I$89,3,0)*VLOOKUP('Données projet'!$B$9,Paramètres!$A$1:$I$89,5,0)</f>
        <v>303.83184000000011</v>
      </c>
      <c r="P94" s="14">
        <f t="shared" si="87"/>
        <v>71.979169986303972</v>
      </c>
      <c r="Q94" s="22">
        <f t="shared" si="54"/>
        <v>654.5375090594797</v>
      </c>
      <c r="R94" s="62">
        <f t="shared" si="55"/>
        <v>929.22433590232481</v>
      </c>
      <c r="S94" s="62">
        <f ca="1">AVERAGE(OFFSET($R$3,0,0,'Données projet'!$E$9+1,1))-AVERAGE(OFFSET($H$3,0,0,'Données projet'!$E$9+1,1))</f>
        <v>551.36480098497589</v>
      </c>
      <c r="T94" s="62">
        <f t="shared" si="88"/>
        <v>297.32483725004136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-1.1368683772161603E-13</v>
      </c>
      <c r="AJ94" s="14">
        <f>AI94*VLOOKUP('Données projet'!$B$10,Paramètres!$A$1:$I$89,3,0)*VLOOKUP('Données projet'!$B$10,Paramètres!$A$1:$I$89,5,0)</f>
        <v>-6.7984728957526396E-14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388.30126110099434</v>
      </c>
      <c r="AO94" s="62">
        <f t="shared" si="90"/>
        <v>390.81417197867495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11.333333333333334</v>
      </c>
      <c r="BD94" s="13">
        <f>IF('Données projet'!$A$88&gt;35,BD93+BC94-BL93,IF(A94&lt;'Données projet'!$A$88,$BA$205^A94,IF(A94='Données projet'!$A$88,'Données projet'!$B$88,BD93+BC94-BL93)))</f>
        <v>500.33333333333297</v>
      </c>
      <c r="BE94" s="14">
        <f>BD94*VLOOKUP('Données projet'!$B$11,Paramètres!$A$1:$I$89,3,0)*VLOOKUP('Données projet'!$B$11,Paramètres!$A$1:$I$89,5,0)</f>
        <v>429.28599999999977</v>
      </c>
      <c r="BF94" s="14">
        <f t="shared" si="91"/>
        <v>97.689316592289586</v>
      </c>
      <c r="BG94" s="22">
        <f t="shared" si="61"/>
        <v>917.81534306490391</v>
      </c>
      <c r="BH94" s="62">
        <f t="shared" si="62"/>
        <v>1192.502169907749</v>
      </c>
      <c r="BI94" s="62">
        <f ca="1">AVERAGE(OFFSET($BH$3,0,0,'Données projet'!$E$11+1,1))-AVERAGE(OFFSET($H$3,0,0,'Données projet'!$E$11+1,1))</f>
        <v>475.48669758994771</v>
      </c>
      <c r="BJ94" s="62">
        <f t="shared" si="92"/>
        <v>249.93713224442419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-4.5474735088646412E-13</v>
      </c>
      <c r="BZ94" s="14">
        <f>BY94*VLOOKUP('Données projet'!$B$12,Paramètres!$A$1:$I$89,3,0)*VLOOKUP('Données projet'!$B$12,Paramètres!$A$1:$I$89,5,0)</f>
        <v>-2.9085640562698243E-13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420.47368055225792</v>
      </c>
      <c r="CE94" s="62">
        <f t="shared" si="94"/>
        <v>372.56045490833549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6.3</v>
      </c>
      <c r="N95" s="14">
        <f>IF('Données projet'!$A$36&gt;35,N94+M95-V94,IF(A95&lt;'Données projet'!$A$36,$K$205^A95,IF(A95='Données projet'!$A$36,'Données projet'!$B$36,N94+M95-V94)))</f>
        <v>342.10000000000014</v>
      </c>
      <c r="O95" s="14">
        <f>N95*VLOOKUP('Données projet'!$B$9,Paramètres!$A$1:$I$89,3,0)*VLOOKUP('Données projet'!$B$9,Paramètres!$A$1:$I$89,5,0)</f>
        <v>309.53208000000012</v>
      </c>
      <c r="P95" s="14">
        <f t="shared" si="87"/>
        <v>73.171101262671257</v>
      </c>
      <c r="Q95" s="22">
        <f t="shared" si="54"/>
        <v>666.54137403248592</v>
      </c>
      <c r="R95" s="62">
        <f t="shared" si="55"/>
        <v>941.5516760755977</v>
      </c>
      <c r="S95" s="62">
        <f ca="1">AVERAGE(OFFSET($R$3,0,0,'Données projet'!$E$9+1,1))-AVERAGE(OFFSET($H$3,0,0,'Données projet'!$E$9+1,1))</f>
        <v>551.36480098497589</v>
      </c>
      <c r="T95" s="62">
        <f t="shared" si="88"/>
        <v>297.32483725004136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-1.1368683772161603E-13</v>
      </c>
      <c r="AJ95" s="14">
        <f>AI95*VLOOKUP('Données projet'!$B$10,Paramètres!$A$1:$I$89,3,0)*VLOOKUP('Données projet'!$B$10,Paramètres!$A$1:$I$89,5,0)</f>
        <v>-6.7984728957526396E-14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388.30126110099434</v>
      </c>
      <c r="AO95" s="62">
        <f t="shared" si="90"/>
        <v>390.81417197867495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11.333333333333334</v>
      </c>
      <c r="BD95" s="13">
        <f>IF('Données projet'!$A$88&gt;35,BD94+BC95-BL94,IF(A95&lt;'Données projet'!$A$88,$BA$205^A95,IF(A95='Données projet'!$A$88,'Données projet'!$B$88,BD94+BC95-BL94)))</f>
        <v>511.66666666666629</v>
      </c>
      <c r="BE95" s="14">
        <f>BD95*VLOOKUP('Données projet'!$B$11,Paramètres!$A$1:$I$89,3,0)*VLOOKUP('Données projet'!$B$11,Paramètres!$A$1:$I$89,5,0)</f>
        <v>439.00999999999971</v>
      </c>
      <c r="BF95" s="14">
        <f t="shared" si="91"/>
        <v>99.642004610829247</v>
      </c>
      <c r="BG95" s="22">
        <f t="shared" si="61"/>
        <v>938.15224136386041</v>
      </c>
      <c r="BH95" s="62">
        <f t="shared" si="62"/>
        <v>1213.1625434069722</v>
      </c>
      <c r="BI95" s="62">
        <f ca="1">AVERAGE(OFFSET($BH$3,0,0,'Données projet'!$E$11+1,1))-AVERAGE(OFFSET($H$3,0,0,'Données projet'!$E$11+1,1))</f>
        <v>475.48669758994771</v>
      </c>
      <c r="BJ95" s="62">
        <f t="shared" si="92"/>
        <v>249.93713224442419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-4.5474735088646412E-13</v>
      </c>
      <c r="BZ95" s="14">
        <f>BY95*VLOOKUP('Données projet'!$B$12,Paramètres!$A$1:$I$89,3,0)*VLOOKUP('Données projet'!$B$12,Paramètres!$A$1:$I$89,5,0)</f>
        <v>-2.9085640562698243E-13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420.47368055225792</v>
      </c>
      <c r="CE95" s="62">
        <f t="shared" si="94"/>
        <v>372.56045490833549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6.3</v>
      </c>
      <c r="N96" s="14">
        <f>IF('Données projet'!$A$36&gt;35,N95+M96-V95,IF(A96&lt;'Données projet'!$A$36,$K$205^A96,IF(A96='Données projet'!$A$36,'Données projet'!$B$36,N95+M96-V95)))</f>
        <v>348.40000000000015</v>
      </c>
      <c r="O96" s="14">
        <f>N96*VLOOKUP('Données projet'!$B$9,Paramètres!$A$1:$I$89,3,0)*VLOOKUP('Données projet'!$B$9,Paramètres!$A$1:$I$89,5,0)</f>
        <v>315.23232000000013</v>
      </c>
      <c r="P96" s="14">
        <f t="shared" si="87"/>
        <v>74.360480118488482</v>
      </c>
      <c r="Q96" s="22">
        <f t="shared" si="54"/>
        <v>678.54079353970099</v>
      </c>
      <c r="R96" s="62">
        <f t="shared" si="55"/>
        <v>953.868959211537</v>
      </c>
      <c r="S96" s="62">
        <f ca="1">AVERAGE(OFFSET($R$3,0,0,'Données projet'!$E$9+1,1))-AVERAGE(OFFSET($H$3,0,0,'Données projet'!$E$9+1,1))</f>
        <v>551.36480098497589</v>
      </c>
      <c r="T96" s="62">
        <f t="shared" si="88"/>
        <v>297.32483725004136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-1.1368683772161603E-13</v>
      </c>
      <c r="AJ96" s="14">
        <f>AI96*VLOOKUP('Données projet'!$B$10,Paramètres!$A$1:$I$89,3,0)*VLOOKUP('Données projet'!$B$10,Paramètres!$A$1:$I$89,5,0)</f>
        <v>-6.7984728957526396E-14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388.30126110099434</v>
      </c>
      <c r="AO96" s="62">
        <f t="shared" si="90"/>
        <v>390.81417197867495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11.333333333333334</v>
      </c>
      <c r="BD96" s="13">
        <f>IF('Données projet'!$A$88&gt;35,BD95+BC96-BL95,IF(A96&lt;'Données projet'!$A$88,$BA$205^A96,IF(A96='Données projet'!$A$88,'Données projet'!$B$88,BD95+BC96-BL95)))</f>
        <v>522.99999999999966</v>
      </c>
      <c r="BE96" s="14">
        <f>BD96*VLOOKUP('Données projet'!$B$11,Paramètres!$A$1:$I$89,3,0)*VLOOKUP('Données projet'!$B$11,Paramètres!$A$1:$I$89,5,0)</f>
        <v>448.73399999999981</v>
      </c>
      <c r="BF96" s="14">
        <f t="shared" si="91"/>
        <v>101.58966417888674</v>
      </c>
      <c r="BG96" s="22">
        <f t="shared" si="61"/>
        <v>958.48038177822752</v>
      </c>
      <c r="BH96" s="62">
        <f t="shared" si="62"/>
        <v>1233.8085474500635</v>
      </c>
      <c r="BI96" s="62">
        <f ca="1">AVERAGE(OFFSET($BH$3,0,0,'Données projet'!$E$11+1,1))-AVERAGE(OFFSET($H$3,0,0,'Données projet'!$E$11+1,1))</f>
        <v>475.48669758994771</v>
      </c>
      <c r="BJ96" s="62">
        <f t="shared" si="92"/>
        <v>249.93713224442419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-4.5474735088646412E-13</v>
      </c>
      <c r="BZ96" s="14">
        <f>BY96*VLOOKUP('Données projet'!$B$12,Paramètres!$A$1:$I$89,3,0)*VLOOKUP('Données projet'!$B$12,Paramètres!$A$1:$I$89,5,0)</f>
        <v>-2.9085640562698243E-13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420.47368055225792</v>
      </c>
      <c r="CE96" s="62">
        <f t="shared" si="94"/>
        <v>372.56045490833549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6.3</v>
      </c>
      <c r="N97" s="14">
        <f>IF('Données projet'!$A$36&gt;35,N96+M97-V96,IF(A97&lt;'Données projet'!$A$36,$K$205^A97,IF(A97='Données projet'!$A$36,'Données projet'!$B$36,N96+M97-V96)))</f>
        <v>354.70000000000016</v>
      </c>
      <c r="O97" s="14">
        <f>N97*VLOOKUP('Données projet'!$B$9,Paramètres!$A$1:$I$89,3,0)*VLOOKUP('Données projet'!$B$9,Paramètres!$A$1:$I$89,5,0)</f>
        <v>320.93256000000014</v>
      </c>
      <c r="P97" s="14">
        <f t="shared" si="87"/>
        <v>75.54735803217622</v>
      </c>
      <c r="Q97" s="22">
        <f t="shared" si="54"/>
        <v>690.53585723937374</v>
      </c>
      <c r="R97" s="62">
        <f t="shared" si="55"/>
        <v>966.17637231661229</v>
      </c>
      <c r="S97" s="62">
        <f ca="1">AVERAGE(OFFSET($R$3,0,0,'Données projet'!$E$9+1,1))-AVERAGE(OFFSET($H$3,0,0,'Données projet'!$E$9+1,1))</f>
        <v>551.36480098497589</v>
      </c>
      <c r="T97" s="62">
        <f t="shared" si="88"/>
        <v>297.32483725004136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-1.1368683772161603E-13</v>
      </c>
      <c r="AJ97" s="14">
        <f>AI97*VLOOKUP('Données projet'!$B$10,Paramètres!$A$1:$I$89,3,0)*VLOOKUP('Données projet'!$B$10,Paramètres!$A$1:$I$89,5,0)</f>
        <v>-6.7984728957526396E-14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388.30126110099434</v>
      </c>
      <c r="AO97" s="62">
        <f t="shared" si="90"/>
        <v>390.81417197867495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11.333333333333334</v>
      </c>
      <c r="BD97" s="13">
        <f>IF('Données projet'!$A$88&gt;35,BD96+BC97-BL96,IF(A97&lt;'Données projet'!$A$88,$BA$205^A97,IF(A97='Données projet'!$A$88,'Données projet'!$B$88,BD96+BC97-BL96)))</f>
        <v>534.33333333333303</v>
      </c>
      <c r="BE97" s="14">
        <f>BD97*VLOOKUP('Données projet'!$B$11,Paramètres!$A$1:$I$89,3,0)*VLOOKUP('Données projet'!$B$11,Paramètres!$A$1:$I$89,5,0)</f>
        <v>458.4579999999998</v>
      </c>
      <c r="BF97" s="14">
        <f t="shared" si="91"/>
        <v>103.53241681177968</v>
      </c>
      <c r="BG97" s="22">
        <f t="shared" si="61"/>
        <v>978.79997594718259</v>
      </c>
      <c r="BH97" s="62">
        <f t="shared" si="62"/>
        <v>1254.4404910244211</v>
      </c>
      <c r="BI97" s="62">
        <f ca="1">AVERAGE(OFFSET($BH$3,0,0,'Données projet'!$E$11+1,1))-AVERAGE(OFFSET($H$3,0,0,'Données projet'!$E$11+1,1))</f>
        <v>475.48669758994771</v>
      </c>
      <c r="BJ97" s="62">
        <f t="shared" si="92"/>
        <v>249.93713224442419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-4.5474735088646412E-13</v>
      </c>
      <c r="BZ97" s="14">
        <f>BY97*VLOOKUP('Données projet'!$B$12,Paramètres!$A$1:$I$89,3,0)*VLOOKUP('Données projet'!$B$12,Paramètres!$A$1:$I$89,5,0)</f>
        <v>-2.9085640562698243E-13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420.47368055225792</v>
      </c>
      <c r="CE97" s="62">
        <f t="shared" si="94"/>
        <v>372.56045490833549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361</v>
      </c>
      <c r="L98" s="13">
        <f>VLOOKUP(A98,'Données projet'!$A$35:$I$55,9,0)</f>
        <v>6.3</v>
      </c>
      <c r="M98" s="13">
        <f t="array" ref="M98">INDEX(L:L,MIN(IF(ISNUMBER(L98:L294),ROW(L98:L294),"")))</f>
        <v>6.3</v>
      </c>
      <c r="N98" s="14">
        <f>IF('Données projet'!$A$36&gt;35,N97+M98-V97,IF(A98&lt;'Données projet'!$A$36,$K$205^A98,IF(A98='Données projet'!$A$36,'Données projet'!$B$36,N97+M98-V97)))</f>
        <v>361.00000000000017</v>
      </c>
      <c r="O98" s="14">
        <f>N98*VLOOKUP('Données projet'!$B$9,Paramètres!$A$1:$I$89,3,0)*VLOOKUP('Données projet'!$B$9,Paramètres!$A$1:$I$89,5,0)</f>
        <v>326.63280000000015</v>
      </c>
      <c r="P98" s="14">
        <f t="shared" si="87"/>
        <v>76.731784548754845</v>
      </c>
      <c r="Q98" s="22">
        <f t="shared" si="54"/>
        <v>702.52665142241483</v>
      </c>
      <c r="R98" s="62">
        <f t="shared" si="55"/>
        <v>978.47409734118082</v>
      </c>
      <c r="S98" s="62">
        <f ca="1">AVERAGE(OFFSET($R$3,0,0,'Données projet'!$E$9+1,1))-AVERAGE(OFFSET($H$3,0,0,'Données projet'!$E$9+1,1))</f>
        <v>551.36480098497589</v>
      </c>
      <c r="T98" s="62">
        <f t="shared" si="88"/>
        <v>297.32483725004136</v>
      </c>
      <c r="U98" s="16">
        <f>IF(ISNA(VLOOKUP(A98,'Données projet'!$A$35:$I$55,3,0)),0,VLOOKUP(A98,'Données projet'!$A$35:$I$55,3,0))</f>
        <v>8</v>
      </c>
      <c r="V98" s="16">
        <f>IF(ISNA(VLOOKUP(A98,'Données projet'!$A$35:$I$55,4,0)),0,VLOOKUP(A98,'Données projet'!$A$35:$I$55,4,0))</f>
        <v>56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-1.1368683772161603E-13</v>
      </c>
      <c r="AJ98" s="14">
        <f>AI98*VLOOKUP('Données projet'!$B$10,Paramètres!$A$1:$I$89,3,0)*VLOOKUP('Données projet'!$B$10,Paramètres!$A$1:$I$89,5,0)</f>
        <v>-6.7984728957526396E-14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388.30126110099434</v>
      </c>
      <c r="AO98" s="62">
        <f t="shared" si="90"/>
        <v>390.81417197867495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11.333333333333334</v>
      </c>
      <c r="BD98" s="13">
        <f>IF('Données projet'!$A$88&gt;35,BD97+BC98-BL97,IF(A98&lt;'Données projet'!$A$88,$BA$205^A98,IF(A98='Données projet'!$A$88,'Données projet'!$B$88,BD97+BC98-BL97)))</f>
        <v>545.6666666666664</v>
      </c>
      <c r="BE98" s="14">
        <f>BD98*VLOOKUP('Données projet'!$B$11,Paramètres!$A$1:$I$89,3,0)*VLOOKUP('Données projet'!$B$11,Paramètres!$A$1:$I$89,5,0)</f>
        <v>468.18199999999985</v>
      </c>
      <c r="BF98" s="14">
        <f t="shared" si="91"/>
        <v>105.47037857558523</v>
      </c>
      <c r="BG98" s="22">
        <f t="shared" si="61"/>
        <v>999.11122601914394</v>
      </c>
      <c r="BH98" s="62">
        <f t="shared" si="62"/>
        <v>1275.0586719379098</v>
      </c>
      <c r="BI98" s="62">
        <f ca="1">AVERAGE(OFFSET($BH$3,0,0,'Données projet'!$E$11+1,1))-AVERAGE(OFFSET($H$3,0,0,'Données projet'!$E$11+1,1))</f>
        <v>475.48669758994771</v>
      </c>
      <c r="BJ98" s="62">
        <f t="shared" si="92"/>
        <v>249.93713224442419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-4.5474735088646412E-13</v>
      </c>
      <c r="BZ98" s="14">
        <f>BY98*VLOOKUP('Données projet'!$B$12,Paramètres!$A$1:$I$89,3,0)*VLOOKUP('Données projet'!$B$12,Paramètres!$A$1:$I$89,5,0)</f>
        <v>-2.9085640562698243E-13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420.47368055225792</v>
      </c>
      <c r="CE98" s="62">
        <f t="shared" si="94"/>
        <v>372.56045490833549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5.5</v>
      </c>
      <c r="N99" s="14">
        <f>IF('Données projet'!$A$36&gt;35,N98+M99-V98,IF(A99&lt;'Données projet'!$A$36,$K$205^A99,IF(A99='Données projet'!$A$36,'Données projet'!$B$36,N98+M99-V98)))</f>
        <v>310.50000000000017</v>
      </c>
      <c r="O99" s="14">
        <f>N99*VLOOKUP('Données projet'!$B$9,Paramètres!$A$1:$I$89,3,0)*VLOOKUP('Données projet'!$B$9,Paramètres!$A$1:$I$89,5,0)</f>
        <v>280.94040000000012</v>
      </c>
      <c r="P99" s="14">
        <f t="shared" si="87"/>
        <v>67.165703636653262</v>
      </c>
      <c r="Q99" s="22">
        <f t="shared" ref="Q99:Q130" si="107">(O99+P99)*0.475*44/12</f>
        <v>606.2847971671714</v>
      </c>
      <c r="R99" s="62">
        <f t="shared" si="55"/>
        <v>882.53384936355883</v>
      </c>
      <c r="S99" s="62">
        <f ca="1">AVERAGE(OFFSET($R$3,0,0,'Données projet'!$E$9+1,1))-AVERAGE(OFFSET($H$3,0,0,'Données projet'!$E$9+1,1))</f>
        <v>551.36480098497589</v>
      </c>
      <c r="T99" s="62">
        <f t="shared" si="88"/>
        <v>297.32483725004136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-1.1368683772161603E-13</v>
      </c>
      <c r="AJ99" s="14">
        <f>AI99*VLOOKUP('Données projet'!$B$10,Paramètres!$A$1:$I$89,3,0)*VLOOKUP('Données projet'!$B$10,Paramètres!$A$1:$I$89,5,0)</f>
        <v>-6.7984728957526396E-14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388.30126110099434</v>
      </c>
      <c r="AO99" s="62">
        <f t="shared" si="90"/>
        <v>390.81417197867495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>
        <f>VLOOKUP(A99,'Données projet'!$A$87:$I$107,2,0)</f>
        <v>557</v>
      </c>
      <c r="BB99" s="13">
        <f>VLOOKUP(A99,'Données projet'!$A$87:$I$107,9,0)</f>
        <v>11.333333333333334</v>
      </c>
      <c r="BC99" s="13">
        <f t="array" ref="BC99">INDEX(BB:BB,MIN(IF(ISNUMBER(BB99:BB295),ROW(BB99:BB295),"")))</f>
        <v>11.333333333333334</v>
      </c>
      <c r="BD99" s="13">
        <f>IF('Données projet'!$A$88&gt;35,BD98+BC99-BL98,IF(A99&lt;'Données projet'!$A$88,$BA$205^A99,IF(A99='Données projet'!$A$88,'Données projet'!$B$88,BD98+BC99-BL98)))</f>
        <v>556.99999999999977</v>
      </c>
      <c r="BE99" s="14">
        <f>BD99*VLOOKUP('Données projet'!$B$11,Paramètres!$A$1:$I$89,3,0)*VLOOKUP('Données projet'!$B$11,Paramètres!$A$1:$I$89,5,0)</f>
        <v>477.90599999999989</v>
      </c>
      <c r="BF99" s="14">
        <f t="shared" si="91"/>
        <v>107.4036604395269</v>
      </c>
      <c r="BG99" s="22">
        <f t="shared" si="61"/>
        <v>1019.4143252655093</v>
      </c>
      <c r="BH99" s="62">
        <f t="shared" si="62"/>
        <v>1295.6633774618967</v>
      </c>
      <c r="BI99" s="62">
        <f ca="1">AVERAGE(OFFSET($BH$3,0,0,'Données projet'!$E$11+1,1))-AVERAGE(OFFSET($H$3,0,0,'Données projet'!$E$11+1,1))</f>
        <v>475.48669758994771</v>
      </c>
      <c r="BJ99" s="62">
        <f t="shared" si="92"/>
        <v>249.93713224442419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-4.5474735088646412E-13</v>
      </c>
      <c r="BZ99" s="14">
        <f>BY99*VLOOKUP('Données projet'!$B$12,Paramètres!$A$1:$I$89,3,0)*VLOOKUP('Données projet'!$B$12,Paramètres!$A$1:$I$89,5,0)</f>
        <v>-2.9085640562698243E-13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420.47368055225792</v>
      </c>
      <c r="CE99" s="62">
        <f t="shared" si="94"/>
        <v>372.56045490833549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5.5</v>
      </c>
      <c r="N100" s="14">
        <f>IF('Données projet'!$A$36&gt;35,N99+M100-V99,IF(A100&lt;'Données projet'!$A$36,$K$205^A100,IF(A100='Données projet'!$A$36,'Données projet'!$B$36,N99+M100-V99)))</f>
        <v>316.00000000000017</v>
      </c>
      <c r="O100" s="14">
        <f>N100*VLOOKUP('Données projet'!$B$9,Paramètres!$A$1:$I$89,3,0)*VLOOKUP('Données projet'!$B$9,Paramètres!$A$1:$I$89,5,0)</f>
        <v>285.91680000000014</v>
      </c>
      <c r="P100" s="14">
        <f t="shared" si="87"/>
        <v>68.215872977287603</v>
      </c>
      <c r="Q100" s="22">
        <f t="shared" si="107"/>
        <v>616.78107210210942</v>
      </c>
      <c r="R100" s="62">
        <f t="shared" si="55"/>
        <v>893.32649838149223</v>
      </c>
      <c r="S100" s="62">
        <f ca="1">AVERAGE(OFFSET($R$3,0,0,'Données projet'!$E$9+1,1))-AVERAGE(OFFSET($H$3,0,0,'Données projet'!$E$9+1,1))</f>
        <v>551.36480098497589</v>
      </c>
      <c r="T100" s="62">
        <f t="shared" si="88"/>
        <v>297.32483725004136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-1.1368683772161603E-13</v>
      </c>
      <c r="AJ100" s="14">
        <f>AI100*VLOOKUP('Données projet'!$B$10,Paramètres!$A$1:$I$89,3,0)*VLOOKUP('Données projet'!$B$10,Paramètres!$A$1:$I$89,5,0)</f>
        <v>-6.7984728957526396E-14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388.30126110099434</v>
      </c>
      <c r="AO100" s="62">
        <f t="shared" si="90"/>
        <v>390.81417197867495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11.333333333333334</v>
      </c>
      <c r="BD100" s="13">
        <f>IF('Données projet'!$A$88&gt;35,BD99+BC100-BL99,IF(A100&lt;'Données projet'!$A$88,$BA$205^A100,IF(A100='Données projet'!$A$88,'Données projet'!$B$88,BD99+BC100-BL99)))</f>
        <v>568.33333333333314</v>
      </c>
      <c r="BE100" s="14">
        <f>BD100*VLOOKUP('Données projet'!$B$11,Paramètres!$A$1:$I$89,3,0)*VLOOKUP('Données projet'!$B$11,Paramètres!$A$1:$I$89,5,0)</f>
        <v>487.62999999999988</v>
      </c>
      <c r="BF100" s="14">
        <f t="shared" si="91"/>
        <v>109.33236859887117</v>
      </c>
      <c r="BG100" s="22">
        <f t="shared" si="61"/>
        <v>1039.7094586430337</v>
      </c>
      <c r="BH100" s="62">
        <f t="shared" si="62"/>
        <v>1316.2548849224165</v>
      </c>
      <c r="BI100" s="62">
        <f ca="1">AVERAGE(OFFSET($BH$3,0,0,'Données projet'!$E$11+1,1))-AVERAGE(OFFSET($H$3,0,0,'Données projet'!$E$11+1,1))</f>
        <v>475.48669758994771</v>
      </c>
      <c r="BJ100" s="62">
        <f t="shared" si="92"/>
        <v>249.93713224442419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-4.5474735088646412E-13</v>
      </c>
      <c r="BZ100" s="14">
        <f>BY100*VLOOKUP('Données projet'!$B$12,Paramètres!$A$1:$I$89,3,0)*VLOOKUP('Données projet'!$B$12,Paramètres!$A$1:$I$89,5,0)</f>
        <v>-2.9085640562698243E-13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420.47368055225792</v>
      </c>
      <c r="CE100" s="62">
        <f t="shared" si="94"/>
        <v>372.56045490833549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5.5</v>
      </c>
      <c r="N101" s="14">
        <f>IF('Données projet'!$A$36&gt;35,N100+M101-V100,IF(A101&lt;'Données projet'!$A$36,$K$205^A101,IF(A101='Données projet'!$A$36,'Données projet'!$B$36,N100+M101-V100)))</f>
        <v>321.50000000000017</v>
      </c>
      <c r="O101" s="14">
        <f>N101*VLOOKUP('Données projet'!$B$9,Paramètres!$A$1:$I$89,3,0)*VLOOKUP('Données projet'!$B$9,Paramètres!$A$1:$I$89,5,0)</f>
        <v>290.89320000000015</v>
      </c>
      <c r="P101" s="14">
        <f t="shared" si="87"/>
        <v>69.263916768293996</v>
      </c>
      <c r="Q101" s="22">
        <f t="shared" si="107"/>
        <v>627.27364503811225</v>
      </c>
      <c r="R101" s="62">
        <f t="shared" si="55"/>
        <v>904.11030397274362</v>
      </c>
      <c r="S101" s="62">
        <f ca="1">AVERAGE(OFFSET($R$3,0,0,'Données projet'!$E$9+1,1))-AVERAGE(OFFSET($H$3,0,0,'Données projet'!$E$9+1,1))</f>
        <v>551.36480098497589</v>
      </c>
      <c r="T101" s="62">
        <f t="shared" si="88"/>
        <v>297.32483725004136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-1.1368683772161603E-13</v>
      </c>
      <c r="AJ101" s="14">
        <f>AI101*VLOOKUP('Données projet'!$B$10,Paramètres!$A$1:$I$89,3,0)*VLOOKUP('Données projet'!$B$10,Paramètres!$A$1:$I$89,5,0)</f>
        <v>-6.7984728957526396E-14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388.30126110099434</v>
      </c>
      <c r="AO101" s="62">
        <f t="shared" si="90"/>
        <v>390.81417197867495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11.333333333333334</v>
      </c>
      <c r="BD101" s="13">
        <f>IF('Données projet'!$A$88&gt;35,BD100+BC101-BL100,IF(A101&lt;'Données projet'!$A$88,$BA$205^A101,IF(A101='Données projet'!$A$88,'Données projet'!$B$88,BD100+BC101-BL100)))</f>
        <v>579.66666666666652</v>
      </c>
      <c r="BE101" s="14">
        <f>BD101*VLOOKUP('Données projet'!$B$11,Paramètres!$A$1:$I$89,3,0)*VLOOKUP('Données projet'!$B$11,Paramètres!$A$1:$I$89,5,0)</f>
        <v>497.35399999999993</v>
      </c>
      <c r="BF101" s="14">
        <f t="shared" si="91"/>
        <v>111.25660477134088</v>
      </c>
      <c r="BG101" s="22">
        <f t="shared" si="61"/>
        <v>1059.9968033100852</v>
      </c>
      <c r="BH101" s="62">
        <f t="shared" si="62"/>
        <v>1336.8334622447164</v>
      </c>
      <c r="BI101" s="62">
        <f ca="1">AVERAGE(OFFSET($BH$3,0,0,'Données projet'!$E$11+1,1))-AVERAGE(OFFSET($H$3,0,0,'Données projet'!$E$11+1,1))</f>
        <v>475.48669758994771</v>
      </c>
      <c r="BJ101" s="62">
        <f t="shared" si="92"/>
        <v>249.93713224442419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-4.5474735088646412E-13</v>
      </c>
      <c r="BZ101" s="14">
        <f>BY101*VLOOKUP('Données projet'!$B$12,Paramètres!$A$1:$I$89,3,0)*VLOOKUP('Données projet'!$B$12,Paramètres!$A$1:$I$89,5,0)</f>
        <v>-2.9085640562698243E-13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420.47368055225792</v>
      </c>
      <c r="CE101" s="62">
        <f t="shared" si="94"/>
        <v>372.56045490833549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5.5</v>
      </c>
      <c r="N102" s="14">
        <f>IF('Données projet'!$A$36&gt;35,N101+M102-V101,IF(A102&lt;'Données projet'!$A$36,$K$205^A102,IF(A102='Données projet'!$A$36,'Données projet'!$B$36,N101+M102-V101)))</f>
        <v>327.00000000000017</v>
      </c>
      <c r="O102" s="14">
        <f>N102*VLOOKUP('Données projet'!$B$9,Paramètres!$A$1:$I$89,3,0)*VLOOKUP('Données projet'!$B$9,Paramètres!$A$1:$I$89,5,0)</f>
        <v>295.86960000000016</v>
      </c>
      <c r="P102" s="14">
        <f t="shared" si="87"/>
        <v>70.309875568291275</v>
      </c>
      <c r="Q102" s="22">
        <f t="shared" si="107"/>
        <v>637.76258661477414</v>
      </c>
      <c r="R102" s="62">
        <f t="shared" si="55"/>
        <v>914.88542596918433</v>
      </c>
      <c r="S102" s="62">
        <f ca="1">AVERAGE(OFFSET($R$3,0,0,'Données projet'!$E$9+1,1))-AVERAGE(OFFSET($H$3,0,0,'Données projet'!$E$9+1,1))</f>
        <v>551.36480098497589</v>
      </c>
      <c r="T102" s="62">
        <f t="shared" si="88"/>
        <v>297.32483725004136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-1.1368683772161603E-13</v>
      </c>
      <c r="AJ102" s="14">
        <f>AI102*VLOOKUP('Données projet'!$B$10,Paramètres!$A$1:$I$89,3,0)*VLOOKUP('Données projet'!$B$10,Paramètres!$A$1:$I$89,5,0)</f>
        <v>-6.7984728957526396E-14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388.30126110099434</v>
      </c>
      <c r="AO102" s="62">
        <f t="shared" si="90"/>
        <v>390.81417197867495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>
        <f>VLOOKUP(A102,'Données projet'!$A$87:$I$107,2,0)</f>
        <v>591</v>
      </c>
      <c r="BB102" s="13">
        <f>VLOOKUP(A102,'Données projet'!$A$87:$I$107,9,0)</f>
        <v>11.333333333333334</v>
      </c>
      <c r="BC102" s="13">
        <f t="array" ref="BC102">INDEX(BB:BB,MIN(IF(ISNUMBER(BB102:BB298),ROW(BB102:BB298),"")))</f>
        <v>11.333333333333334</v>
      </c>
      <c r="BD102" s="13">
        <f>IF('Données projet'!$A$88&gt;35,BD101+BC102-BL101,IF(A102&lt;'Données projet'!$A$88,$BA$205^A102,IF(A102='Données projet'!$A$88,'Données projet'!$B$88,BD101+BC102-BL101)))</f>
        <v>590.99999999999989</v>
      </c>
      <c r="BE102" s="14">
        <f>BD102*VLOOKUP('Données projet'!$B$11,Paramètres!$A$1:$I$89,3,0)*VLOOKUP('Données projet'!$B$11,Paramètres!$A$1:$I$89,5,0)</f>
        <v>507.07799999999997</v>
      </c>
      <c r="BF102" s="14">
        <f t="shared" si="91"/>
        <v>113.17646646969149</v>
      </c>
      <c r="BG102" s="22">
        <f t="shared" si="61"/>
        <v>1080.2765291013793</v>
      </c>
      <c r="BH102" s="62">
        <f t="shared" si="62"/>
        <v>1357.3993684557895</v>
      </c>
      <c r="BI102" s="62">
        <f ca="1">AVERAGE(OFFSET($BH$3,0,0,'Données projet'!$E$11+1,1))-AVERAGE(OFFSET($H$3,0,0,'Données projet'!$E$11+1,1))</f>
        <v>475.48669758994771</v>
      </c>
      <c r="BJ102" s="62">
        <f t="shared" si="92"/>
        <v>249.93713224442419</v>
      </c>
      <c r="BK102" s="16">
        <f>IF(ISNA(VLOOKUP(A102,'Données projet'!$A$87:$I$107,3,0)),0,VLOOKUP(A102,'Données projet'!$A$87:$I$107,3,0))</f>
        <v>10</v>
      </c>
      <c r="BL102" s="16">
        <f>IF(ISNA(VLOOKUP(A102,'Données projet'!$A$87:$I$107,4,0)),0,VLOOKUP(A102,'Données projet'!$A$87:$I$107,4,0))</f>
        <v>591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-4.5474735088646412E-13</v>
      </c>
      <c r="BZ102" s="14">
        <f>BY102*VLOOKUP('Données projet'!$B$12,Paramètres!$A$1:$I$89,3,0)*VLOOKUP('Données projet'!$B$12,Paramètres!$A$1:$I$89,5,0)</f>
        <v>-2.9085640562698243E-13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420.47368055225792</v>
      </c>
      <c r="CE102" s="62">
        <f t="shared" si="94"/>
        <v>372.56045490833549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5.5</v>
      </c>
      <c r="N103" s="14">
        <f>IF('Données projet'!$A$36&gt;35,N102+M103-V102,IF(A103&lt;'Données projet'!$A$36,$K$205^A103,IF(A103='Données projet'!$A$36,'Données projet'!$B$36,N102+M103-V102)))</f>
        <v>332.50000000000017</v>
      </c>
      <c r="O103" s="14">
        <f>N103*VLOOKUP('Données projet'!$B$9,Paramètres!$A$1:$I$89,3,0)*VLOOKUP('Données projet'!$B$9,Paramètres!$A$1:$I$89,5,0)</f>
        <v>300.84600000000012</v>
      </c>
      <c r="P103" s="14">
        <f t="shared" si="87"/>
        <v>71.353788493344268</v>
      </c>
      <c r="Q103" s="22">
        <f t="shared" si="107"/>
        <v>648.24796495924147</v>
      </c>
      <c r="R103" s="62">
        <f t="shared" si="55"/>
        <v>925.65202014295073</v>
      </c>
      <c r="S103" s="62">
        <f ca="1">AVERAGE(OFFSET($R$3,0,0,'Données projet'!$E$9+1,1))-AVERAGE(OFFSET($H$3,0,0,'Données projet'!$E$9+1,1))</f>
        <v>551.36480098497589</v>
      </c>
      <c r="T103" s="62">
        <f t="shared" si="88"/>
        <v>297.32483725004136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-1.1368683772161603E-13</v>
      </c>
      <c r="AJ103" s="14">
        <f>AI103*VLOOKUP('Données projet'!$B$10,Paramètres!$A$1:$I$89,3,0)*VLOOKUP('Données projet'!$B$10,Paramètres!$A$1:$I$89,5,0)</f>
        <v>-6.7984728957526396E-14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388.30126110099434</v>
      </c>
      <c r="AO103" s="62">
        <f t="shared" si="90"/>
        <v>390.81417197867495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-1.1368683772161603E-13</v>
      </c>
      <c r="BE103" s="14">
        <f>BD103*VLOOKUP('Données projet'!$B$11,Paramètres!$A$1:$I$89,3,0)*VLOOKUP('Données projet'!$B$11,Paramètres!$A$1:$I$89,5,0)</f>
        <v>-9.7543306765146564E-14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475.48669758994771</v>
      </c>
      <c r="BJ103" s="62">
        <f t="shared" si="92"/>
        <v>249.93713224442419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-4.5474735088646412E-13</v>
      </c>
      <c r="BZ103" s="14">
        <f>BY103*VLOOKUP('Données projet'!$B$12,Paramètres!$A$1:$I$89,3,0)*VLOOKUP('Données projet'!$B$12,Paramètres!$A$1:$I$89,5,0)</f>
        <v>-2.9085640562698243E-13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420.47368055225792</v>
      </c>
      <c r="CE103" s="62">
        <f t="shared" si="94"/>
        <v>372.56045490833549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5.5</v>
      </c>
      <c r="N104" s="14">
        <f>IF('Données projet'!$A$36&gt;35,N103+M104-V103,IF(A104&lt;'Données projet'!$A$36,$K$205^A104,IF(A104='Données projet'!$A$36,'Données projet'!$B$36,N103+M104-V103)))</f>
        <v>338.00000000000017</v>
      </c>
      <c r="O104" s="14">
        <f>N104*VLOOKUP('Données projet'!$B$9,Paramètres!$A$1:$I$89,3,0)*VLOOKUP('Données projet'!$B$9,Paramètres!$A$1:$I$89,5,0)</f>
        <v>305.82240000000013</v>
      </c>
      <c r="P104" s="14">
        <f t="shared" si="87"/>
        <v>72.395693291268998</v>
      </c>
      <c r="Q104" s="22">
        <f t="shared" si="107"/>
        <v>658.72984581562707</v>
      </c>
      <c r="R104" s="62">
        <f t="shared" si="55"/>
        <v>936.41023836270142</v>
      </c>
      <c r="S104" s="62">
        <f ca="1">AVERAGE(OFFSET($R$3,0,0,'Données projet'!$E$9+1,1))-AVERAGE(OFFSET($H$3,0,0,'Données projet'!$E$9+1,1))</f>
        <v>551.36480098497589</v>
      </c>
      <c r="T104" s="62">
        <f t="shared" si="88"/>
        <v>297.32483725004136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-1.1368683772161603E-13</v>
      </c>
      <c r="AJ104" s="14">
        <f>AI104*VLOOKUP('Données projet'!$B$10,Paramètres!$A$1:$I$89,3,0)*VLOOKUP('Données projet'!$B$10,Paramètres!$A$1:$I$89,5,0)</f>
        <v>-6.7984728957526396E-14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388.30126110099434</v>
      </c>
      <c r="AO104" s="62">
        <f t="shared" si="90"/>
        <v>390.81417197867495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-1.1368683772161603E-13</v>
      </c>
      <c r="BE104" s="14">
        <f>BD104*VLOOKUP('Données projet'!$B$11,Paramètres!$A$1:$I$89,3,0)*VLOOKUP('Données projet'!$B$11,Paramètres!$A$1:$I$89,5,0)</f>
        <v>-9.7543306765146564E-14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475.48669758994771</v>
      </c>
      <c r="BJ104" s="62">
        <f t="shared" si="92"/>
        <v>249.93713224442419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-4.5474735088646412E-13</v>
      </c>
      <c r="BZ104" s="14">
        <f>BY104*VLOOKUP('Données projet'!$B$12,Paramètres!$A$1:$I$89,3,0)*VLOOKUP('Données projet'!$B$12,Paramètres!$A$1:$I$89,5,0)</f>
        <v>-2.9085640562698243E-13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420.47368055225792</v>
      </c>
      <c r="CE104" s="62">
        <f t="shared" si="94"/>
        <v>372.56045490833549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5.5</v>
      </c>
      <c r="N105" s="14">
        <f>IF('Données projet'!$A$36&gt;35,N104+M105-V104,IF(A105&lt;'Données projet'!$A$36,$K$205^A105,IF(A105='Données projet'!$A$36,'Données projet'!$B$36,N104+M105-V104)))</f>
        <v>343.50000000000017</v>
      </c>
      <c r="O105" s="14">
        <f>N105*VLOOKUP('Données projet'!$B$9,Paramètres!$A$1:$I$89,3,0)*VLOOKUP('Données projet'!$B$9,Paramètres!$A$1:$I$89,5,0)</f>
        <v>310.79880000000014</v>
      </c>
      <c r="P105" s="14">
        <f t="shared" si="87"/>
        <v>73.435626410963707</v>
      </c>
      <c r="Q105" s="22">
        <f t="shared" si="107"/>
        <v>669.20829266576197</v>
      </c>
      <c r="R105" s="62">
        <f t="shared" si="55"/>
        <v>947.16022874074497</v>
      </c>
      <c r="S105" s="62">
        <f ca="1">AVERAGE(OFFSET($R$3,0,0,'Données projet'!$E$9+1,1))-AVERAGE(OFFSET($H$3,0,0,'Données projet'!$E$9+1,1))</f>
        <v>551.36480098497589</v>
      </c>
      <c r="T105" s="62">
        <f t="shared" si="88"/>
        <v>297.32483725004136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-1.1368683772161603E-13</v>
      </c>
      <c r="AJ105" s="14">
        <f>AI105*VLOOKUP('Données projet'!$B$10,Paramètres!$A$1:$I$89,3,0)*VLOOKUP('Données projet'!$B$10,Paramètres!$A$1:$I$89,5,0)</f>
        <v>-6.7984728957526396E-14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388.30126110099434</v>
      </c>
      <c r="AO105" s="62">
        <f t="shared" si="90"/>
        <v>390.81417197867495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-1.1368683772161603E-13</v>
      </c>
      <c r="BE105" s="14">
        <f>BD105*VLOOKUP('Données projet'!$B$11,Paramètres!$A$1:$I$89,3,0)*VLOOKUP('Données projet'!$B$11,Paramètres!$A$1:$I$89,5,0)</f>
        <v>-9.7543306765146564E-14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475.48669758994771</v>
      </c>
      <c r="BJ105" s="62">
        <f t="shared" si="92"/>
        <v>249.93713224442419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-4.5474735088646412E-13</v>
      </c>
      <c r="BZ105" s="14">
        <f>BY105*VLOOKUP('Données projet'!$B$12,Paramètres!$A$1:$I$89,3,0)*VLOOKUP('Données projet'!$B$12,Paramètres!$A$1:$I$89,5,0)</f>
        <v>-2.9085640562698243E-13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420.47368055225792</v>
      </c>
      <c r="CE105" s="62">
        <f t="shared" si="94"/>
        <v>372.56045490833549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5.5</v>
      </c>
      <c r="N106" s="14">
        <f>IF('Données projet'!$A$36&gt;35,N105+M106-V105,IF(A106&lt;'Données projet'!$A$36,$K$205^A106,IF(A106='Données projet'!$A$36,'Données projet'!$B$36,N105+M106-V105)))</f>
        <v>349.00000000000017</v>
      </c>
      <c r="O106" s="14">
        <f>N106*VLOOKUP('Données projet'!$B$9,Paramètres!$A$1:$I$89,3,0)*VLOOKUP('Données projet'!$B$9,Paramètres!$A$1:$I$89,5,0)</f>
        <v>315.7752000000001</v>
      </c>
      <c r="P106" s="14">
        <f t="shared" si="87"/>
        <v>74.473623067174074</v>
      </c>
      <c r="Q106" s="22">
        <f t="shared" si="107"/>
        <v>679.68336684199494</v>
      </c>
      <c r="R106" s="62">
        <f t="shared" si="55"/>
        <v>957.90213577175768</v>
      </c>
      <c r="S106" s="62">
        <f ca="1">AVERAGE(OFFSET($R$3,0,0,'Données projet'!$E$9+1,1))-AVERAGE(OFFSET($H$3,0,0,'Données projet'!$E$9+1,1))</f>
        <v>551.36480098497589</v>
      </c>
      <c r="T106" s="62">
        <f t="shared" si="88"/>
        <v>297.32483725004136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-1.1368683772161603E-13</v>
      </c>
      <c r="AJ106" s="14">
        <f>AI106*VLOOKUP('Données projet'!$B$10,Paramètres!$A$1:$I$89,3,0)*VLOOKUP('Données projet'!$B$10,Paramètres!$A$1:$I$89,5,0)</f>
        <v>-6.7984728957526396E-14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388.30126110099434</v>
      </c>
      <c r="AO106" s="62">
        <f t="shared" si="90"/>
        <v>390.81417197867495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-1.1368683772161603E-13</v>
      </c>
      <c r="BE106" s="14">
        <f>BD106*VLOOKUP('Données projet'!$B$11,Paramètres!$A$1:$I$89,3,0)*VLOOKUP('Données projet'!$B$11,Paramètres!$A$1:$I$89,5,0)</f>
        <v>-9.7543306765146564E-14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475.48669758994771</v>
      </c>
      <c r="BJ106" s="62">
        <f t="shared" si="92"/>
        <v>249.93713224442419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-4.5474735088646412E-13</v>
      </c>
      <c r="BZ106" s="14">
        <f>BY106*VLOOKUP('Données projet'!$B$12,Paramètres!$A$1:$I$89,3,0)*VLOOKUP('Données projet'!$B$12,Paramètres!$A$1:$I$89,5,0)</f>
        <v>-2.9085640562698243E-13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420.47368055225792</v>
      </c>
      <c r="CE106" s="62">
        <f t="shared" si="94"/>
        <v>372.56045490833549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5.5</v>
      </c>
      <c r="N107" s="14">
        <f>IF('Données projet'!$A$36&gt;35,N106+M107-V106,IF(A107&lt;'Données projet'!$A$36,$K$205^A107,IF(A107='Données projet'!$A$36,'Données projet'!$B$36,N106+M107-V106)))</f>
        <v>354.50000000000017</v>
      </c>
      <c r="O107" s="14">
        <f>N107*VLOOKUP('Données projet'!$B$9,Paramètres!$A$1:$I$89,3,0)*VLOOKUP('Données projet'!$B$9,Paramètres!$A$1:$I$89,5,0)</f>
        <v>320.75160000000017</v>
      </c>
      <c r="P107" s="14">
        <f t="shared" si="87"/>
        <v>75.509717301059425</v>
      </c>
      <c r="Q107" s="22">
        <f t="shared" si="107"/>
        <v>690.15512763267873</v>
      </c>
      <c r="R107" s="62">
        <f t="shared" si="55"/>
        <v>968.63610046373969</v>
      </c>
      <c r="S107" s="62">
        <f ca="1">AVERAGE(OFFSET($R$3,0,0,'Données projet'!$E$9+1,1))-AVERAGE(OFFSET($H$3,0,0,'Données projet'!$E$9+1,1))</f>
        <v>551.36480098497589</v>
      </c>
      <c r="T107" s="62">
        <f t="shared" si="88"/>
        <v>297.32483725004136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-1.1368683772161603E-13</v>
      </c>
      <c r="AJ107" s="14">
        <f>AI107*VLOOKUP('Données projet'!$B$10,Paramètres!$A$1:$I$89,3,0)*VLOOKUP('Données projet'!$B$10,Paramètres!$A$1:$I$89,5,0)</f>
        <v>-6.7984728957526396E-14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388.30126110099434</v>
      </c>
      <c r="AO107" s="62">
        <f t="shared" si="90"/>
        <v>390.81417197867495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-1.1368683772161603E-13</v>
      </c>
      <c r="BE107" s="14">
        <f>BD107*VLOOKUP('Données projet'!$B$11,Paramètres!$A$1:$I$89,3,0)*VLOOKUP('Données projet'!$B$11,Paramètres!$A$1:$I$89,5,0)</f>
        <v>-9.7543306765146564E-14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475.48669758994771</v>
      </c>
      <c r="BJ107" s="62">
        <f t="shared" si="92"/>
        <v>249.93713224442419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-4.5474735088646412E-13</v>
      </c>
      <c r="BZ107" s="14">
        <f>BY107*VLOOKUP('Données projet'!$B$12,Paramètres!$A$1:$I$89,3,0)*VLOOKUP('Données projet'!$B$12,Paramètres!$A$1:$I$89,5,0)</f>
        <v>-2.9085640562698243E-13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420.47368055225792</v>
      </c>
      <c r="CE107" s="62">
        <f t="shared" si="94"/>
        <v>372.56045490833549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360</v>
      </c>
      <c r="L108" s="13">
        <f>VLOOKUP(A108,'Données projet'!$A$35:$I$55,9,0)</f>
        <v>5.5</v>
      </c>
      <c r="M108" s="13">
        <f t="array" ref="M108">INDEX(L:L,MIN(IF(ISNUMBER(L108:L304),ROW(L108:L304),"")))</f>
        <v>5.5</v>
      </c>
      <c r="N108" s="14">
        <f>IF('Données projet'!$A$36&gt;35,N107+M108-V107,IF(A108&lt;'Données projet'!$A$36,$K$205^A108,IF(A108='Données projet'!$A$36,'Données projet'!$B$36,N107+M108-V107)))</f>
        <v>360.00000000000017</v>
      </c>
      <c r="O108" s="14">
        <f>N108*VLOOKUP('Données projet'!$B$9,Paramètres!$A$1:$I$89,3,0)*VLOOKUP('Données projet'!$B$9,Paramètres!$A$1:$I$89,5,0)</f>
        <v>325.72800000000018</v>
      </c>
      <c r="P108" s="14">
        <f t="shared" si="87"/>
        <v>76.543942036894109</v>
      </c>
      <c r="Q108" s="22">
        <f t="shared" si="107"/>
        <v>700.62363238092428</v>
      </c>
      <c r="R108" s="62">
        <f t="shared" si="55"/>
        <v>979.36226046179604</v>
      </c>
      <c r="S108" s="62">
        <f ca="1">AVERAGE(OFFSET($R$3,0,0,'Données projet'!$E$9+1,1))-AVERAGE(OFFSET($H$3,0,0,'Données projet'!$E$9+1,1))</f>
        <v>551.36480098497589</v>
      </c>
      <c r="T108" s="62">
        <f t="shared" si="88"/>
        <v>297.32483725004136</v>
      </c>
      <c r="U108" s="16">
        <f>IF(ISNA(VLOOKUP(A108,'Données projet'!$A$35:$I$55,3,0)),0,VLOOKUP(A108,'Données projet'!$A$35:$I$55,3,0))</f>
        <v>9</v>
      </c>
      <c r="V108" s="16">
        <f>IF(ISNA(VLOOKUP(A108,'Données projet'!$A$35:$I$55,4,0)),0,VLOOKUP(A108,'Données projet'!$A$35:$I$55,4,0))</f>
        <v>53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-1.1368683772161603E-13</v>
      </c>
      <c r="AJ108" s="14">
        <f>AI108*VLOOKUP('Données projet'!$B$10,Paramètres!$A$1:$I$89,3,0)*VLOOKUP('Données projet'!$B$10,Paramètres!$A$1:$I$89,5,0)</f>
        <v>-6.7984728957526396E-14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388.30126110099434</v>
      </c>
      <c r="AO108" s="62">
        <f t="shared" si="90"/>
        <v>390.81417197867495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-1.1368683772161603E-13</v>
      </c>
      <c r="BE108" s="14">
        <f>BD108*VLOOKUP('Données projet'!$B$11,Paramètres!$A$1:$I$89,3,0)*VLOOKUP('Données projet'!$B$11,Paramètres!$A$1:$I$89,5,0)</f>
        <v>-9.7543306765146564E-14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475.48669758994771</v>
      </c>
      <c r="BJ108" s="62">
        <f t="shared" si="92"/>
        <v>249.93713224442419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-4.5474735088646412E-13</v>
      </c>
      <c r="BZ108" s="14">
        <f>BY108*VLOOKUP('Données projet'!$B$12,Paramètres!$A$1:$I$89,3,0)*VLOOKUP('Données projet'!$B$12,Paramètres!$A$1:$I$89,5,0)</f>
        <v>-2.9085640562698243E-13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420.47368055225792</v>
      </c>
      <c r="CE108" s="62">
        <f t="shared" si="94"/>
        <v>372.56045490833549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4.9000000000000004</v>
      </c>
      <c r="N109" s="14">
        <f>IF('Données projet'!$A$36&gt;35,N108+M109-V108,IF(A109&lt;'Données projet'!$A$36,$K$205^A109,IF(A109='Données projet'!$A$36,'Données projet'!$B$36,N108+M109-V108)))</f>
        <v>311.90000000000015</v>
      </c>
      <c r="O109" s="14">
        <f>N109*VLOOKUP('Données projet'!$B$9,Paramètres!$A$1:$I$89,3,0)*VLOOKUP('Données projet'!$B$9,Paramètres!$A$1:$I$89,5,0)</f>
        <v>282.20712000000015</v>
      </c>
      <c r="P109" s="14">
        <f t="shared" si="87"/>
        <v>67.433223428275326</v>
      </c>
      <c r="Q109" s="22">
        <f t="shared" si="107"/>
        <v>608.95693147091299</v>
      </c>
      <c r="R109" s="62">
        <f t="shared" si="55"/>
        <v>887.94874505904204</v>
      </c>
      <c r="S109" s="62">
        <f ca="1">AVERAGE(OFFSET($R$3,0,0,'Données projet'!$E$9+1,1))-AVERAGE(OFFSET($H$3,0,0,'Données projet'!$E$9+1,1))</f>
        <v>551.36480098497589</v>
      </c>
      <c r="T109" s="62">
        <f t="shared" si="88"/>
        <v>297.32483725004136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-1.1368683772161603E-13</v>
      </c>
      <c r="AJ109" s="14">
        <f>AI109*VLOOKUP('Données projet'!$B$10,Paramètres!$A$1:$I$89,3,0)*VLOOKUP('Données projet'!$B$10,Paramètres!$A$1:$I$89,5,0)</f>
        <v>-6.7984728957526396E-14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388.30126110099434</v>
      </c>
      <c r="AO109" s="62">
        <f t="shared" si="90"/>
        <v>390.81417197867495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-1.1368683772161603E-13</v>
      </c>
      <c r="BE109" s="14">
        <f>BD109*VLOOKUP('Données projet'!$B$11,Paramètres!$A$1:$I$89,3,0)*VLOOKUP('Données projet'!$B$11,Paramètres!$A$1:$I$89,5,0)</f>
        <v>-9.7543306765146564E-14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475.48669758994771</v>
      </c>
      <c r="BJ109" s="62">
        <f t="shared" si="92"/>
        <v>249.93713224442419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-4.5474735088646412E-13</v>
      </c>
      <c r="BZ109" s="14">
        <f>BY109*VLOOKUP('Données projet'!$B$12,Paramètres!$A$1:$I$89,3,0)*VLOOKUP('Données projet'!$B$12,Paramètres!$A$1:$I$89,5,0)</f>
        <v>-2.9085640562698243E-13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420.47368055225792</v>
      </c>
      <c r="CE109" s="62">
        <f t="shared" si="94"/>
        <v>372.56045490833549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4.9000000000000004</v>
      </c>
      <c r="N110" s="14">
        <f>IF('Données projet'!$A$36&gt;35,N109+M110-V109,IF(A110&lt;'Données projet'!$A$36,$K$205^A110,IF(A110='Données projet'!$A$36,'Données projet'!$B$36,N109+M110-V109)))</f>
        <v>316.80000000000013</v>
      </c>
      <c r="O110" s="14">
        <f>N110*VLOOKUP('Données projet'!$B$9,Paramètres!$A$1:$I$89,3,0)*VLOOKUP('Données projet'!$B$9,Paramètres!$A$1:$I$89,5,0)</f>
        <v>286.64064000000008</v>
      </c>
      <c r="P110" s="14">
        <f t="shared" si="87"/>
        <v>68.368446832003599</v>
      </c>
      <c r="Q110" s="22">
        <f t="shared" si="107"/>
        <v>618.30749289907305</v>
      </c>
      <c r="R110" s="62">
        <f t="shared" si="55"/>
        <v>897.5480997919467</v>
      </c>
      <c r="S110" s="62">
        <f ca="1">AVERAGE(OFFSET($R$3,0,0,'Données projet'!$E$9+1,1))-AVERAGE(OFFSET($H$3,0,0,'Données projet'!$E$9+1,1))</f>
        <v>551.36480098497589</v>
      </c>
      <c r="T110" s="62">
        <f t="shared" si="88"/>
        <v>297.32483725004136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-1.1368683772161603E-13</v>
      </c>
      <c r="AJ110" s="14">
        <f>AI110*VLOOKUP('Données projet'!$B$10,Paramètres!$A$1:$I$89,3,0)*VLOOKUP('Données projet'!$B$10,Paramètres!$A$1:$I$89,5,0)</f>
        <v>-6.7984728957526396E-14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388.30126110099434</v>
      </c>
      <c r="AO110" s="62">
        <f t="shared" si="90"/>
        <v>390.81417197867495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-1.1368683772161603E-13</v>
      </c>
      <c r="BE110" s="14">
        <f>BD110*VLOOKUP('Données projet'!$B$11,Paramètres!$A$1:$I$89,3,0)*VLOOKUP('Données projet'!$B$11,Paramètres!$A$1:$I$89,5,0)</f>
        <v>-9.7543306765146564E-14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475.48669758994771</v>
      </c>
      <c r="BJ110" s="62">
        <f t="shared" si="92"/>
        <v>249.93713224442419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-4.5474735088646412E-13</v>
      </c>
      <c r="BZ110" s="14">
        <f>BY110*VLOOKUP('Données projet'!$B$12,Paramètres!$A$1:$I$89,3,0)*VLOOKUP('Données projet'!$B$12,Paramètres!$A$1:$I$89,5,0)</f>
        <v>-2.9085640562698243E-13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420.47368055225792</v>
      </c>
      <c r="CE110" s="62">
        <f t="shared" si="94"/>
        <v>372.56045490833549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4.9000000000000004</v>
      </c>
      <c r="N111" s="14">
        <f>IF('Données projet'!$A$36&gt;35,N110+M111-V110,IF(A111&lt;'Données projet'!$A$36,$K$205^A111,IF(A111='Données projet'!$A$36,'Données projet'!$B$36,N110+M111-V110)))</f>
        <v>321.7000000000001</v>
      </c>
      <c r="O111" s="14">
        <f>N111*VLOOKUP('Données projet'!$B$9,Paramètres!$A$1:$I$89,3,0)*VLOOKUP('Données projet'!$B$9,Paramètres!$A$1:$I$89,5,0)</f>
        <v>291.07416000000006</v>
      </c>
      <c r="P111" s="14">
        <f t="shared" si="87"/>
        <v>69.301987923222626</v>
      </c>
      <c r="Q111" s="22">
        <f t="shared" si="107"/>
        <v>627.65512429961279</v>
      </c>
      <c r="R111" s="62">
        <f t="shared" si="55"/>
        <v>907.14020848961218</v>
      </c>
      <c r="S111" s="62">
        <f ca="1">AVERAGE(OFFSET($R$3,0,0,'Données projet'!$E$9+1,1))-AVERAGE(OFFSET($H$3,0,0,'Données projet'!$E$9+1,1))</f>
        <v>551.36480098497589</v>
      </c>
      <c r="T111" s="62">
        <f t="shared" si="88"/>
        <v>297.32483725004136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-1.1368683772161603E-13</v>
      </c>
      <c r="AJ111" s="14">
        <f>AI111*VLOOKUP('Données projet'!$B$10,Paramètres!$A$1:$I$89,3,0)*VLOOKUP('Données projet'!$B$10,Paramètres!$A$1:$I$89,5,0)</f>
        <v>-6.7984728957526396E-14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388.30126110099434</v>
      </c>
      <c r="AO111" s="62">
        <f t="shared" si="90"/>
        <v>390.81417197867495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-1.1368683772161603E-13</v>
      </c>
      <c r="BE111" s="14">
        <f>BD111*VLOOKUP('Données projet'!$B$11,Paramètres!$A$1:$I$89,3,0)*VLOOKUP('Données projet'!$B$11,Paramètres!$A$1:$I$89,5,0)</f>
        <v>-9.7543306765146564E-14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475.48669758994771</v>
      </c>
      <c r="BJ111" s="62">
        <f t="shared" si="92"/>
        <v>249.93713224442419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-4.5474735088646412E-13</v>
      </c>
      <c r="BZ111" s="14">
        <f>BY111*VLOOKUP('Données projet'!$B$12,Paramètres!$A$1:$I$89,3,0)*VLOOKUP('Données projet'!$B$12,Paramètres!$A$1:$I$89,5,0)</f>
        <v>-2.9085640562698243E-13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420.47368055225792</v>
      </c>
      <c r="CE111" s="62">
        <f t="shared" si="94"/>
        <v>372.56045490833549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4.9000000000000004</v>
      </c>
      <c r="N112" s="14">
        <f>IF('Données projet'!$A$36&gt;35,N111+M112-V111,IF(A112&lt;'Données projet'!$A$36,$K$205^A112,IF(A112='Données projet'!$A$36,'Données projet'!$B$36,N111+M112-V111)))</f>
        <v>326.60000000000008</v>
      </c>
      <c r="O112" s="14">
        <f>N112*VLOOKUP('Données projet'!$B$9,Paramètres!$A$1:$I$89,3,0)*VLOOKUP('Données projet'!$B$9,Paramètres!$A$1:$I$89,5,0)</f>
        <v>295.50768000000005</v>
      </c>
      <c r="P112" s="14">
        <f t="shared" si="87"/>
        <v>70.233875285761329</v>
      </c>
      <c r="Q112" s="22">
        <f t="shared" si="107"/>
        <v>636.99987545603437</v>
      </c>
      <c r="R112" s="62">
        <f t="shared" si="55"/>
        <v>916.72519580862365</v>
      </c>
      <c r="S112" s="62">
        <f ca="1">AVERAGE(OFFSET($R$3,0,0,'Données projet'!$E$9+1,1))-AVERAGE(OFFSET($H$3,0,0,'Données projet'!$E$9+1,1))</f>
        <v>551.36480098497589</v>
      </c>
      <c r="T112" s="62">
        <f t="shared" si="88"/>
        <v>297.32483725004136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-1.1368683772161603E-13</v>
      </c>
      <c r="AJ112" s="14">
        <f>AI112*VLOOKUP('Données projet'!$B$10,Paramètres!$A$1:$I$89,3,0)*VLOOKUP('Données projet'!$B$10,Paramètres!$A$1:$I$89,5,0)</f>
        <v>-6.7984728957526396E-14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388.30126110099434</v>
      </c>
      <c r="AO112" s="62">
        <f t="shared" si="90"/>
        <v>390.81417197867495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-1.1368683772161603E-13</v>
      </c>
      <c r="BE112" s="14">
        <f>BD112*VLOOKUP('Données projet'!$B$11,Paramètres!$A$1:$I$89,3,0)*VLOOKUP('Données projet'!$B$11,Paramètres!$A$1:$I$89,5,0)</f>
        <v>-9.7543306765146564E-14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475.48669758994771</v>
      </c>
      <c r="BJ112" s="62">
        <f t="shared" si="92"/>
        <v>249.93713224442419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-4.5474735088646412E-13</v>
      </c>
      <c r="BZ112" s="14">
        <f>BY112*VLOOKUP('Données projet'!$B$12,Paramètres!$A$1:$I$89,3,0)*VLOOKUP('Données projet'!$B$12,Paramètres!$A$1:$I$89,5,0)</f>
        <v>-2.9085640562698243E-13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420.47368055225792</v>
      </c>
      <c r="CE112" s="62">
        <f t="shared" si="94"/>
        <v>372.56045490833549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4.9000000000000004</v>
      </c>
      <c r="N113" s="14">
        <f>IF('Données projet'!$A$36&gt;35,N112+M113-V112,IF(A113&lt;'Données projet'!$A$36,$K$205^A113,IF(A113='Données projet'!$A$36,'Données projet'!$B$36,N112+M113-V112)))</f>
        <v>331.50000000000006</v>
      </c>
      <c r="O113" s="14">
        <f>N113*VLOOKUP('Données projet'!$B$9,Paramètres!$A$1:$I$89,3,0)*VLOOKUP('Données projet'!$B$9,Paramètres!$A$1:$I$89,5,0)</f>
        <v>299.94120000000004</v>
      </c>
      <c r="P113" s="14">
        <f t="shared" si="87"/>
        <v>71.164136596531506</v>
      </c>
      <c r="Q113" s="22">
        <f t="shared" si="107"/>
        <v>646.34179457229243</v>
      </c>
      <c r="R113" s="62">
        <f t="shared" si="55"/>
        <v>926.30318352713834</v>
      </c>
      <c r="S113" s="62">
        <f ca="1">AVERAGE(OFFSET($R$3,0,0,'Données projet'!$E$9+1,1))-AVERAGE(OFFSET($H$3,0,0,'Données projet'!$E$9+1,1))</f>
        <v>551.36480098497589</v>
      </c>
      <c r="T113" s="62">
        <f t="shared" si="88"/>
        <v>297.32483725004136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-1.1368683772161603E-13</v>
      </c>
      <c r="AJ113" s="14">
        <f>AI113*VLOOKUP('Données projet'!$B$10,Paramètres!$A$1:$I$89,3,0)*VLOOKUP('Données projet'!$B$10,Paramètres!$A$1:$I$89,5,0)</f>
        <v>-6.7984728957526396E-14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388.30126110099434</v>
      </c>
      <c r="AO113" s="62">
        <f t="shared" si="90"/>
        <v>390.81417197867495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-1.1368683772161603E-13</v>
      </c>
      <c r="BE113" s="14">
        <f>BD113*VLOOKUP('Données projet'!$B$11,Paramètres!$A$1:$I$89,3,0)*VLOOKUP('Données projet'!$B$11,Paramètres!$A$1:$I$89,5,0)</f>
        <v>-9.7543306765146564E-14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475.48669758994771</v>
      </c>
      <c r="BJ113" s="62">
        <f t="shared" si="92"/>
        <v>249.93713224442419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-4.5474735088646412E-13</v>
      </c>
      <c r="BZ113" s="14">
        <f>BY113*VLOOKUP('Données projet'!$B$12,Paramètres!$A$1:$I$89,3,0)*VLOOKUP('Données projet'!$B$12,Paramètres!$A$1:$I$89,5,0)</f>
        <v>-2.9085640562698243E-13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420.47368055225792</v>
      </c>
      <c r="CE113" s="62">
        <f t="shared" si="94"/>
        <v>372.56045490833549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4.9000000000000004</v>
      </c>
      <c r="N114" s="14">
        <f>IF('Données projet'!$A$36&gt;35,N113+M114-V113,IF(A114&lt;'Données projet'!$A$36,$K$205^A114,IF(A114='Données projet'!$A$36,'Données projet'!$B$36,N113+M114-V113)))</f>
        <v>336.40000000000003</v>
      </c>
      <c r="O114" s="14">
        <f>N114*VLOOKUP('Données projet'!$B$9,Paramètres!$A$1:$I$89,3,0)*VLOOKUP('Données projet'!$B$9,Paramètres!$A$1:$I$89,5,0)</f>
        <v>304.37472000000002</v>
      </c>
      <c r="P114" s="14">
        <f t="shared" si="87"/>
        <v>72.092798667275119</v>
      </c>
      <c r="Q114" s="22">
        <f t="shared" si="107"/>
        <v>655.68092834550419</v>
      </c>
      <c r="R114" s="62">
        <f t="shared" si="55"/>
        <v>935.87429064012781</v>
      </c>
      <c r="S114" s="62">
        <f ca="1">AVERAGE(OFFSET($R$3,0,0,'Données projet'!$E$9+1,1))-AVERAGE(OFFSET($H$3,0,0,'Données projet'!$E$9+1,1))</f>
        <v>551.36480098497589</v>
      </c>
      <c r="T114" s="62">
        <f t="shared" si="88"/>
        <v>297.32483725004136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-1.1368683772161603E-13</v>
      </c>
      <c r="AJ114" s="14">
        <f>AI114*VLOOKUP('Données projet'!$B$10,Paramètres!$A$1:$I$89,3,0)*VLOOKUP('Données projet'!$B$10,Paramètres!$A$1:$I$89,5,0)</f>
        <v>-6.7984728957526396E-14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388.30126110099434</v>
      </c>
      <c r="AO114" s="62">
        <f t="shared" si="90"/>
        <v>390.81417197867495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-1.1368683772161603E-13</v>
      </c>
      <c r="BE114" s="14">
        <f>BD114*VLOOKUP('Données projet'!$B$11,Paramètres!$A$1:$I$89,3,0)*VLOOKUP('Données projet'!$B$11,Paramètres!$A$1:$I$89,5,0)</f>
        <v>-9.7543306765146564E-14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475.48669758994771</v>
      </c>
      <c r="BJ114" s="62">
        <f t="shared" si="92"/>
        <v>249.93713224442419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-4.5474735088646412E-13</v>
      </c>
      <c r="BZ114" s="14">
        <f>BY114*VLOOKUP('Données projet'!$B$12,Paramètres!$A$1:$I$89,3,0)*VLOOKUP('Données projet'!$B$12,Paramètres!$A$1:$I$89,5,0)</f>
        <v>-2.9085640562698243E-13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420.47368055225792</v>
      </c>
      <c r="CE114" s="62">
        <f t="shared" si="94"/>
        <v>372.56045490833549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4.9000000000000004</v>
      </c>
      <c r="N115" s="14">
        <f>IF('Données projet'!$A$36&gt;35,N114+M115-V114,IF(A115&lt;'Données projet'!$A$36,$K$205^A115,IF(A115='Données projet'!$A$36,'Données projet'!$B$36,N114+M115-V114)))</f>
        <v>341.3</v>
      </c>
      <c r="O115" s="14">
        <f>N115*VLOOKUP('Données projet'!$B$9,Paramètres!$A$1:$I$89,3,0)*VLOOKUP('Données projet'!$B$9,Paramètres!$A$1:$I$89,5,0)</f>
        <v>308.80823999999996</v>
      </c>
      <c r="P115" s="14">
        <f t="shared" si="87"/>
        <v>73.019887483808844</v>
      </c>
      <c r="Q115" s="22">
        <f t="shared" si="107"/>
        <v>665.01732203430026</v>
      </c>
      <c r="R115" s="62">
        <f t="shared" si="55"/>
        <v>945.43863344987108</v>
      </c>
      <c r="S115" s="62">
        <f ca="1">AVERAGE(OFFSET($R$3,0,0,'Données projet'!$E$9+1,1))-AVERAGE(OFFSET($H$3,0,0,'Données projet'!$E$9+1,1))</f>
        <v>551.36480098497589</v>
      </c>
      <c r="T115" s="62">
        <f t="shared" si="88"/>
        <v>297.32483725004136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-1.1368683772161603E-13</v>
      </c>
      <c r="AJ115" s="14">
        <f>AI115*VLOOKUP('Données projet'!$B$10,Paramètres!$A$1:$I$89,3,0)*VLOOKUP('Données projet'!$B$10,Paramètres!$A$1:$I$89,5,0)</f>
        <v>-6.7984728957526396E-14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388.30126110099434</v>
      </c>
      <c r="AO115" s="62">
        <f t="shared" si="90"/>
        <v>390.81417197867495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-1.1368683772161603E-13</v>
      </c>
      <c r="BE115" s="14">
        <f>BD115*VLOOKUP('Données projet'!$B$11,Paramètres!$A$1:$I$89,3,0)*VLOOKUP('Données projet'!$B$11,Paramètres!$A$1:$I$89,5,0)</f>
        <v>-9.7543306765146564E-14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475.48669758994771</v>
      </c>
      <c r="BJ115" s="62">
        <f t="shared" si="92"/>
        <v>249.93713224442419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-4.5474735088646412E-13</v>
      </c>
      <c r="BZ115" s="14">
        <f>BY115*VLOOKUP('Données projet'!$B$12,Paramètres!$A$1:$I$89,3,0)*VLOOKUP('Données projet'!$B$12,Paramètres!$A$1:$I$89,5,0)</f>
        <v>-2.9085640562698243E-13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420.47368055225792</v>
      </c>
      <c r="CE115" s="62">
        <f t="shared" si="94"/>
        <v>372.56045490833549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4.9000000000000004</v>
      </c>
      <c r="N116" s="14">
        <f>IF('Données projet'!$A$36&gt;35,N115+M116-V115,IF(A116&lt;'Données projet'!$A$36,$K$205^A116,IF(A116='Données projet'!$A$36,'Données projet'!$B$36,N115+M116-V115)))</f>
        <v>346.2</v>
      </c>
      <c r="O116" s="14">
        <f>N116*VLOOKUP('Données projet'!$B$9,Paramètres!$A$1:$I$89,3,0)*VLOOKUP('Données projet'!$B$9,Paramètres!$A$1:$I$89,5,0)</f>
        <v>313.24176</v>
      </c>
      <c r="P116" s="14">
        <f t="shared" si="87"/>
        <v>73.945428242952033</v>
      </c>
      <c r="Q116" s="22">
        <f t="shared" si="107"/>
        <v>674.35101952314142</v>
      </c>
      <c r="R116" s="62">
        <f t="shared" si="55"/>
        <v>954.9963256520291</v>
      </c>
      <c r="S116" s="62">
        <f ca="1">AVERAGE(OFFSET($R$3,0,0,'Données projet'!$E$9+1,1))-AVERAGE(OFFSET($H$3,0,0,'Données projet'!$E$9+1,1))</f>
        <v>551.36480098497589</v>
      </c>
      <c r="T116" s="62">
        <f t="shared" si="88"/>
        <v>297.32483725004136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-1.1368683772161603E-13</v>
      </c>
      <c r="AJ116" s="14">
        <f>AI116*VLOOKUP('Données projet'!$B$10,Paramètres!$A$1:$I$89,3,0)*VLOOKUP('Données projet'!$B$10,Paramètres!$A$1:$I$89,5,0)</f>
        <v>-6.7984728957526396E-14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388.30126110099434</v>
      </c>
      <c r="AO116" s="62">
        <f t="shared" si="90"/>
        <v>390.81417197867495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-1.1368683772161603E-13</v>
      </c>
      <c r="BE116" s="14">
        <f>BD116*VLOOKUP('Données projet'!$B$11,Paramètres!$A$1:$I$89,3,0)*VLOOKUP('Données projet'!$B$11,Paramètres!$A$1:$I$89,5,0)</f>
        <v>-9.7543306765146564E-14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475.48669758994771</v>
      </c>
      <c r="BJ116" s="62">
        <f t="shared" si="92"/>
        <v>249.93713224442419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-4.5474735088646412E-13</v>
      </c>
      <c r="BZ116" s="14">
        <f>BY116*VLOOKUP('Données projet'!$B$12,Paramètres!$A$1:$I$89,3,0)*VLOOKUP('Données projet'!$B$12,Paramètres!$A$1:$I$89,5,0)</f>
        <v>-2.9085640562698243E-13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420.47368055225792</v>
      </c>
      <c r="CE116" s="62">
        <f t="shared" si="94"/>
        <v>372.56045490833549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4.9000000000000004</v>
      </c>
      <c r="N117" s="14">
        <f>IF('Données projet'!$A$36&gt;35,N116+M117-V116,IF(A117&lt;'Données projet'!$A$36,$K$205^A117,IF(A117='Données projet'!$A$36,'Données projet'!$B$36,N116+M117-V116)))</f>
        <v>351.09999999999997</v>
      </c>
      <c r="O117" s="14">
        <f>N117*VLOOKUP('Données projet'!$B$9,Paramètres!$A$1:$I$89,3,0)*VLOOKUP('Données projet'!$B$9,Paramètres!$A$1:$I$89,5,0)</f>
        <v>317.67527999999999</v>
      </c>
      <c r="P117" s="14">
        <f t="shared" si="87"/>
        <v>74.869445387304125</v>
      </c>
      <c r="Q117" s="22">
        <f t="shared" si="107"/>
        <v>683.68206338288792</v>
      </c>
      <c r="R117" s="62">
        <f t="shared" si="55"/>
        <v>964.54747841759331</v>
      </c>
      <c r="S117" s="62">
        <f ca="1">AVERAGE(OFFSET($R$3,0,0,'Données projet'!$E$9+1,1))-AVERAGE(OFFSET($H$3,0,0,'Données projet'!$E$9+1,1))</f>
        <v>551.36480098497589</v>
      </c>
      <c r="T117" s="62">
        <f t="shared" si="88"/>
        <v>297.32483725004136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-1.1368683772161603E-13</v>
      </c>
      <c r="AJ117" s="14">
        <f>AI117*VLOOKUP('Données projet'!$B$10,Paramètres!$A$1:$I$89,3,0)*VLOOKUP('Données projet'!$B$10,Paramètres!$A$1:$I$89,5,0)</f>
        <v>-6.7984728957526396E-14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388.30126110099434</v>
      </c>
      <c r="AO117" s="62">
        <f t="shared" si="90"/>
        <v>390.81417197867495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-1.1368683772161603E-13</v>
      </c>
      <c r="BE117" s="14">
        <f>BD117*VLOOKUP('Données projet'!$B$11,Paramètres!$A$1:$I$89,3,0)*VLOOKUP('Données projet'!$B$11,Paramètres!$A$1:$I$89,5,0)</f>
        <v>-9.7543306765146564E-14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475.48669758994771</v>
      </c>
      <c r="BJ117" s="62">
        <f t="shared" si="92"/>
        <v>249.93713224442419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-4.5474735088646412E-13</v>
      </c>
      <c r="BZ117" s="14">
        <f>BY117*VLOOKUP('Données projet'!$B$12,Paramètres!$A$1:$I$89,3,0)*VLOOKUP('Données projet'!$B$12,Paramètres!$A$1:$I$89,5,0)</f>
        <v>-2.9085640562698243E-13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420.47368055225792</v>
      </c>
      <c r="CE117" s="62">
        <f t="shared" si="94"/>
        <v>372.56045490833549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356</v>
      </c>
      <c r="L118" s="13">
        <f>VLOOKUP(A118,'Données projet'!$A$35:$I$55,9,0)</f>
        <v>4.9000000000000004</v>
      </c>
      <c r="M118" s="13">
        <f t="array" ref="M118">INDEX(L:L,MIN(IF(ISNUMBER(L118:L314),ROW(L118:L314),"")))</f>
        <v>4.9000000000000004</v>
      </c>
      <c r="N118" s="14">
        <f>IF('Données projet'!$A$36&gt;35,N117+M118-V117,IF(A118&lt;'Données projet'!$A$36,$K$205^A118,IF(A118='Données projet'!$A$36,'Données projet'!$B$36,N117+M118-V117)))</f>
        <v>355.99999999999994</v>
      </c>
      <c r="O118" s="14">
        <f>N118*VLOOKUP('Données projet'!$B$9,Paramètres!$A$1:$I$89,3,0)*VLOOKUP('Données projet'!$B$9,Paramètres!$A$1:$I$89,5,0)</f>
        <v>322.10879999999997</v>
      </c>
      <c r="P118" s="14">
        <f t="shared" si="87"/>
        <v>75.791962638025268</v>
      </c>
      <c r="Q118" s="22">
        <f t="shared" si="107"/>
        <v>693.01049492789389</v>
      </c>
      <c r="R118" s="62">
        <f t="shared" si="55"/>
        <v>974.0922004709912</v>
      </c>
      <c r="S118" s="62">
        <f ca="1">AVERAGE(OFFSET($R$3,0,0,'Données projet'!$E$9+1,1))-AVERAGE(OFFSET($H$3,0,0,'Données projet'!$E$9+1,1))</f>
        <v>551.36480098497589</v>
      </c>
      <c r="T118" s="62">
        <f t="shared" si="88"/>
        <v>297.32483725004136</v>
      </c>
      <c r="U118" s="16">
        <f>IF(ISNA(VLOOKUP(A118,'Données projet'!$A$35:$I$55,3,0)),0,VLOOKUP(A118,'Données projet'!$A$35:$I$55,3,0))</f>
        <v>10</v>
      </c>
      <c r="V118" s="16">
        <f>IF(ISNA(VLOOKUP(A118,'Données projet'!$A$35:$I$55,4,0)),0,VLOOKUP(A118,'Données projet'!$A$35:$I$55,4,0))</f>
        <v>49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-1.1368683772161603E-13</v>
      </c>
      <c r="AJ118" s="14">
        <f>AI118*VLOOKUP('Données projet'!$B$10,Paramètres!$A$1:$I$89,3,0)*VLOOKUP('Données projet'!$B$10,Paramètres!$A$1:$I$89,5,0)</f>
        <v>-6.7984728957526396E-14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388.30126110099434</v>
      </c>
      <c r="AO118" s="62">
        <f t="shared" si="90"/>
        <v>390.81417197867495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-1.1368683772161603E-13</v>
      </c>
      <c r="BE118" s="14">
        <f>BD118*VLOOKUP('Données projet'!$B$11,Paramètres!$A$1:$I$89,3,0)*VLOOKUP('Données projet'!$B$11,Paramètres!$A$1:$I$89,5,0)</f>
        <v>-9.7543306765146564E-14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475.48669758994771</v>
      </c>
      <c r="BJ118" s="62">
        <f t="shared" si="92"/>
        <v>249.93713224442419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-4.5474735088646412E-13</v>
      </c>
      <c r="BZ118" s="14">
        <f>BY118*VLOOKUP('Données projet'!$B$12,Paramètres!$A$1:$I$89,3,0)*VLOOKUP('Données projet'!$B$12,Paramètres!$A$1:$I$89,5,0)</f>
        <v>-2.9085640562698243E-13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420.47368055225792</v>
      </c>
      <c r="CE118" s="62">
        <f t="shared" si="94"/>
        <v>372.56045490833549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4.2</v>
      </c>
      <c r="N119" s="14">
        <f>IF('Données projet'!$A$36&gt;35,N118+M119-V118,IF(A119&lt;'Données projet'!$A$36,$K$205^A119,IF(A119='Données projet'!$A$36,'Données projet'!$B$36,N118+M119-V118)))</f>
        <v>311.19999999999993</v>
      </c>
      <c r="O119" s="14">
        <f>N119*VLOOKUP('Données projet'!$B$9,Paramètres!$A$1:$I$89,3,0)*VLOOKUP('Données projet'!$B$9,Paramètres!$A$1:$I$89,5,0)</f>
        <v>281.57375999999994</v>
      </c>
      <c r="P119" s="14">
        <f t="shared" si="87"/>
        <v>67.299481043334993</v>
      </c>
      <c r="Q119" s="22">
        <f t="shared" si="107"/>
        <v>607.62089481714168</v>
      </c>
      <c r="R119" s="62">
        <f t="shared" si="55"/>
        <v>888.91513871186316</v>
      </c>
      <c r="S119" s="62">
        <f ca="1">AVERAGE(OFFSET($R$3,0,0,'Données projet'!$E$9+1,1))-AVERAGE(OFFSET($H$3,0,0,'Données projet'!$E$9+1,1))</f>
        <v>551.36480098497589</v>
      </c>
      <c r="T119" s="62">
        <f t="shared" si="88"/>
        <v>297.32483725004136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-1.1368683772161603E-13</v>
      </c>
      <c r="AJ119" s="14">
        <f>AI119*VLOOKUP('Données projet'!$B$10,Paramètres!$A$1:$I$89,3,0)*VLOOKUP('Données projet'!$B$10,Paramètres!$A$1:$I$89,5,0)</f>
        <v>-6.7984728957526396E-14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388.30126110099434</v>
      </c>
      <c r="AO119" s="62">
        <f t="shared" si="90"/>
        <v>390.81417197867495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-1.1368683772161603E-13</v>
      </c>
      <c r="BE119" s="14">
        <f>BD119*VLOOKUP('Données projet'!$B$11,Paramètres!$A$1:$I$89,3,0)*VLOOKUP('Données projet'!$B$11,Paramètres!$A$1:$I$89,5,0)</f>
        <v>-9.7543306765146564E-14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475.48669758994771</v>
      </c>
      <c r="BJ119" s="62">
        <f t="shared" si="92"/>
        <v>249.93713224442419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-4.5474735088646412E-13</v>
      </c>
      <c r="BZ119" s="14">
        <f>BY119*VLOOKUP('Données projet'!$B$12,Paramètres!$A$1:$I$89,3,0)*VLOOKUP('Données projet'!$B$12,Paramètres!$A$1:$I$89,5,0)</f>
        <v>-2.9085640562698243E-13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420.47368055225792</v>
      </c>
      <c r="CE119" s="62">
        <f t="shared" si="94"/>
        <v>372.56045490833549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4.2</v>
      </c>
      <c r="N120" s="14">
        <f>IF('Données projet'!$A$36&gt;35,N119+M120-V119,IF(A120&lt;'Données projet'!$A$36,$K$205^A120,IF(A120='Données projet'!$A$36,'Données projet'!$B$36,N119+M120-V119)))</f>
        <v>315.39999999999992</v>
      </c>
      <c r="O120" s="14">
        <f>N120*VLOOKUP('Données projet'!$B$9,Paramètres!$A$1:$I$89,3,0)*VLOOKUP('Données projet'!$B$9,Paramètres!$A$1:$I$89,5,0)</f>
        <v>285.37391999999988</v>
      </c>
      <c r="P120" s="14">
        <f t="shared" si="87"/>
        <v>68.101413083167643</v>
      </c>
      <c r="Q120" s="22">
        <f t="shared" si="107"/>
        <v>615.63620511985016</v>
      </c>
      <c r="R120" s="62">
        <f t="shared" si="55"/>
        <v>897.1393003009598</v>
      </c>
      <c r="S120" s="62">
        <f ca="1">AVERAGE(OFFSET($R$3,0,0,'Données projet'!$E$9+1,1))-AVERAGE(OFFSET($H$3,0,0,'Données projet'!$E$9+1,1))</f>
        <v>551.36480098497589</v>
      </c>
      <c r="T120" s="62">
        <f t="shared" si="88"/>
        <v>297.32483725004136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-1.1368683772161603E-13</v>
      </c>
      <c r="AJ120" s="14">
        <f>AI120*VLOOKUP('Données projet'!$B$10,Paramètres!$A$1:$I$89,3,0)*VLOOKUP('Données projet'!$B$10,Paramètres!$A$1:$I$89,5,0)</f>
        <v>-6.7984728957526396E-14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388.30126110099434</v>
      </c>
      <c r="AO120" s="62">
        <f t="shared" si="90"/>
        <v>390.81417197867495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-1.1368683772161603E-13</v>
      </c>
      <c r="BE120" s="14">
        <f>BD120*VLOOKUP('Données projet'!$B$11,Paramètres!$A$1:$I$89,3,0)*VLOOKUP('Données projet'!$B$11,Paramètres!$A$1:$I$89,5,0)</f>
        <v>-9.7543306765146564E-14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475.48669758994771</v>
      </c>
      <c r="BJ120" s="62">
        <f t="shared" si="92"/>
        <v>249.93713224442419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-4.5474735088646412E-13</v>
      </c>
      <c r="BZ120" s="14">
        <f>BY120*VLOOKUP('Données projet'!$B$12,Paramètres!$A$1:$I$89,3,0)*VLOOKUP('Données projet'!$B$12,Paramètres!$A$1:$I$89,5,0)</f>
        <v>-2.9085640562698243E-13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420.47368055225792</v>
      </c>
      <c r="CE120" s="62">
        <f t="shared" si="94"/>
        <v>372.56045490833549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4.2</v>
      </c>
      <c r="N121" s="14">
        <f>IF('Données projet'!$A$36&gt;35,N120+M121-V120,IF(A121&lt;'Données projet'!$A$36,$K$205^A121,IF(A121='Données projet'!$A$36,'Données projet'!$B$36,N120+M121-V120)))</f>
        <v>319.59999999999991</v>
      </c>
      <c r="O121" s="14">
        <f>N121*VLOOKUP('Données projet'!$B$9,Paramètres!$A$1:$I$89,3,0)*VLOOKUP('Données projet'!$B$9,Paramètres!$A$1:$I$89,5,0)</f>
        <v>289.17407999999989</v>
      </c>
      <c r="P121" s="14">
        <f t="shared" si="87"/>
        <v>68.902103026957676</v>
      </c>
      <c r="Q121" s="22">
        <f t="shared" si="107"/>
        <v>623.64935210528438</v>
      </c>
      <c r="R121" s="62">
        <f t="shared" si="55"/>
        <v>905.35767546988473</v>
      </c>
      <c r="S121" s="62">
        <f ca="1">AVERAGE(OFFSET($R$3,0,0,'Données projet'!$E$9+1,1))-AVERAGE(OFFSET($H$3,0,0,'Données projet'!$E$9+1,1))</f>
        <v>551.36480098497589</v>
      </c>
      <c r="T121" s="62">
        <f t="shared" si="88"/>
        <v>297.32483725004136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-1.1368683772161603E-13</v>
      </c>
      <c r="AJ121" s="14">
        <f>AI121*VLOOKUP('Données projet'!$B$10,Paramètres!$A$1:$I$89,3,0)*VLOOKUP('Données projet'!$B$10,Paramètres!$A$1:$I$89,5,0)</f>
        <v>-6.7984728957526396E-14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388.30126110099434</v>
      </c>
      <c r="AO121" s="62">
        <f t="shared" si="90"/>
        <v>390.81417197867495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-1.1368683772161603E-13</v>
      </c>
      <c r="BE121" s="14">
        <f>BD121*VLOOKUP('Données projet'!$B$11,Paramètres!$A$1:$I$89,3,0)*VLOOKUP('Données projet'!$B$11,Paramètres!$A$1:$I$89,5,0)</f>
        <v>-9.7543306765146564E-14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475.48669758994771</v>
      </c>
      <c r="BJ121" s="62">
        <f t="shared" si="92"/>
        <v>249.93713224442419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-4.5474735088646412E-13</v>
      </c>
      <c r="BZ121" s="14">
        <f>BY121*VLOOKUP('Données projet'!$B$12,Paramètres!$A$1:$I$89,3,0)*VLOOKUP('Données projet'!$B$12,Paramètres!$A$1:$I$89,5,0)</f>
        <v>-2.9085640562698243E-13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420.47368055225792</v>
      </c>
      <c r="CE121" s="62">
        <f t="shared" si="94"/>
        <v>372.56045490833549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4.2</v>
      </c>
      <c r="N122" s="14">
        <f>IF('Données projet'!$A$36&gt;35,N121+M122-V121,IF(A122&lt;'Données projet'!$A$36,$K$205^A122,IF(A122='Données projet'!$A$36,'Données projet'!$B$36,N121+M122-V121)))</f>
        <v>323.7999999999999</v>
      </c>
      <c r="O122" s="14">
        <f>N122*VLOOKUP('Données projet'!$B$9,Paramètres!$A$1:$I$89,3,0)*VLOOKUP('Données projet'!$B$9,Paramètres!$A$1:$I$89,5,0)</f>
        <v>292.9742399999999</v>
      </c>
      <c r="P122" s="14">
        <f t="shared" si="87"/>
        <v>69.701569084730806</v>
      </c>
      <c r="Q122" s="22">
        <f t="shared" si="107"/>
        <v>631.66036748923932</v>
      </c>
      <c r="R122" s="62">
        <f t="shared" si="55"/>
        <v>913.57035878716852</v>
      </c>
      <c r="S122" s="62">
        <f ca="1">AVERAGE(OFFSET($R$3,0,0,'Données projet'!$E$9+1,1))-AVERAGE(OFFSET($H$3,0,0,'Données projet'!$E$9+1,1))</f>
        <v>551.36480098497589</v>
      </c>
      <c r="T122" s="62">
        <f t="shared" si="88"/>
        <v>297.32483725004136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-1.1368683772161603E-13</v>
      </c>
      <c r="AJ122" s="14">
        <f>AI122*VLOOKUP('Données projet'!$B$10,Paramètres!$A$1:$I$89,3,0)*VLOOKUP('Données projet'!$B$10,Paramètres!$A$1:$I$89,5,0)</f>
        <v>-6.7984728957526396E-14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388.30126110099434</v>
      </c>
      <c r="AO122" s="62">
        <f t="shared" si="90"/>
        <v>390.81417197867495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-1.1368683772161603E-13</v>
      </c>
      <c r="BE122" s="14">
        <f>BD122*VLOOKUP('Données projet'!$B$11,Paramètres!$A$1:$I$89,3,0)*VLOOKUP('Données projet'!$B$11,Paramètres!$A$1:$I$89,5,0)</f>
        <v>-9.7543306765146564E-14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475.48669758994771</v>
      </c>
      <c r="BJ122" s="62">
        <f t="shared" si="92"/>
        <v>249.93713224442419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-4.5474735088646412E-13</v>
      </c>
      <c r="BZ122" s="14">
        <f>BY122*VLOOKUP('Données projet'!$B$12,Paramètres!$A$1:$I$89,3,0)*VLOOKUP('Données projet'!$B$12,Paramètres!$A$1:$I$89,5,0)</f>
        <v>-2.9085640562698243E-13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420.47368055225792</v>
      </c>
      <c r="CE122" s="62">
        <f t="shared" si="94"/>
        <v>372.56045490833549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4.2</v>
      </c>
      <c r="N123" s="14">
        <f>IF('Données projet'!$A$36&gt;35,N122+M123-V122,IF(A123&lt;'Données projet'!$A$36,$K$205^A123,IF(A123='Données projet'!$A$36,'Données projet'!$B$36,N122+M123-V122)))</f>
        <v>327.99999999999989</v>
      </c>
      <c r="O123" s="14">
        <f>N123*VLOOKUP('Données projet'!$B$9,Paramètres!$A$1:$I$89,3,0)*VLOOKUP('Données projet'!$B$9,Paramètres!$A$1:$I$89,5,0)</f>
        <v>296.7743999999999</v>
      </c>
      <c r="P123" s="14">
        <f t="shared" si="87"/>
        <v>70.499828966950673</v>
      </c>
      <c r="Q123" s="22">
        <f t="shared" si="107"/>
        <v>639.6692821174388</v>
      </c>
      <c r="R123" s="62">
        <f t="shared" si="55"/>
        <v>921.77744286091547</v>
      </c>
      <c r="S123" s="62">
        <f ca="1">AVERAGE(OFFSET($R$3,0,0,'Données projet'!$E$9+1,1))-AVERAGE(OFFSET($H$3,0,0,'Données projet'!$E$9+1,1))</f>
        <v>551.36480098497589</v>
      </c>
      <c r="T123" s="62">
        <f t="shared" si="88"/>
        <v>297.32483725004136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-1.1368683772161603E-13</v>
      </c>
      <c r="AJ123" s="14">
        <f>AI123*VLOOKUP('Données projet'!$B$10,Paramètres!$A$1:$I$89,3,0)*VLOOKUP('Données projet'!$B$10,Paramètres!$A$1:$I$89,5,0)</f>
        <v>-6.7984728957526396E-14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388.30126110099434</v>
      </c>
      <c r="AO123" s="62">
        <f t="shared" si="90"/>
        <v>390.81417197867495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-1.1368683772161603E-13</v>
      </c>
      <c r="BE123" s="14">
        <f>BD123*VLOOKUP('Données projet'!$B$11,Paramètres!$A$1:$I$89,3,0)*VLOOKUP('Données projet'!$B$11,Paramètres!$A$1:$I$89,5,0)</f>
        <v>-9.7543306765146564E-14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475.48669758994771</v>
      </c>
      <c r="BJ123" s="62">
        <f t="shared" si="92"/>
        <v>249.93713224442419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-4.5474735088646412E-13</v>
      </c>
      <c r="BZ123" s="14">
        <f>BY123*VLOOKUP('Données projet'!$B$12,Paramètres!$A$1:$I$89,3,0)*VLOOKUP('Données projet'!$B$12,Paramètres!$A$1:$I$89,5,0)</f>
        <v>-2.9085640562698243E-13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420.47368055225792</v>
      </c>
      <c r="CE123" s="62">
        <f t="shared" si="94"/>
        <v>372.56045490833549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4.2</v>
      </c>
      <c r="N124" s="14">
        <f>IF('Données projet'!$A$36&gt;35,N123+M124-V123,IF(A124&lt;'Données projet'!$A$36,$K$205^A124,IF(A124='Données projet'!$A$36,'Données projet'!$B$36,N123+M124-V123)))</f>
        <v>332.19999999999987</v>
      </c>
      <c r="O124" s="14">
        <f>N124*VLOOKUP('Données projet'!$B$9,Paramètres!$A$1:$I$89,3,0)*VLOOKUP('Données projet'!$B$9,Paramètres!$A$1:$I$89,5,0)</f>
        <v>300.57455999999985</v>
      </c>
      <c r="P124" s="14">
        <f t="shared" si="87"/>
        <v>71.296899904441815</v>
      </c>
      <c r="Q124" s="22">
        <f t="shared" si="107"/>
        <v>647.67612600023597</v>
      </c>
      <c r="R124" s="62">
        <f t="shared" si="55"/>
        <v>929.97901839242036</v>
      </c>
      <c r="S124" s="62">
        <f ca="1">AVERAGE(OFFSET($R$3,0,0,'Données projet'!$E$9+1,1))-AVERAGE(OFFSET($H$3,0,0,'Données projet'!$E$9+1,1))</f>
        <v>551.36480098497589</v>
      </c>
      <c r="T124" s="62">
        <f t="shared" si="88"/>
        <v>297.32483725004136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-1.1368683772161603E-13</v>
      </c>
      <c r="AJ124" s="14">
        <f>AI124*VLOOKUP('Données projet'!$B$10,Paramètres!$A$1:$I$89,3,0)*VLOOKUP('Données projet'!$B$10,Paramètres!$A$1:$I$89,5,0)</f>
        <v>-6.7984728957526396E-14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388.30126110099434</v>
      </c>
      <c r="AO124" s="62">
        <f t="shared" si="90"/>
        <v>390.81417197867495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>
        <f>BD124*VLOOKUP('Données projet'!$B$11,Paramètres!$A$1:$I$89,3,0)*VLOOKUP('Données projet'!$B$11,Paramètres!$A$1:$I$89,5,0)</f>
        <v>-9.7543306765146564E-14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475.48669758994771</v>
      </c>
      <c r="BJ124" s="62">
        <f t="shared" si="92"/>
        <v>249.93713224442419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-4.5474735088646412E-13</v>
      </c>
      <c r="BZ124" s="14">
        <f>BY124*VLOOKUP('Données projet'!$B$12,Paramètres!$A$1:$I$89,3,0)*VLOOKUP('Données projet'!$B$12,Paramètres!$A$1:$I$89,5,0)</f>
        <v>-2.9085640562698243E-13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420.47368055225792</v>
      </c>
      <c r="CE124" s="62">
        <f t="shared" si="94"/>
        <v>372.56045490833549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4.2</v>
      </c>
      <c r="N125" s="14">
        <f>IF('Données projet'!$A$36&gt;35,N124+M125-V124,IF(A125&lt;'Données projet'!$A$36,$K$205^A125,IF(A125='Données projet'!$A$36,'Données projet'!$B$36,N124+M125-V124)))</f>
        <v>336.39999999999986</v>
      </c>
      <c r="O125" s="14">
        <f>N125*VLOOKUP('Données projet'!$B$9,Paramètres!$A$1:$I$89,3,0)*VLOOKUP('Données projet'!$B$9,Paramètres!$A$1:$I$89,5,0)</f>
        <v>304.37471999999985</v>
      </c>
      <c r="P125" s="14">
        <f t="shared" si="87"/>
        <v>72.092798667275062</v>
      </c>
      <c r="Q125" s="22">
        <f t="shared" si="107"/>
        <v>655.68092834550373</v>
      </c>
      <c r="R125" s="62">
        <f t="shared" si="55"/>
        <v>938.17517422764558</v>
      </c>
      <c r="S125" s="62">
        <f ca="1">AVERAGE(OFFSET($R$3,0,0,'Données projet'!$E$9+1,1))-AVERAGE(OFFSET($H$3,0,0,'Données projet'!$E$9+1,1))</f>
        <v>551.36480098497589</v>
      </c>
      <c r="T125" s="62">
        <f t="shared" si="88"/>
        <v>297.32483725004136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-1.1368683772161603E-13</v>
      </c>
      <c r="AJ125" s="14">
        <f>AI125*VLOOKUP('Données projet'!$B$10,Paramètres!$A$1:$I$89,3,0)*VLOOKUP('Données projet'!$B$10,Paramètres!$A$1:$I$89,5,0)</f>
        <v>-6.7984728957526396E-14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388.30126110099434</v>
      </c>
      <c r="AO125" s="62">
        <f t="shared" si="90"/>
        <v>390.81417197867495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>
        <f>BD125*VLOOKUP('Données projet'!$B$11,Paramètres!$A$1:$I$89,3,0)*VLOOKUP('Données projet'!$B$11,Paramètres!$A$1:$I$89,5,0)</f>
        <v>-9.7543306765146564E-14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475.48669758994771</v>
      </c>
      <c r="BJ125" s="62">
        <f t="shared" si="92"/>
        <v>249.93713224442419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-4.5474735088646412E-13</v>
      </c>
      <c r="BZ125" s="14">
        <f>BY125*VLOOKUP('Données projet'!$B$12,Paramètres!$A$1:$I$89,3,0)*VLOOKUP('Données projet'!$B$12,Paramètres!$A$1:$I$89,5,0)</f>
        <v>-2.9085640562698243E-13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420.47368055225792</v>
      </c>
      <c r="CE125" s="62">
        <f t="shared" si="94"/>
        <v>372.56045490833549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4.2</v>
      </c>
      <c r="N126" s="14">
        <f>IF('Données projet'!$A$36&gt;35,N125+M126-V125,IF(A126&lt;'Données projet'!$A$36,$K$205^A126,IF(A126='Données projet'!$A$36,'Données projet'!$B$36,N125+M126-V125)))</f>
        <v>340.59999999999985</v>
      </c>
      <c r="O126" s="14">
        <f>N126*VLOOKUP('Données projet'!$B$9,Paramètres!$A$1:$I$89,3,0)*VLOOKUP('Données projet'!$B$9,Paramètres!$A$1:$I$89,5,0)</f>
        <v>308.17487999999986</v>
      </c>
      <c r="P126" s="14">
        <f t="shared" si="87"/>
        <v>72.887541582684676</v>
      </c>
      <c r="Q126" s="22">
        <f t="shared" si="107"/>
        <v>663.6837175898421</v>
      </c>
      <c r="R126" s="62">
        <f t="shared" si="55"/>
        <v>946.36599740669271</v>
      </c>
      <c r="S126" s="62">
        <f ca="1">AVERAGE(OFFSET($R$3,0,0,'Données projet'!$E$9+1,1))-AVERAGE(OFFSET($H$3,0,0,'Données projet'!$E$9+1,1))</f>
        <v>551.36480098497589</v>
      </c>
      <c r="T126" s="62">
        <f t="shared" si="88"/>
        <v>297.32483725004136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-1.1368683772161603E-13</v>
      </c>
      <c r="AJ126" s="14">
        <f>AI126*VLOOKUP('Données projet'!$B$10,Paramètres!$A$1:$I$89,3,0)*VLOOKUP('Données projet'!$B$10,Paramètres!$A$1:$I$89,5,0)</f>
        <v>-6.7984728957526396E-14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388.30126110099434</v>
      </c>
      <c r="AO126" s="62">
        <f t="shared" si="90"/>
        <v>390.81417197867495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>
        <f>BD126*VLOOKUP('Données projet'!$B$11,Paramètres!$A$1:$I$89,3,0)*VLOOKUP('Données projet'!$B$11,Paramètres!$A$1:$I$89,5,0)</f>
        <v>-9.7543306765146564E-14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475.48669758994771</v>
      </c>
      <c r="BJ126" s="62">
        <f t="shared" si="92"/>
        <v>249.93713224442419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-4.5474735088646412E-13</v>
      </c>
      <c r="BZ126" s="14">
        <f>BY126*VLOOKUP('Données projet'!$B$12,Paramètres!$A$1:$I$89,3,0)*VLOOKUP('Données projet'!$B$12,Paramètres!$A$1:$I$89,5,0)</f>
        <v>-2.9085640562698243E-13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420.47368055225792</v>
      </c>
      <c r="CE126" s="62">
        <f t="shared" si="94"/>
        <v>372.56045490833549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4.2</v>
      </c>
      <c r="N127" s="14">
        <f>IF('Données projet'!$A$36&gt;35,N126+M127-V126,IF(A127&lt;'Données projet'!$A$36,$K$205^A127,IF(A127='Données projet'!$A$36,'Données projet'!$B$36,N126+M127-V126)))</f>
        <v>344.79999999999984</v>
      </c>
      <c r="O127" s="14">
        <f>N127*VLOOKUP('Données projet'!$B$9,Paramètres!$A$1:$I$89,3,0)*VLOOKUP('Données projet'!$B$9,Paramètres!$A$1:$I$89,5,0)</f>
        <v>311.97503999999986</v>
      </c>
      <c r="P127" s="14">
        <f t="shared" si="87"/>
        <v>73.681144552074599</v>
      </c>
      <c r="Q127" s="22">
        <f t="shared" si="107"/>
        <v>671.68452142819626</v>
      </c>
      <c r="R127" s="62">
        <f t="shared" si="55"/>
        <v>954.5515732113696</v>
      </c>
      <c r="S127" s="62">
        <f ca="1">AVERAGE(OFFSET($R$3,0,0,'Données projet'!$E$9+1,1))-AVERAGE(OFFSET($H$3,0,0,'Données projet'!$E$9+1,1))</f>
        <v>551.36480098497589</v>
      </c>
      <c r="T127" s="62">
        <f t="shared" si="88"/>
        <v>297.32483725004136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-1.1368683772161603E-13</v>
      </c>
      <c r="AJ127" s="14">
        <f>AI127*VLOOKUP('Données projet'!$B$10,Paramètres!$A$1:$I$89,3,0)*VLOOKUP('Données projet'!$B$10,Paramètres!$A$1:$I$89,5,0)</f>
        <v>-6.7984728957526396E-14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388.30126110099434</v>
      </c>
      <c r="AO127" s="62">
        <f t="shared" si="90"/>
        <v>390.81417197867495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>
        <f>BD127*VLOOKUP('Données projet'!$B$11,Paramètres!$A$1:$I$89,3,0)*VLOOKUP('Données projet'!$B$11,Paramètres!$A$1:$I$89,5,0)</f>
        <v>-9.7543306765146564E-14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475.48669758994771</v>
      </c>
      <c r="BJ127" s="62">
        <f t="shared" si="92"/>
        <v>249.93713224442419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-4.5474735088646412E-13</v>
      </c>
      <c r="BZ127" s="14">
        <f>BY127*VLOOKUP('Données projet'!$B$12,Paramètres!$A$1:$I$89,3,0)*VLOOKUP('Données projet'!$B$12,Paramètres!$A$1:$I$89,5,0)</f>
        <v>-2.9085640562698243E-13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420.47368055225792</v>
      </c>
      <c r="CE127" s="62">
        <f t="shared" si="94"/>
        <v>372.56045490833549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349</v>
      </c>
      <c r="L128" s="13">
        <f>VLOOKUP(A128,'Données projet'!$A$35:$I$55,9,0)</f>
        <v>4.2</v>
      </c>
      <c r="M128" s="13">
        <f t="array" ref="M128">INDEX(L:L,MIN(IF(ISNUMBER(L128:L324),ROW(L128:L324),"")))</f>
        <v>4.2</v>
      </c>
      <c r="N128" s="14">
        <f>IF('Données projet'!$A$36&gt;35,N127+M128-V127,IF(A128&lt;'Données projet'!$A$36,$K$205^A128,IF(A128='Données projet'!$A$36,'Données projet'!$B$36,N127+M128-V127)))</f>
        <v>348.99999999999983</v>
      </c>
      <c r="O128" s="14">
        <f>N128*VLOOKUP('Données projet'!$B$9,Paramètres!$A$1:$I$89,3,0)*VLOOKUP('Données projet'!$B$9,Paramètres!$A$1:$I$89,5,0)</f>
        <v>315.77519999999981</v>
      </c>
      <c r="P128" s="14">
        <f t="shared" si="87"/>
        <v>74.473623067174003</v>
      </c>
      <c r="Q128" s="22">
        <f t="shared" si="107"/>
        <v>679.68336684199437</v>
      </c>
      <c r="R128" s="62">
        <f t="shared" si="55"/>
        <v>962.73198521096288</v>
      </c>
      <c r="S128" s="62">
        <f ca="1">AVERAGE(OFFSET($R$3,0,0,'Données projet'!$E$9+1,1))-AVERAGE(OFFSET($H$3,0,0,'Données projet'!$E$9+1,1))</f>
        <v>551.36480098497589</v>
      </c>
      <c r="T128" s="62">
        <f t="shared" si="88"/>
        <v>297.32483725004136</v>
      </c>
      <c r="U128" s="16">
        <f>IF(ISNA(VLOOKUP(A128,'Données projet'!$A$35:$I$55,3,0)),0,VLOOKUP(A128,'Données projet'!$A$35:$I$55,3,0))</f>
        <v>11</v>
      </c>
      <c r="V128" s="16">
        <f>IF(ISNA(VLOOKUP(A128,'Données projet'!$A$35:$I$55,4,0)),0,VLOOKUP(A128,'Données projet'!$A$35:$I$55,4,0))</f>
        <v>45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-1.1368683772161603E-13</v>
      </c>
      <c r="AJ128" s="14">
        <f>AI128*VLOOKUP('Données projet'!$B$10,Paramètres!$A$1:$I$89,3,0)*VLOOKUP('Données projet'!$B$10,Paramètres!$A$1:$I$89,5,0)</f>
        <v>-6.7984728957526396E-14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388.30126110099434</v>
      </c>
      <c r="AO128" s="62">
        <f t="shared" si="90"/>
        <v>390.81417197867495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>
        <f>BD128*VLOOKUP('Données projet'!$B$11,Paramètres!$A$1:$I$89,3,0)*VLOOKUP('Données projet'!$B$11,Paramètres!$A$1:$I$89,5,0)</f>
        <v>-9.7543306765146564E-14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475.48669758994771</v>
      </c>
      <c r="BJ128" s="62">
        <f t="shared" si="92"/>
        <v>249.93713224442419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-4.5474735088646412E-13</v>
      </c>
      <c r="BZ128" s="14">
        <f>BY128*VLOOKUP('Données projet'!$B$12,Paramètres!$A$1:$I$89,3,0)*VLOOKUP('Données projet'!$B$12,Paramètres!$A$1:$I$89,5,0)</f>
        <v>-2.9085640562698243E-13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420.47368055225792</v>
      </c>
      <c r="CE128" s="62">
        <f t="shared" si="94"/>
        <v>372.56045490833549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4</v>
      </c>
      <c r="N129" s="14">
        <f>IF('Données projet'!$A$36&gt;35,N128+M129-V128,IF(A129&lt;'Données projet'!$A$36,$K$205^A129,IF(A129='Données projet'!$A$36,'Données projet'!$B$36,N128+M129-V128)))</f>
        <v>307.99999999999983</v>
      </c>
      <c r="O129" s="14">
        <f>N129*VLOOKUP('Données projet'!$B$9,Paramètres!$A$1:$I$89,3,0)*VLOOKUP('Données projet'!$B$9,Paramètres!$A$1:$I$89,5,0)</f>
        <v>278.67839999999984</v>
      </c>
      <c r="P129" s="14">
        <f t="shared" si="87"/>
        <v>66.687639951856738</v>
      </c>
      <c r="Q129" s="22">
        <f t="shared" si="107"/>
        <v>601.51251958281682</v>
      </c>
      <c r="R129" s="62">
        <f t="shared" si="55"/>
        <v>884.73955476323908</v>
      </c>
      <c r="S129" s="62">
        <f ca="1">AVERAGE(OFFSET($R$3,0,0,'Données projet'!$E$9+1,1))-AVERAGE(OFFSET($H$3,0,0,'Données projet'!$E$9+1,1))</f>
        <v>551.36480098497589</v>
      </c>
      <c r="T129" s="62">
        <f t="shared" si="88"/>
        <v>297.32483725004136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-1.1368683772161603E-13</v>
      </c>
      <c r="AJ129" s="14">
        <f>AI129*VLOOKUP('Données projet'!$B$10,Paramètres!$A$1:$I$89,3,0)*VLOOKUP('Données projet'!$B$10,Paramètres!$A$1:$I$89,5,0)</f>
        <v>-6.7984728957526396E-14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388.30126110099434</v>
      </c>
      <c r="AO129" s="62">
        <f t="shared" si="90"/>
        <v>390.81417197867495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>
        <f>BD129*VLOOKUP('Données projet'!$B$11,Paramètres!$A$1:$I$89,3,0)*VLOOKUP('Données projet'!$B$11,Paramètres!$A$1:$I$89,5,0)</f>
        <v>-9.7543306765146564E-14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475.48669758994771</v>
      </c>
      <c r="BJ129" s="62">
        <f t="shared" si="92"/>
        <v>249.93713224442419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-4.5474735088646412E-13</v>
      </c>
      <c r="BZ129" s="14">
        <f>BY129*VLOOKUP('Données projet'!$B$12,Paramètres!$A$1:$I$89,3,0)*VLOOKUP('Données projet'!$B$12,Paramètres!$A$1:$I$89,5,0)</f>
        <v>-2.9085640562698243E-13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420.47368055225792</v>
      </c>
      <c r="CE129" s="62">
        <f t="shared" si="94"/>
        <v>372.56045490833549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4</v>
      </c>
      <c r="N130" s="14">
        <f>IF('Données projet'!$A$36&gt;35,N129+M130-V129,IF(A130&lt;'Données projet'!$A$36,$K$205^A130,IF(A130='Données projet'!$A$36,'Données projet'!$B$36,N129+M130-V129)))</f>
        <v>311.99999999999983</v>
      </c>
      <c r="O130" s="14">
        <f>N130*VLOOKUP('Données projet'!$B$9,Paramètres!$A$1:$I$89,3,0)*VLOOKUP('Données projet'!$B$9,Paramètres!$A$1:$I$89,5,0)</f>
        <v>282.29759999999982</v>
      </c>
      <c r="P130" s="14">
        <f t="shared" si="87"/>
        <v>67.452326629470107</v>
      </c>
      <c r="Q130" s="22">
        <f t="shared" si="107"/>
        <v>609.1477888796602</v>
      </c>
      <c r="R130" s="62">
        <f t="shared" si="55"/>
        <v>892.55014573873768</v>
      </c>
      <c r="S130" s="62">
        <f ca="1">AVERAGE(OFFSET($R$3,0,0,'Données projet'!$E$9+1,1))-AVERAGE(OFFSET($H$3,0,0,'Données projet'!$E$9+1,1))</f>
        <v>551.36480098497589</v>
      </c>
      <c r="T130" s="62">
        <f t="shared" si="88"/>
        <v>297.32483725004136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-1.1368683772161603E-13</v>
      </c>
      <c r="AJ130" s="14">
        <f>AI130*VLOOKUP('Données projet'!$B$10,Paramètres!$A$1:$I$89,3,0)*VLOOKUP('Données projet'!$B$10,Paramètres!$A$1:$I$89,5,0)</f>
        <v>-6.7984728957526396E-14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388.30126110099434</v>
      </c>
      <c r="AO130" s="62">
        <f t="shared" si="90"/>
        <v>390.81417197867495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>
        <f>BD130*VLOOKUP('Données projet'!$B$11,Paramètres!$A$1:$I$89,3,0)*VLOOKUP('Données projet'!$B$11,Paramètres!$A$1:$I$89,5,0)</f>
        <v>-9.7543306765146564E-14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475.48669758994771</v>
      </c>
      <c r="BJ130" s="62">
        <f t="shared" si="92"/>
        <v>249.93713224442419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-4.5474735088646412E-13</v>
      </c>
      <c r="BZ130" s="14">
        <f>BY130*VLOOKUP('Données projet'!$B$12,Paramètres!$A$1:$I$89,3,0)*VLOOKUP('Données projet'!$B$12,Paramètres!$A$1:$I$89,5,0)</f>
        <v>-2.9085640562698243E-13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420.47368055225792</v>
      </c>
      <c r="CE130" s="62">
        <f t="shared" si="94"/>
        <v>372.56045490833549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4</v>
      </c>
      <c r="N131" s="14">
        <f>IF('Données projet'!$A$36&gt;35,N130+M131-V130,IF(A131&lt;'Données projet'!$A$36,$K$205^A131,IF(A131='Données projet'!$A$36,'Données projet'!$B$36,N130+M131-V130)))</f>
        <v>315.99999999999983</v>
      </c>
      <c r="O131" s="14">
        <f>N131*VLOOKUP('Données projet'!$B$9,Paramètres!$A$1:$I$89,3,0)*VLOOKUP('Données projet'!$B$9,Paramètres!$A$1:$I$89,5,0)</f>
        <v>285.91679999999985</v>
      </c>
      <c r="P131" s="14">
        <f t="shared" si="87"/>
        <v>68.215872977287475</v>
      </c>
      <c r="Q131" s="22">
        <f t="shared" ref="Q131:Q153" si="108">(O131+P131)*0.475*44/12</f>
        <v>616.78107210210862</v>
      </c>
      <c r="R131" s="62">
        <f t="shared" ref="R131:R194" si="109">Q131+(I131+J131)*44/12</f>
        <v>900.35570920067721</v>
      </c>
      <c r="S131" s="62">
        <f ca="1">AVERAGE(OFFSET($R$3,0,0,'Données projet'!$E$9+1,1))-AVERAGE(OFFSET($H$3,0,0,'Données projet'!$E$9+1,1))</f>
        <v>551.36480098497589</v>
      </c>
      <c r="T131" s="62">
        <f t="shared" si="88"/>
        <v>297.32483725004136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-1.1368683772161603E-13</v>
      </c>
      <c r="AJ131" s="14">
        <f>AI131*VLOOKUP('Données projet'!$B$10,Paramètres!$A$1:$I$89,3,0)*VLOOKUP('Données projet'!$B$10,Paramètres!$A$1:$I$89,5,0)</f>
        <v>-6.7984728957526396E-14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388.30126110099434</v>
      </c>
      <c r="AO131" s="62">
        <f t="shared" si="90"/>
        <v>390.81417197867495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>
        <f>BD131*VLOOKUP('Données projet'!$B$11,Paramètres!$A$1:$I$89,3,0)*VLOOKUP('Données projet'!$B$11,Paramètres!$A$1:$I$89,5,0)</f>
        <v>-9.7543306765146564E-14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475.48669758994771</v>
      </c>
      <c r="BJ131" s="62">
        <f t="shared" si="92"/>
        <v>249.93713224442419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-4.5474735088646412E-13</v>
      </c>
      <c r="BZ131" s="14">
        <f>BY131*VLOOKUP('Données projet'!$B$12,Paramètres!$A$1:$I$89,3,0)*VLOOKUP('Données projet'!$B$12,Paramètres!$A$1:$I$89,5,0)</f>
        <v>-2.9085640562698243E-13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420.47368055225792</v>
      </c>
      <c r="CE131" s="62">
        <f t="shared" si="94"/>
        <v>372.56045490833549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4</v>
      </c>
      <c r="N132" s="14">
        <f>IF('Données projet'!$A$36&gt;35,N131+M132-V131,IF(A132&lt;'Données projet'!$A$36,$K$205^A132,IF(A132='Données projet'!$A$36,'Données projet'!$B$36,N131+M132-V131)))</f>
        <v>319.99999999999983</v>
      </c>
      <c r="O132" s="14">
        <f>N132*VLOOKUP('Données projet'!$B$9,Paramètres!$A$1:$I$89,3,0)*VLOOKUP('Données projet'!$B$9,Paramètres!$A$1:$I$89,5,0)</f>
        <v>289.53599999999983</v>
      </c>
      <c r="P132" s="14">
        <f t="shared" si="87"/>
        <v>68.97829509904436</v>
      </c>
      <c r="Q132" s="22">
        <f t="shared" si="108"/>
        <v>624.41239729750191</v>
      </c>
      <c r="R132" s="62">
        <f t="shared" si="109"/>
        <v>908.15632595856732</v>
      </c>
      <c r="S132" s="62">
        <f ca="1">AVERAGE(OFFSET($R$3,0,0,'Données projet'!$E$9+1,1))-AVERAGE(OFFSET($H$3,0,0,'Données projet'!$E$9+1,1))</f>
        <v>551.36480098497589</v>
      </c>
      <c r="T132" s="62">
        <f t="shared" si="88"/>
        <v>297.32483725004136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-1.1368683772161603E-13</v>
      </c>
      <c r="AJ132" s="14">
        <f>AI132*VLOOKUP('Données projet'!$B$10,Paramètres!$A$1:$I$89,3,0)*VLOOKUP('Données projet'!$B$10,Paramètres!$A$1:$I$89,5,0)</f>
        <v>-6.7984728957526396E-14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388.30126110099434</v>
      </c>
      <c r="AO132" s="62">
        <f t="shared" si="90"/>
        <v>390.81417197867495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>
        <f>BD132*VLOOKUP('Données projet'!$B$11,Paramètres!$A$1:$I$89,3,0)*VLOOKUP('Données projet'!$B$11,Paramètres!$A$1:$I$89,5,0)</f>
        <v>-9.7543306765146564E-14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475.48669758994771</v>
      </c>
      <c r="BJ132" s="62">
        <f t="shared" si="92"/>
        <v>249.93713224442419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-4.5474735088646412E-13</v>
      </c>
      <c r="BZ132" s="14">
        <f>BY132*VLOOKUP('Données projet'!$B$12,Paramètres!$A$1:$I$89,3,0)*VLOOKUP('Données projet'!$B$12,Paramètres!$A$1:$I$89,5,0)</f>
        <v>-2.9085640562698243E-13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420.47368055225792</v>
      </c>
      <c r="CE132" s="62">
        <f t="shared" si="94"/>
        <v>372.56045490833549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4</v>
      </c>
      <c r="N133" s="14">
        <f>IF('Données projet'!$A$36&gt;35,N132+M133-V132,IF(A133&lt;'Données projet'!$A$36,$K$205^A133,IF(A133='Données projet'!$A$36,'Données projet'!$B$36,N132+M133-V132)))</f>
        <v>323.99999999999983</v>
      </c>
      <c r="O133" s="14">
        <f>N133*VLOOKUP('Données projet'!$B$9,Paramètres!$A$1:$I$89,3,0)*VLOOKUP('Données projet'!$B$9,Paramètres!$A$1:$I$89,5,0)</f>
        <v>293.15519999999987</v>
      </c>
      <c r="P133" s="14">
        <f t="shared" ref="P133:P196" si="141">EXP(-1.0587+0.8836*LN(O133)+0.284)</f>
        <v>69.739608672728551</v>
      </c>
      <c r="Q133" s="22">
        <f t="shared" si="108"/>
        <v>632.0417917716685</v>
      </c>
      <c r="R133" s="62">
        <f t="shared" si="109"/>
        <v>915.95207516510061</v>
      </c>
      <c r="S133" s="62">
        <f ca="1">AVERAGE(OFFSET($R$3,0,0,'Données projet'!$E$9+1,1))-AVERAGE(OFFSET($H$3,0,0,'Données projet'!$E$9+1,1))</f>
        <v>551.36480098497589</v>
      </c>
      <c r="T133" s="62">
        <f t="shared" ref="T133:T196" si="142">$T$3</f>
        <v>297.32483725004136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-1.1368683772161603E-13</v>
      </c>
      <c r="AJ133" s="14">
        <f>AI133*VLOOKUP('Données projet'!$B$10,Paramètres!$A$1:$I$89,3,0)*VLOOKUP('Données projet'!$B$10,Paramètres!$A$1:$I$89,5,0)</f>
        <v>-6.7984728957526396E-14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388.30126110099434</v>
      </c>
      <c r="AO133" s="62">
        <f t="shared" ref="AO133:AO196" si="144">$AO$3</f>
        <v>390.81417197867495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>
        <f>BD133*VLOOKUP('Données projet'!$B$11,Paramètres!$A$1:$I$89,3,0)*VLOOKUP('Données projet'!$B$11,Paramètres!$A$1:$I$89,5,0)</f>
        <v>-9.7543306765146564E-14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475.48669758994771</v>
      </c>
      <c r="BJ133" s="62">
        <f t="shared" ref="BJ133:BJ196" si="146">$BJ$3</f>
        <v>249.93713224442419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-4.5474735088646412E-13</v>
      </c>
      <c r="BZ133" s="14">
        <f>BY133*VLOOKUP('Données projet'!$B$12,Paramètres!$A$1:$I$89,3,0)*VLOOKUP('Données projet'!$B$12,Paramètres!$A$1:$I$89,5,0)</f>
        <v>-2.9085640562698243E-13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420.47368055225792</v>
      </c>
      <c r="CE133" s="62">
        <f t="shared" ref="CE133:CE196" si="148">$CE$3</f>
        <v>372.56045490833549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4</v>
      </c>
      <c r="N134" s="14">
        <f>IF('Données projet'!$A$36&gt;35,N133+M134-V133,IF(A134&lt;'Données projet'!$A$36,$K$205^A134,IF(A134='Données projet'!$A$36,'Données projet'!$B$36,N133+M134-V133)))</f>
        <v>327.99999999999983</v>
      </c>
      <c r="O134" s="14">
        <f>N134*VLOOKUP('Données projet'!$B$9,Paramètres!$A$1:$I$89,3,0)*VLOOKUP('Données projet'!$B$9,Paramètres!$A$1:$I$89,5,0)</f>
        <v>296.77439999999984</v>
      </c>
      <c r="P134" s="14">
        <f t="shared" si="141"/>
        <v>70.499828966950673</v>
      </c>
      <c r="Q134" s="22">
        <f t="shared" si="108"/>
        <v>639.6692821174388</v>
      </c>
      <c r="R134" s="62">
        <f t="shared" si="109"/>
        <v>923.74303436054447</v>
      </c>
      <c r="S134" s="62">
        <f ca="1">AVERAGE(OFFSET($R$3,0,0,'Données projet'!$E$9+1,1))-AVERAGE(OFFSET($H$3,0,0,'Données projet'!$E$9+1,1))</f>
        <v>551.36480098497589</v>
      </c>
      <c r="T134" s="62">
        <f t="shared" si="142"/>
        <v>297.32483725004136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-1.1368683772161603E-13</v>
      </c>
      <c r="AJ134" s="14">
        <f>AI134*VLOOKUP('Données projet'!$B$10,Paramètres!$A$1:$I$89,3,0)*VLOOKUP('Données projet'!$B$10,Paramètres!$A$1:$I$89,5,0)</f>
        <v>-6.7984728957526396E-14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388.30126110099434</v>
      </c>
      <c r="AO134" s="62">
        <f t="shared" si="144"/>
        <v>390.81417197867495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>
        <f>BD134*VLOOKUP('Données projet'!$B$11,Paramètres!$A$1:$I$89,3,0)*VLOOKUP('Données projet'!$B$11,Paramètres!$A$1:$I$89,5,0)</f>
        <v>-9.7543306765146564E-14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475.48669758994771</v>
      </c>
      <c r="BJ134" s="62">
        <f t="shared" si="146"/>
        <v>249.93713224442419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-4.5474735088646412E-13</v>
      </c>
      <c r="BZ134" s="14">
        <f>BY134*VLOOKUP('Données projet'!$B$12,Paramètres!$A$1:$I$89,3,0)*VLOOKUP('Données projet'!$B$12,Paramètres!$A$1:$I$89,5,0)</f>
        <v>-2.9085640562698243E-13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420.47368055225792</v>
      </c>
      <c r="CE134" s="62">
        <f t="shared" si="148"/>
        <v>372.56045490833549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4</v>
      </c>
      <c r="N135" s="14">
        <f>IF('Données projet'!$A$36&gt;35,N134+M135-V134,IF(A135&lt;'Données projet'!$A$36,$K$205^A135,IF(A135='Données projet'!$A$36,'Données projet'!$B$36,N134+M135-V134)))</f>
        <v>331.99999999999983</v>
      </c>
      <c r="O135" s="14">
        <f>N135*VLOOKUP('Données projet'!$B$9,Paramètres!$A$1:$I$89,3,0)*VLOOKUP('Données projet'!$B$9,Paramètres!$A$1:$I$89,5,0)</f>
        <v>300.39359999999982</v>
      </c>
      <c r="P135" s="14">
        <f t="shared" si="141"/>
        <v>71.258970856492667</v>
      </c>
      <c r="Q135" s="22">
        <f t="shared" si="108"/>
        <v>647.29489424172436</v>
      </c>
      <c r="R135" s="62">
        <f t="shared" si="109"/>
        <v>931.52927951542347</v>
      </c>
      <c r="S135" s="62">
        <f ca="1">AVERAGE(OFFSET($R$3,0,0,'Données projet'!$E$9+1,1))-AVERAGE(OFFSET($H$3,0,0,'Données projet'!$E$9+1,1))</f>
        <v>551.36480098497589</v>
      </c>
      <c r="T135" s="62">
        <f t="shared" si="142"/>
        <v>297.32483725004136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-1.1368683772161603E-13</v>
      </c>
      <c r="AJ135" s="14">
        <f>AI135*VLOOKUP('Données projet'!$B$10,Paramètres!$A$1:$I$89,3,0)*VLOOKUP('Données projet'!$B$10,Paramètres!$A$1:$I$89,5,0)</f>
        <v>-6.7984728957526396E-14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388.30126110099434</v>
      </c>
      <c r="AO135" s="62">
        <f t="shared" si="144"/>
        <v>390.81417197867495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>
        <f>BD135*VLOOKUP('Données projet'!$B$11,Paramètres!$A$1:$I$89,3,0)*VLOOKUP('Données projet'!$B$11,Paramètres!$A$1:$I$89,5,0)</f>
        <v>-9.7543306765146564E-14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475.48669758994771</v>
      </c>
      <c r="BJ135" s="62">
        <f t="shared" si="146"/>
        <v>249.93713224442419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-4.5474735088646412E-13</v>
      </c>
      <c r="BZ135" s="14">
        <f>BY135*VLOOKUP('Données projet'!$B$12,Paramètres!$A$1:$I$89,3,0)*VLOOKUP('Données projet'!$B$12,Paramètres!$A$1:$I$89,5,0)</f>
        <v>-2.9085640562698243E-13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420.47368055225792</v>
      </c>
      <c r="CE135" s="62">
        <f t="shared" si="148"/>
        <v>372.56045490833549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4</v>
      </c>
      <c r="N136" s="14">
        <f>IF('Données projet'!$A$36&gt;35,N135+M136-V135,IF(A136&lt;'Données projet'!$A$36,$K$205^A136,IF(A136='Données projet'!$A$36,'Données projet'!$B$36,N135+M136-V135)))</f>
        <v>335.99999999999983</v>
      </c>
      <c r="O136" s="14">
        <f>N136*VLOOKUP('Données projet'!$B$9,Paramètres!$A$1:$I$89,3,0)*VLOOKUP('Données projet'!$B$9,Paramètres!$A$1:$I$89,5,0)</f>
        <v>304.0127999999998</v>
      </c>
      <c r="P136" s="14">
        <f t="shared" si="141"/>
        <v>72.017048837085824</v>
      </c>
      <c r="Q136" s="22">
        <f t="shared" si="108"/>
        <v>654.91865339125741</v>
      </c>
      <c r="R136" s="62">
        <f t="shared" si="109"/>
        <v>939.31088507159075</v>
      </c>
      <c r="S136" s="62">
        <f ca="1">AVERAGE(OFFSET($R$3,0,0,'Données projet'!$E$9+1,1))-AVERAGE(OFFSET($H$3,0,0,'Données projet'!$E$9+1,1))</f>
        <v>551.36480098497589</v>
      </c>
      <c r="T136" s="62">
        <f t="shared" si="142"/>
        <v>297.32483725004136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-1.1368683772161603E-13</v>
      </c>
      <c r="AJ136" s="14">
        <f>AI136*VLOOKUP('Données projet'!$B$10,Paramètres!$A$1:$I$89,3,0)*VLOOKUP('Données projet'!$B$10,Paramètres!$A$1:$I$89,5,0)</f>
        <v>-6.7984728957526396E-14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388.30126110099434</v>
      </c>
      <c r="AO136" s="62">
        <f t="shared" si="144"/>
        <v>390.81417197867495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>
        <f>BD136*VLOOKUP('Données projet'!$B$11,Paramètres!$A$1:$I$89,3,0)*VLOOKUP('Données projet'!$B$11,Paramètres!$A$1:$I$89,5,0)</f>
        <v>-9.7543306765146564E-14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475.48669758994771</v>
      </c>
      <c r="BJ136" s="62">
        <f t="shared" si="146"/>
        <v>249.93713224442419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-4.5474735088646412E-13</v>
      </c>
      <c r="BZ136" s="14">
        <f>BY136*VLOOKUP('Données projet'!$B$12,Paramètres!$A$1:$I$89,3,0)*VLOOKUP('Données projet'!$B$12,Paramètres!$A$1:$I$89,5,0)</f>
        <v>-2.9085640562698243E-13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420.47368055225792</v>
      </c>
      <c r="CE136" s="62">
        <f t="shared" si="148"/>
        <v>372.56045490833549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4</v>
      </c>
      <c r="N137" s="14">
        <f>IF('Données projet'!$A$36&gt;35,N136+M137-V136,IF(A137&lt;'Données projet'!$A$36,$K$205^A137,IF(A137='Données projet'!$A$36,'Données projet'!$B$36,N136+M137-V136)))</f>
        <v>339.99999999999983</v>
      </c>
      <c r="O137" s="14">
        <f>N137*VLOOKUP('Données projet'!$B$9,Paramètres!$A$1:$I$89,3,0)*VLOOKUP('Données projet'!$B$9,Paramètres!$A$1:$I$89,5,0)</f>
        <v>307.63199999999983</v>
      </c>
      <c r="P137" s="14">
        <f t="shared" si="141"/>
        <v>72.774077039465496</v>
      </c>
      <c r="Q137" s="22">
        <f t="shared" si="108"/>
        <v>662.54058417706881</v>
      </c>
      <c r="R137" s="62">
        <f t="shared" si="109"/>
        <v>947.08792398177309</v>
      </c>
      <c r="S137" s="62">
        <f ca="1">AVERAGE(OFFSET($R$3,0,0,'Données projet'!$E$9+1,1))-AVERAGE(OFFSET($H$3,0,0,'Données projet'!$E$9+1,1))</f>
        <v>551.36480098497589</v>
      </c>
      <c r="T137" s="62">
        <f t="shared" si="142"/>
        <v>297.32483725004136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-1.1368683772161603E-13</v>
      </c>
      <c r="AJ137" s="14">
        <f>AI137*VLOOKUP('Données projet'!$B$10,Paramètres!$A$1:$I$89,3,0)*VLOOKUP('Données projet'!$B$10,Paramètres!$A$1:$I$89,5,0)</f>
        <v>-6.7984728957526396E-14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388.30126110099434</v>
      </c>
      <c r="AO137" s="62">
        <f t="shared" si="144"/>
        <v>390.81417197867495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>
        <f>BD137*VLOOKUP('Données projet'!$B$11,Paramètres!$A$1:$I$89,3,0)*VLOOKUP('Données projet'!$B$11,Paramètres!$A$1:$I$89,5,0)</f>
        <v>-9.7543306765146564E-14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475.48669758994771</v>
      </c>
      <c r="BJ137" s="62">
        <f t="shared" si="146"/>
        <v>249.93713224442419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-4.5474735088646412E-13</v>
      </c>
      <c r="BZ137" s="14">
        <f>BY137*VLOOKUP('Données projet'!$B$12,Paramètres!$A$1:$I$89,3,0)*VLOOKUP('Données projet'!$B$12,Paramètres!$A$1:$I$89,5,0)</f>
        <v>-2.9085640562698243E-13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420.47368055225792</v>
      </c>
      <c r="CE137" s="62">
        <f t="shared" si="148"/>
        <v>372.56045490833549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344</v>
      </c>
      <c r="L138" s="13">
        <f>VLOOKUP(A138,'Données projet'!$A$35:$I$55,9,0)</f>
        <v>4</v>
      </c>
      <c r="M138" s="13">
        <f t="array" ref="M138">INDEX(L:L,MIN(IF(ISNUMBER(L138:L334),ROW(L138:L334),"")))</f>
        <v>4</v>
      </c>
      <c r="N138" s="14">
        <f>IF('Données projet'!$A$36&gt;35,N137+M138-V137,IF(A138&lt;'Données projet'!$A$36,$K$205^A138,IF(A138='Données projet'!$A$36,'Données projet'!$B$36,N137+M138-V137)))</f>
        <v>343.99999999999983</v>
      </c>
      <c r="O138" s="14">
        <f>N138*VLOOKUP('Données projet'!$B$9,Paramètres!$A$1:$I$89,3,0)*VLOOKUP('Données projet'!$B$9,Paramètres!$A$1:$I$89,5,0)</f>
        <v>311.25119999999987</v>
      </c>
      <c r="P138" s="14">
        <f t="shared" si="141"/>
        <v>73.530069242745043</v>
      </c>
      <c r="Q138" s="22">
        <f t="shared" si="108"/>
        <v>670.16071059778062</v>
      </c>
      <c r="R138" s="62">
        <f t="shared" si="109"/>
        <v>954.86046774766783</v>
      </c>
      <c r="S138" s="62">
        <f ca="1">AVERAGE(OFFSET($R$3,0,0,'Données projet'!$E$9+1,1))-AVERAGE(OFFSET($H$3,0,0,'Données projet'!$E$9+1,1))</f>
        <v>551.36480098497589</v>
      </c>
      <c r="T138" s="62">
        <f t="shared" si="142"/>
        <v>297.32483725004136</v>
      </c>
      <c r="U138" s="16">
        <f>IF(ISNA(VLOOKUP(A138,'Données projet'!$A$35:$I$55,3,0)),0,VLOOKUP(A138,'Données projet'!$A$35:$I$55,3,0))</f>
        <v>12</v>
      </c>
      <c r="V138" s="16">
        <f>IF(ISNA(VLOOKUP(A138,'Données projet'!$A$35:$I$55,4,0)),0,VLOOKUP(A138,'Données projet'!$A$35:$I$55,4,0))</f>
        <v>43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-1.1368683772161603E-13</v>
      </c>
      <c r="AJ138" s="14">
        <f>AI138*VLOOKUP('Données projet'!$B$10,Paramètres!$A$1:$I$89,3,0)*VLOOKUP('Données projet'!$B$10,Paramètres!$A$1:$I$89,5,0)</f>
        <v>-6.7984728957526396E-14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388.30126110099434</v>
      </c>
      <c r="AO138" s="62">
        <f t="shared" si="144"/>
        <v>390.81417197867495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>
        <f>BD138*VLOOKUP('Données projet'!$B$11,Paramètres!$A$1:$I$89,3,0)*VLOOKUP('Données projet'!$B$11,Paramètres!$A$1:$I$89,5,0)</f>
        <v>-9.7543306765146564E-14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475.48669758994771</v>
      </c>
      <c r="BJ138" s="62">
        <f t="shared" si="146"/>
        <v>249.93713224442419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-4.5474735088646412E-13</v>
      </c>
      <c r="BZ138" s="14">
        <f>BY138*VLOOKUP('Données projet'!$B$12,Paramètres!$A$1:$I$89,3,0)*VLOOKUP('Données projet'!$B$12,Paramètres!$A$1:$I$89,5,0)</f>
        <v>-2.9085640562698243E-13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420.47368055225792</v>
      </c>
      <c r="CE138" s="62">
        <f t="shared" si="148"/>
        <v>372.56045490833549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3.6</v>
      </c>
      <c r="N139" s="14">
        <f>IF('Données projet'!$A$36&gt;35,N138+M139-V138,IF(A139&lt;'Données projet'!$A$36,$K$205^A139,IF(A139='Données projet'!$A$36,'Données projet'!$B$36,N138+M139-V138)))</f>
        <v>304.59999999999985</v>
      </c>
      <c r="O139" s="14">
        <f>N139*VLOOKUP('Données projet'!$B$9,Paramètres!$A$1:$I$89,3,0)*VLOOKUP('Données projet'!$B$9,Paramètres!$A$1:$I$89,5,0)</f>
        <v>275.60207999999983</v>
      </c>
      <c r="P139" s="14">
        <f t="shared" si="141"/>
        <v>66.036747345007257</v>
      </c>
      <c r="Q139" s="22">
        <f t="shared" si="108"/>
        <v>595.02095762588738</v>
      </c>
      <c r="R139" s="62">
        <f t="shared" si="109"/>
        <v>879.87048802077265</v>
      </c>
      <c r="S139" s="62">
        <f ca="1">AVERAGE(OFFSET($R$3,0,0,'Données projet'!$E$9+1,1))-AVERAGE(OFFSET($H$3,0,0,'Données projet'!$E$9+1,1))</f>
        <v>551.36480098497589</v>
      </c>
      <c r="T139" s="62">
        <f t="shared" si="142"/>
        <v>297.32483725004136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-1.1368683772161603E-13</v>
      </c>
      <c r="AJ139" s="14">
        <f>AI139*VLOOKUP('Données projet'!$B$10,Paramètres!$A$1:$I$89,3,0)*VLOOKUP('Données projet'!$B$10,Paramètres!$A$1:$I$89,5,0)</f>
        <v>-6.7984728957526396E-14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388.30126110099434</v>
      </c>
      <c r="AO139" s="62">
        <f t="shared" si="144"/>
        <v>390.81417197867495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>
        <f>BD139*VLOOKUP('Données projet'!$B$11,Paramètres!$A$1:$I$89,3,0)*VLOOKUP('Données projet'!$B$11,Paramètres!$A$1:$I$89,5,0)</f>
        <v>-9.7543306765146564E-14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475.48669758994771</v>
      </c>
      <c r="BJ139" s="62">
        <f t="shared" si="146"/>
        <v>249.93713224442419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-4.5474735088646412E-13</v>
      </c>
      <c r="BZ139" s="14">
        <f>BY139*VLOOKUP('Données projet'!$B$12,Paramètres!$A$1:$I$89,3,0)*VLOOKUP('Données projet'!$B$12,Paramètres!$A$1:$I$89,5,0)</f>
        <v>-2.9085640562698243E-13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420.47368055225792</v>
      </c>
      <c r="CE139" s="62">
        <f t="shared" si="148"/>
        <v>372.56045490833549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3.6</v>
      </c>
      <c r="N140" s="14">
        <f>IF('Données projet'!$A$36&gt;35,N139+M140-V139,IF(A140&lt;'Données projet'!$A$36,$K$205^A140,IF(A140='Données projet'!$A$36,'Données projet'!$B$36,N139+M140-V139)))</f>
        <v>308.19999999999987</v>
      </c>
      <c r="O140" s="14">
        <f>N140*VLOOKUP('Données projet'!$B$9,Paramètres!$A$1:$I$89,3,0)*VLOOKUP('Données projet'!$B$9,Paramètres!$A$1:$I$89,5,0)</f>
        <v>278.85935999999987</v>
      </c>
      <c r="P140" s="14">
        <f t="shared" si="141"/>
        <v>66.725901622172387</v>
      </c>
      <c r="Q140" s="22">
        <f t="shared" si="108"/>
        <v>601.8943306586167</v>
      </c>
      <c r="R140" s="62">
        <f t="shared" si="109"/>
        <v>886.89103606754202</v>
      </c>
      <c r="S140" s="62">
        <f ca="1">AVERAGE(OFFSET($R$3,0,0,'Données projet'!$E$9+1,1))-AVERAGE(OFFSET($H$3,0,0,'Données projet'!$E$9+1,1))</f>
        <v>551.36480098497589</v>
      </c>
      <c r="T140" s="62">
        <f t="shared" si="142"/>
        <v>297.32483725004136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-1.1368683772161603E-13</v>
      </c>
      <c r="AJ140" s="14">
        <f>AI140*VLOOKUP('Données projet'!$B$10,Paramètres!$A$1:$I$89,3,0)*VLOOKUP('Données projet'!$B$10,Paramètres!$A$1:$I$89,5,0)</f>
        <v>-6.7984728957526396E-14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388.30126110099434</v>
      </c>
      <c r="AO140" s="62">
        <f t="shared" si="144"/>
        <v>390.81417197867495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>
        <f>BD140*VLOOKUP('Données projet'!$B$11,Paramètres!$A$1:$I$89,3,0)*VLOOKUP('Données projet'!$B$11,Paramètres!$A$1:$I$89,5,0)</f>
        <v>-9.7543306765146564E-14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475.48669758994771</v>
      </c>
      <c r="BJ140" s="62">
        <f t="shared" si="146"/>
        <v>249.93713224442419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-4.5474735088646412E-13</v>
      </c>
      <c r="BZ140" s="14">
        <f>BY140*VLOOKUP('Données projet'!$B$12,Paramètres!$A$1:$I$89,3,0)*VLOOKUP('Données projet'!$B$12,Paramètres!$A$1:$I$89,5,0)</f>
        <v>-2.9085640562698243E-13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420.47368055225792</v>
      </c>
      <c r="CE140" s="62">
        <f t="shared" si="148"/>
        <v>372.56045490833549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3.6</v>
      </c>
      <c r="N141" s="14">
        <f>IF('Données projet'!$A$36&gt;35,N140+M141-V140,IF(A141&lt;'Données projet'!$A$36,$K$205^A141,IF(A141='Données projet'!$A$36,'Données projet'!$B$36,N140+M141-V140)))</f>
        <v>311.7999999999999</v>
      </c>
      <c r="O141" s="14">
        <f>N141*VLOOKUP('Données projet'!$B$9,Paramètres!$A$1:$I$89,3,0)*VLOOKUP('Données projet'!$B$9,Paramètres!$A$1:$I$89,5,0)</f>
        <v>282.1166399999999</v>
      </c>
      <c r="P141" s="14">
        <f t="shared" si="141"/>
        <v>67.414119514142243</v>
      </c>
      <c r="Q141" s="22">
        <f t="shared" si="108"/>
        <v>608.76607282046416</v>
      </c>
      <c r="R141" s="62">
        <f t="shared" si="109"/>
        <v>893.90740008597004</v>
      </c>
      <c r="S141" s="62">
        <f ca="1">AVERAGE(OFFSET($R$3,0,0,'Données projet'!$E$9+1,1))-AVERAGE(OFFSET($H$3,0,0,'Données projet'!$E$9+1,1))</f>
        <v>551.36480098497589</v>
      </c>
      <c r="T141" s="62">
        <f t="shared" si="142"/>
        <v>297.32483725004136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-1.1368683772161603E-13</v>
      </c>
      <c r="AJ141" s="14">
        <f>AI141*VLOOKUP('Données projet'!$B$10,Paramètres!$A$1:$I$89,3,0)*VLOOKUP('Données projet'!$B$10,Paramètres!$A$1:$I$89,5,0)</f>
        <v>-6.7984728957526396E-14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388.30126110099434</v>
      </c>
      <c r="AO141" s="62">
        <f t="shared" si="144"/>
        <v>390.81417197867495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>
        <f>BD141*VLOOKUP('Données projet'!$B$11,Paramètres!$A$1:$I$89,3,0)*VLOOKUP('Données projet'!$B$11,Paramètres!$A$1:$I$89,5,0)</f>
        <v>-9.7543306765146564E-14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475.48669758994771</v>
      </c>
      <c r="BJ141" s="62">
        <f t="shared" si="146"/>
        <v>249.93713224442419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-4.5474735088646412E-13</v>
      </c>
      <c r="BZ141" s="14">
        <f>BY141*VLOOKUP('Données projet'!$B$12,Paramètres!$A$1:$I$89,3,0)*VLOOKUP('Données projet'!$B$12,Paramètres!$A$1:$I$89,5,0)</f>
        <v>-2.9085640562698243E-13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420.47368055225792</v>
      </c>
      <c r="CE141" s="62">
        <f t="shared" si="148"/>
        <v>372.56045490833549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3.6</v>
      </c>
      <c r="N142" s="14">
        <f>IF('Données projet'!$A$36&gt;35,N141+M142-V141,IF(A142&lt;'Données projet'!$A$36,$K$205^A142,IF(A142='Données projet'!$A$36,'Données projet'!$B$36,N141+M142-V141)))</f>
        <v>315.39999999999992</v>
      </c>
      <c r="O142" s="14">
        <f>N142*VLOOKUP('Données projet'!$B$9,Paramètres!$A$1:$I$89,3,0)*VLOOKUP('Données projet'!$B$9,Paramètres!$A$1:$I$89,5,0)</f>
        <v>285.37391999999988</v>
      </c>
      <c r="P142" s="14">
        <f t="shared" si="141"/>
        <v>68.101413083167643</v>
      </c>
      <c r="Q142" s="22">
        <f t="shared" si="108"/>
        <v>615.63620511985016</v>
      </c>
      <c r="R142" s="62">
        <f t="shared" si="109"/>
        <v>900.91964537605099</v>
      </c>
      <c r="S142" s="62">
        <f ca="1">AVERAGE(OFFSET($R$3,0,0,'Données projet'!$E$9+1,1))-AVERAGE(OFFSET($H$3,0,0,'Données projet'!$E$9+1,1))</f>
        <v>551.36480098497589</v>
      </c>
      <c r="T142" s="62">
        <f t="shared" si="142"/>
        <v>297.32483725004136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-1.1368683772161603E-13</v>
      </c>
      <c r="AJ142" s="14">
        <f>AI142*VLOOKUP('Données projet'!$B$10,Paramètres!$A$1:$I$89,3,0)*VLOOKUP('Données projet'!$B$10,Paramètres!$A$1:$I$89,5,0)</f>
        <v>-6.7984728957526396E-14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388.30126110099434</v>
      </c>
      <c r="AO142" s="62">
        <f t="shared" si="144"/>
        <v>390.81417197867495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>
        <f>BD142*VLOOKUP('Données projet'!$B$11,Paramètres!$A$1:$I$89,3,0)*VLOOKUP('Données projet'!$B$11,Paramètres!$A$1:$I$89,5,0)</f>
        <v>-9.7543306765146564E-14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475.48669758994771</v>
      </c>
      <c r="BJ142" s="62">
        <f t="shared" si="146"/>
        <v>249.93713224442419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-4.5474735088646412E-13</v>
      </c>
      <c r="BZ142" s="14">
        <f>BY142*VLOOKUP('Données projet'!$B$12,Paramètres!$A$1:$I$89,3,0)*VLOOKUP('Données projet'!$B$12,Paramètres!$A$1:$I$89,5,0)</f>
        <v>-2.9085640562698243E-13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420.47368055225792</v>
      </c>
      <c r="CE142" s="62">
        <f t="shared" si="148"/>
        <v>372.56045490833549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3.6</v>
      </c>
      <c r="N143" s="14">
        <f>IF('Données projet'!$A$36&gt;35,N142+M143-V142,IF(A143&lt;'Données projet'!$A$36,$K$205^A143,IF(A143='Données projet'!$A$36,'Données projet'!$B$36,N142+M143-V142)))</f>
        <v>318.99999999999994</v>
      </c>
      <c r="O143" s="14">
        <f>N143*VLOOKUP('Données projet'!$B$9,Paramètres!$A$1:$I$89,3,0)*VLOOKUP('Données projet'!$B$9,Paramètres!$A$1:$I$89,5,0)</f>
        <v>288.63119999999992</v>
      </c>
      <c r="P143" s="14">
        <f t="shared" si="141"/>
        <v>68.787794100289204</v>
      </c>
      <c r="Q143" s="22">
        <f t="shared" si="108"/>
        <v>622.50474805800354</v>
      </c>
      <c r="R143" s="62">
        <f t="shared" si="109"/>
        <v>907.92783596222785</v>
      </c>
      <c r="S143" s="62">
        <f ca="1">AVERAGE(OFFSET($R$3,0,0,'Données projet'!$E$9+1,1))-AVERAGE(OFFSET($H$3,0,0,'Données projet'!$E$9+1,1))</f>
        <v>551.36480098497589</v>
      </c>
      <c r="T143" s="62">
        <f t="shared" si="142"/>
        <v>297.32483725004136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-1.1368683772161603E-13</v>
      </c>
      <c r="AJ143" s="14">
        <f>AI143*VLOOKUP('Données projet'!$B$10,Paramètres!$A$1:$I$89,3,0)*VLOOKUP('Données projet'!$B$10,Paramètres!$A$1:$I$89,5,0)</f>
        <v>-6.7984728957526396E-14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388.30126110099434</v>
      </c>
      <c r="AO143" s="62">
        <f t="shared" si="144"/>
        <v>390.81417197867495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>
        <f>BD143*VLOOKUP('Données projet'!$B$11,Paramètres!$A$1:$I$89,3,0)*VLOOKUP('Données projet'!$B$11,Paramètres!$A$1:$I$89,5,0)</f>
        <v>-9.7543306765146564E-14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475.48669758994771</v>
      </c>
      <c r="BJ143" s="62">
        <f t="shared" si="146"/>
        <v>249.93713224442419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-4.5474735088646412E-13</v>
      </c>
      <c r="BZ143" s="14">
        <f>BY143*VLOOKUP('Données projet'!$B$12,Paramètres!$A$1:$I$89,3,0)*VLOOKUP('Données projet'!$B$12,Paramètres!$A$1:$I$89,5,0)</f>
        <v>-2.9085640562698243E-13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420.47368055225792</v>
      </c>
      <c r="CE143" s="62">
        <f t="shared" si="148"/>
        <v>372.56045490833549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3.6</v>
      </c>
      <c r="N144" s="14">
        <f>IF('Données projet'!$A$36&gt;35,N143+M144-V143,IF(A144&lt;'Données projet'!$A$36,$K$205^A144,IF(A144='Données projet'!$A$36,'Données projet'!$B$36,N143+M144-V143)))</f>
        <v>322.59999999999997</v>
      </c>
      <c r="O144" s="14">
        <f>N144*VLOOKUP('Données projet'!$B$9,Paramètres!$A$1:$I$89,3,0)*VLOOKUP('Données projet'!$B$9,Paramètres!$A$1:$I$89,5,0)</f>
        <v>291.88847999999996</v>
      </c>
      <c r="P144" s="14">
        <f t="shared" si="141"/>
        <v>69.473274055573498</v>
      </c>
      <c r="Q144" s="22">
        <f t="shared" si="108"/>
        <v>629.37172164679032</v>
      </c>
      <c r="R144" s="62">
        <f t="shared" si="109"/>
        <v>914.9320346245504</v>
      </c>
      <c r="S144" s="62">
        <f ca="1">AVERAGE(OFFSET($R$3,0,0,'Données projet'!$E$9+1,1))-AVERAGE(OFFSET($H$3,0,0,'Données projet'!$E$9+1,1))</f>
        <v>551.36480098497589</v>
      </c>
      <c r="T144" s="62">
        <f t="shared" si="142"/>
        <v>297.32483725004136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-1.1368683772161603E-13</v>
      </c>
      <c r="AJ144" s="14">
        <f>AI144*VLOOKUP('Données projet'!$B$10,Paramètres!$A$1:$I$89,3,0)*VLOOKUP('Données projet'!$B$10,Paramètres!$A$1:$I$89,5,0)</f>
        <v>-6.7984728957526396E-14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388.30126110099434</v>
      </c>
      <c r="AO144" s="62">
        <f t="shared" si="144"/>
        <v>390.81417197867495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>
        <f>BD144*VLOOKUP('Données projet'!$B$11,Paramètres!$A$1:$I$89,3,0)*VLOOKUP('Données projet'!$B$11,Paramètres!$A$1:$I$89,5,0)</f>
        <v>-9.7543306765146564E-14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475.48669758994771</v>
      </c>
      <c r="BJ144" s="62">
        <f t="shared" si="146"/>
        <v>249.93713224442419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-4.5474735088646412E-13</v>
      </c>
      <c r="BZ144" s="14">
        <f>BY144*VLOOKUP('Données projet'!$B$12,Paramètres!$A$1:$I$89,3,0)*VLOOKUP('Données projet'!$B$12,Paramètres!$A$1:$I$89,5,0)</f>
        <v>-2.9085640562698243E-13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420.47368055225792</v>
      </c>
      <c r="CE144" s="62">
        <f t="shared" si="148"/>
        <v>372.56045490833549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3.6</v>
      </c>
      <c r="N145" s="14">
        <f>IF('Données projet'!$A$36&gt;35,N144+M145-V144,IF(A145&lt;'Données projet'!$A$36,$K$205^A145,IF(A145='Données projet'!$A$36,'Données projet'!$B$36,N144+M145-V144)))</f>
        <v>326.2</v>
      </c>
      <c r="O145" s="14">
        <f>N145*VLOOKUP('Données projet'!$B$9,Paramètres!$A$1:$I$89,3,0)*VLOOKUP('Données projet'!$B$9,Paramètres!$A$1:$I$89,5,0)</f>
        <v>295.14575999999994</v>
      </c>
      <c r="P145" s="14">
        <f t="shared" si="141"/>
        <v>70.157864167878188</v>
      </c>
      <c r="Q145" s="22">
        <f t="shared" si="108"/>
        <v>636.237145425721</v>
      </c>
      <c r="R145" s="62">
        <f t="shared" si="109"/>
        <v>921.93230292878002</v>
      </c>
      <c r="S145" s="62">
        <f ca="1">AVERAGE(OFFSET($R$3,0,0,'Données projet'!$E$9+1,1))-AVERAGE(OFFSET($H$3,0,0,'Données projet'!$E$9+1,1))</f>
        <v>551.36480098497589</v>
      </c>
      <c r="T145" s="62">
        <f t="shared" si="142"/>
        <v>297.32483725004136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-1.1368683772161603E-13</v>
      </c>
      <c r="AJ145" s="14">
        <f>AI145*VLOOKUP('Données projet'!$B$10,Paramètres!$A$1:$I$89,3,0)*VLOOKUP('Données projet'!$B$10,Paramètres!$A$1:$I$89,5,0)</f>
        <v>-6.7984728957526396E-14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388.30126110099434</v>
      </c>
      <c r="AO145" s="62">
        <f t="shared" si="144"/>
        <v>390.81417197867495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>
        <f>BD145*VLOOKUP('Données projet'!$B$11,Paramètres!$A$1:$I$89,3,0)*VLOOKUP('Données projet'!$B$11,Paramètres!$A$1:$I$89,5,0)</f>
        <v>-9.7543306765146564E-14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475.48669758994771</v>
      </c>
      <c r="BJ145" s="62">
        <f t="shared" si="146"/>
        <v>249.93713224442419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-4.5474735088646412E-13</v>
      </c>
      <c r="BZ145" s="14">
        <f>BY145*VLOOKUP('Données projet'!$B$12,Paramètres!$A$1:$I$89,3,0)*VLOOKUP('Données projet'!$B$12,Paramètres!$A$1:$I$89,5,0)</f>
        <v>-2.9085640562698243E-13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420.47368055225792</v>
      </c>
      <c r="CE145" s="62">
        <f t="shared" si="148"/>
        <v>372.56045490833549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3.6</v>
      </c>
      <c r="N146" s="14">
        <f>IF('Données projet'!$A$36&gt;35,N145+M146-V145,IF(A146&lt;'Données projet'!$A$36,$K$205^A146,IF(A146='Données projet'!$A$36,'Données projet'!$B$36,N145+M146-V145)))</f>
        <v>329.8</v>
      </c>
      <c r="O146" s="14">
        <f>N146*VLOOKUP('Données projet'!$B$9,Paramètres!$A$1:$I$89,3,0)*VLOOKUP('Données projet'!$B$9,Paramètres!$A$1:$I$89,5,0)</f>
        <v>298.40303999999998</v>
      </c>
      <c r="P146" s="14">
        <f t="shared" si="141"/>
        <v>70.841575394175464</v>
      </c>
      <c r="Q146" s="22">
        <f t="shared" si="108"/>
        <v>643.1010384781888</v>
      </c>
      <c r="R146" s="62">
        <f t="shared" si="109"/>
        <v>928.9287012555003</v>
      </c>
      <c r="S146" s="62">
        <f ca="1">AVERAGE(OFFSET($R$3,0,0,'Données projet'!$E$9+1,1))-AVERAGE(OFFSET($H$3,0,0,'Données projet'!$E$9+1,1))</f>
        <v>551.36480098497589</v>
      </c>
      <c r="T146" s="62">
        <f t="shared" si="142"/>
        <v>297.32483725004136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-1.1368683772161603E-13</v>
      </c>
      <c r="AJ146" s="14">
        <f>AI146*VLOOKUP('Données projet'!$B$10,Paramètres!$A$1:$I$89,3,0)*VLOOKUP('Données projet'!$B$10,Paramètres!$A$1:$I$89,5,0)</f>
        <v>-6.7984728957526396E-14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388.30126110099434</v>
      </c>
      <c r="AO146" s="62">
        <f t="shared" si="144"/>
        <v>390.81417197867495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>
        <f>BD146*VLOOKUP('Données projet'!$B$11,Paramètres!$A$1:$I$89,3,0)*VLOOKUP('Données projet'!$B$11,Paramètres!$A$1:$I$89,5,0)</f>
        <v>-9.7543306765146564E-14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475.48669758994771</v>
      </c>
      <c r="BJ146" s="62">
        <f t="shared" si="146"/>
        <v>249.93713224442419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-4.5474735088646412E-13</v>
      </c>
      <c r="BZ146" s="14">
        <f>BY146*VLOOKUP('Données projet'!$B$12,Paramètres!$A$1:$I$89,3,0)*VLOOKUP('Données projet'!$B$12,Paramètres!$A$1:$I$89,5,0)</f>
        <v>-2.9085640562698243E-13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420.47368055225792</v>
      </c>
      <c r="CE146" s="62">
        <f t="shared" si="148"/>
        <v>372.56045490833549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3.6</v>
      </c>
      <c r="N147" s="14">
        <f>IF('Données projet'!$A$36&gt;35,N146+M147-V146,IF(A147&lt;'Données projet'!$A$36,$K$205^A147,IF(A147='Données projet'!$A$36,'Données projet'!$B$36,N146+M147-V146)))</f>
        <v>333.40000000000003</v>
      </c>
      <c r="O147" s="14">
        <f>N147*VLOOKUP('Données projet'!$B$9,Paramètres!$A$1:$I$89,3,0)*VLOOKUP('Données projet'!$B$9,Paramètres!$A$1:$I$89,5,0)</f>
        <v>301.66032000000001</v>
      </c>
      <c r="P147" s="14">
        <f t="shared" si="141"/>
        <v>71.524418438455001</v>
      </c>
      <c r="Q147" s="22">
        <f t="shared" si="108"/>
        <v>649.96341944697588</v>
      </c>
      <c r="R147" s="62">
        <f t="shared" si="109"/>
        <v>935.92128882826876</v>
      </c>
      <c r="S147" s="62">
        <f ca="1">AVERAGE(OFFSET($R$3,0,0,'Données projet'!$E$9+1,1))-AVERAGE(OFFSET($H$3,0,0,'Données projet'!$E$9+1,1))</f>
        <v>551.36480098497589</v>
      </c>
      <c r="T147" s="62">
        <f t="shared" si="142"/>
        <v>297.32483725004136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-1.1368683772161603E-13</v>
      </c>
      <c r="AJ147" s="14">
        <f>AI147*VLOOKUP('Données projet'!$B$10,Paramètres!$A$1:$I$89,3,0)*VLOOKUP('Données projet'!$B$10,Paramètres!$A$1:$I$89,5,0)</f>
        <v>-6.7984728957526396E-14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388.30126110099434</v>
      </c>
      <c r="AO147" s="62">
        <f t="shared" si="144"/>
        <v>390.81417197867495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>
        <f>BD147*VLOOKUP('Données projet'!$B$11,Paramètres!$A$1:$I$89,3,0)*VLOOKUP('Données projet'!$B$11,Paramètres!$A$1:$I$89,5,0)</f>
        <v>-9.7543306765146564E-14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475.48669758994771</v>
      </c>
      <c r="BJ147" s="62">
        <f t="shared" si="146"/>
        <v>249.93713224442419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-4.5474735088646412E-13</v>
      </c>
      <c r="BZ147" s="14">
        <f>BY147*VLOOKUP('Données projet'!$B$12,Paramètres!$A$1:$I$89,3,0)*VLOOKUP('Données projet'!$B$12,Paramètres!$A$1:$I$89,5,0)</f>
        <v>-2.9085640562698243E-13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420.47368055225792</v>
      </c>
      <c r="CE147" s="62">
        <f t="shared" si="148"/>
        <v>372.56045490833549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3.6</v>
      </c>
      <c r="N148" s="14">
        <f>IF('Données projet'!$A$36&gt;35,N147+M148-V147,IF(A148&lt;'Données projet'!$A$36,$K$205^A148,IF(A148='Données projet'!$A$36,'Données projet'!$B$36,N147+M148-V147)))</f>
        <v>337.00000000000006</v>
      </c>
      <c r="O148" s="14">
        <f>N148*VLOOKUP('Données projet'!$B$9,Paramètres!$A$1:$I$89,3,0)*VLOOKUP('Données projet'!$B$9,Paramètres!$A$1:$I$89,5,0)</f>
        <v>304.91760000000005</v>
      </c>
      <c r="P148" s="14">
        <f t="shared" si="141"/>
        <v>72.206403760232661</v>
      </c>
      <c r="Q148" s="22">
        <f t="shared" si="108"/>
        <v>656.82430654907193</v>
      </c>
      <c r="R148" s="62">
        <f t="shared" si="109"/>
        <v>942.91012374086552</v>
      </c>
      <c r="S148" s="62">
        <f ca="1">AVERAGE(OFFSET($R$3,0,0,'Données projet'!$E$9+1,1))-AVERAGE(OFFSET($H$3,0,0,'Données projet'!$E$9+1,1))</f>
        <v>551.36480098497589</v>
      </c>
      <c r="T148" s="62">
        <f t="shared" si="142"/>
        <v>297.32483725004136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-1.1368683772161603E-13</v>
      </c>
      <c r="AJ148" s="14">
        <f>AI148*VLOOKUP('Données projet'!$B$10,Paramètres!$A$1:$I$89,3,0)*VLOOKUP('Données projet'!$B$10,Paramètres!$A$1:$I$89,5,0)</f>
        <v>-6.7984728957526396E-14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388.30126110099434</v>
      </c>
      <c r="AO148" s="62">
        <f t="shared" si="144"/>
        <v>390.81417197867495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>
        <f>BD148*VLOOKUP('Données projet'!$B$11,Paramètres!$A$1:$I$89,3,0)*VLOOKUP('Données projet'!$B$11,Paramètres!$A$1:$I$89,5,0)</f>
        <v>-9.7543306765146564E-14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475.48669758994771</v>
      </c>
      <c r="BJ148" s="62">
        <f t="shared" si="146"/>
        <v>249.93713224442419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-4.5474735088646412E-13</v>
      </c>
      <c r="BZ148" s="14">
        <f>BY148*VLOOKUP('Données projet'!$B$12,Paramètres!$A$1:$I$89,3,0)*VLOOKUP('Données projet'!$B$12,Paramètres!$A$1:$I$89,5,0)</f>
        <v>-2.9085640562698243E-13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420.47368055225792</v>
      </c>
      <c r="CE148" s="62">
        <f t="shared" si="148"/>
        <v>372.56045490833549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3.6</v>
      </c>
      <c r="N149" s="14">
        <f>IF('Données projet'!$A$36&gt;35,N148+M149-V148,IF(A149&lt;'Données projet'!$A$36,$K$205^A149,IF(A149='Données projet'!$A$36,'Données projet'!$B$36,N148+M149-V148)))</f>
        <v>340.60000000000008</v>
      </c>
      <c r="O149" s="14">
        <f>N149*VLOOKUP('Données projet'!$B$9,Paramètres!$A$1:$I$89,3,0)*VLOOKUP('Données projet'!$B$9,Paramètres!$A$1:$I$89,5,0)</f>
        <v>308.17488000000003</v>
      </c>
      <c r="P149" s="14">
        <f t="shared" si="141"/>
        <v>72.887541582684676</v>
      </c>
      <c r="Q149" s="22">
        <f t="shared" si="108"/>
        <v>663.68371758984244</v>
      </c>
      <c r="R149" s="62">
        <f t="shared" si="109"/>
        <v>949.89526298367309</v>
      </c>
      <c r="S149" s="62">
        <f ca="1">AVERAGE(OFFSET($R$3,0,0,'Données projet'!$E$9+1,1))-AVERAGE(OFFSET($H$3,0,0,'Données projet'!$E$9+1,1))</f>
        <v>551.36480098497589</v>
      </c>
      <c r="T149" s="62">
        <f t="shared" si="142"/>
        <v>297.32483725004136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-1.1368683772161603E-13</v>
      </c>
      <c r="AJ149" s="14">
        <f>AI149*VLOOKUP('Données projet'!$B$10,Paramètres!$A$1:$I$89,3,0)*VLOOKUP('Données projet'!$B$10,Paramètres!$A$1:$I$89,5,0)</f>
        <v>-6.7984728957526396E-14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388.30126110099434</v>
      </c>
      <c r="AO149" s="62">
        <f t="shared" si="144"/>
        <v>390.81417197867495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>
        <f>BD149*VLOOKUP('Données projet'!$B$11,Paramètres!$A$1:$I$89,3,0)*VLOOKUP('Données projet'!$B$11,Paramètres!$A$1:$I$89,5,0)</f>
        <v>-9.7543306765146564E-14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475.48669758994771</v>
      </c>
      <c r="BJ149" s="62">
        <f t="shared" si="146"/>
        <v>249.93713224442419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-4.5474735088646412E-13</v>
      </c>
      <c r="BZ149" s="14">
        <f>BY149*VLOOKUP('Données projet'!$B$12,Paramètres!$A$1:$I$89,3,0)*VLOOKUP('Données projet'!$B$12,Paramètres!$A$1:$I$89,5,0)</f>
        <v>-2.9085640562698243E-13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420.47368055225792</v>
      </c>
      <c r="CE149" s="62">
        <f t="shared" si="148"/>
        <v>372.56045490833549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3.6</v>
      </c>
      <c r="N150" s="14">
        <f>IF('Données projet'!$A$36&gt;35,N149+M150-V149,IF(A150&lt;'Données projet'!$A$36,$K$205^A150,IF(A150='Données projet'!$A$36,'Données projet'!$B$36,N149+M150-V149)))</f>
        <v>344.2000000000001</v>
      </c>
      <c r="O150" s="14">
        <f>N150*VLOOKUP('Données projet'!$B$9,Paramètres!$A$1:$I$89,3,0)*VLOOKUP('Données projet'!$B$9,Paramètres!$A$1:$I$89,5,0)</f>
        <v>311.43216000000007</v>
      </c>
      <c r="P150" s="14">
        <f t="shared" si="141"/>
        <v>73.567841900428434</v>
      </c>
      <c r="Q150" s="22">
        <f t="shared" si="108"/>
        <v>670.54166997657956</v>
      </c>
      <c r="R150" s="62">
        <f t="shared" si="109"/>
        <v>956.87676246922797</v>
      </c>
      <c r="S150" s="62">
        <f ca="1">AVERAGE(OFFSET($R$3,0,0,'Données projet'!$E$9+1,1))-AVERAGE(OFFSET($H$3,0,0,'Données projet'!$E$9+1,1))</f>
        <v>551.36480098497589</v>
      </c>
      <c r="T150" s="62">
        <f t="shared" si="142"/>
        <v>297.32483725004136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-1.1368683772161603E-13</v>
      </c>
      <c r="AJ150" s="14">
        <f>AI150*VLOOKUP('Données projet'!$B$10,Paramètres!$A$1:$I$89,3,0)*VLOOKUP('Données projet'!$B$10,Paramètres!$A$1:$I$89,5,0)</f>
        <v>-6.7984728957526396E-14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388.30126110099434</v>
      </c>
      <c r="AO150" s="62">
        <f t="shared" si="144"/>
        <v>390.81417197867495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>
        <f>BD150*VLOOKUP('Données projet'!$B$11,Paramètres!$A$1:$I$89,3,0)*VLOOKUP('Données projet'!$B$11,Paramètres!$A$1:$I$89,5,0)</f>
        <v>-9.7543306765146564E-14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475.48669758994771</v>
      </c>
      <c r="BJ150" s="62">
        <f t="shared" si="146"/>
        <v>249.93713224442419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-4.5474735088646412E-13</v>
      </c>
      <c r="BZ150" s="14">
        <f>BY150*VLOOKUP('Données projet'!$B$12,Paramètres!$A$1:$I$89,3,0)*VLOOKUP('Données projet'!$B$12,Paramètres!$A$1:$I$89,5,0)</f>
        <v>-2.9085640562698243E-13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420.47368055225792</v>
      </c>
      <c r="CE150" s="62">
        <f t="shared" si="148"/>
        <v>372.56045490833549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3.6</v>
      </c>
      <c r="N151" s="14">
        <f>IF('Données projet'!$A$36&gt;35,N150+M151-V150,IF(A151&lt;'Données projet'!$A$36,$K$205^A151,IF(A151='Données projet'!$A$36,'Données projet'!$B$36,N150+M151-V150)))</f>
        <v>347.80000000000013</v>
      </c>
      <c r="O151" s="14">
        <f>N151*VLOOKUP('Données projet'!$B$9,Paramètres!$A$1:$I$89,3,0)*VLOOKUP('Données projet'!$B$9,Paramètres!$A$1:$I$89,5,0)</f>
        <v>314.6894400000001</v>
      </c>
      <c r="P151" s="14">
        <f t="shared" si="141"/>
        <v>74.247314486967753</v>
      </c>
      <c r="Q151" s="22">
        <f t="shared" si="108"/>
        <v>677.39818073146898</v>
      </c>
      <c r="R151" s="62">
        <f t="shared" si="109"/>
        <v>963.85467705698068</v>
      </c>
      <c r="S151" s="62">
        <f ca="1">AVERAGE(OFFSET($R$3,0,0,'Données projet'!$E$9+1,1))-AVERAGE(OFFSET($H$3,0,0,'Données projet'!$E$9+1,1))</f>
        <v>551.36480098497589</v>
      </c>
      <c r="T151" s="62">
        <f t="shared" si="142"/>
        <v>297.32483725004136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-1.1368683772161603E-13</v>
      </c>
      <c r="AJ151" s="14">
        <f>AI151*VLOOKUP('Données projet'!$B$10,Paramètres!$A$1:$I$89,3,0)*VLOOKUP('Données projet'!$B$10,Paramètres!$A$1:$I$89,5,0)</f>
        <v>-6.7984728957526396E-14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388.30126110099434</v>
      </c>
      <c r="AO151" s="62">
        <f t="shared" si="144"/>
        <v>390.81417197867495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>
        <f>BD151*VLOOKUP('Données projet'!$B$11,Paramètres!$A$1:$I$89,3,0)*VLOOKUP('Données projet'!$B$11,Paramètres!$A$1:$I$89,5,0)</f>
        <v>-9.7543306765146564E-14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475.48669758994771</v>
      </c>
      <c r="BJ151" s="62">
        <f t="shared" si="146"/>
        <v>249.93713224442419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-4.5474735088646412E-13</v>
      </c>
      <c r="BZ151" s="14">
        <f>BY151*VLOOKUP('Données projet'!$B$12,Paramètres!$A$1:$I$89,3,0)*VLOOKUP('Données projet'!$B$12,Paramètres!$A$1:$I$89,5,0)</f>
        <v>-2.9085640562698243E-13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420.47368055225792</v>
      </c>
      <c r="CE151" s="62">
        <f t="shared" si="148"/>
        <v>372.56045490833549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3.6</v>
      </c>
      <c r="N152" s="14">
        <f>IF('Données projet'!$A$36&gt;35,N151+M152-V151,IF(A152&lt;'Données projet'!$A$36,$K$205^A152,IF(A152='Données projet'!$A$36,'Données projet'!$B$36,N151+M152-V151)))</f>
        <v>351.40000000000015</v>
      </c>
      <c r="O152" s="14">
        <f>N152*VLOOKUP('Données projet'!$B$9,Paramètres!$A$1:$I$89,3,0)*VLOOKUP('Données projet'!$B$9,Paramètres!$A$1:$I$89,5,0)</f>
        <v>317.94672000000014</v>
      </c>
      <c r="P152" s="14">
        <f t="shared" si="141"/>
        <v>74.925968901822259</v>
      </c>
      <c r="Q152" s="22">
        <f t="shared" si="108"/>
        <v>684.25326650400723</v>
      </c>
      <c r="R152" s="62">
        <f t="shared" si="109"/>
        <v>970.82906057730031</v>
      </c>
      <c r="S152" s="62">
        <f ca="1">AVERAGE(OFFSET($R$3,0,0,'Données projet'!$E$9+1,1))-AVERAGE(OFFSET($H$3,0,0,'Données projet'!$E$9+1,1))</f>
        <v>551.36480098497589</v>
      </c>
      <c r="T152" s="62">
        <f t="shared" si="142"/>
        <v>297.32483725004136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-1.1368683772161603E-13</v>
      </c>
      <c r="AJ152" s="14">
        <f>AI152*VLOOKUP('Données projet'!$B$10,Paramètres!$A$1:$I$89,3,0)*VLOOKUP('Données projet'!$B$10,Paramètres!$A$1:$I$89,5,0)</f>
        <v>-6.7984728957526396E-14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388.30126110099434</v>
      </c>
      <c r="AO152" s="62">
        <f t="shared" si="144"/>
        <v>390.81417197867495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>
        <f>BD152*VLOOKUP('Données projet'!$B$11,Paramètres!$A$1:$I$89,3,0)*VLOOKUP('Données projet'!$B$11,Paramètres!$A$1:$I$89,5,0)</f>
        <v>-9.7543306765146564E-14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475.48669758994771</v>
      </c>
      <c r="BJ152" s="62">
        <f t="shared" si="146"/>
        <v>249.93713224442419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-4.5474735088646412E-13</v>
      </c>
      <c r="BZ152" s="14">
        <f>BY152*VLOOKUP('Données projet'!$B$12,Paramètres!$A$1:$I$89,3,0)*VLOOKUP('Données projet'!$B$12,Paramètres!$A$1:$I$89,5,0)</f>
        <v>-2.9085640562698243E-13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420.47368055225792</v>
      </c>
      <c r="CE152" s="62">
        <f t="shared" si="148"/>
        <v>372.56045490833549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355</v>
      </c>
      <c r="L153" s="13">
        <f>VLOOKUP(A153,'Données projet'!$A$35:$I$55,9,0)</f>
        <v>3.6</v>
      </c>
      <c r="M153" s="13">
        <f t="array" ref="M153">INDEX(L:L,MIN(IF(ISNUMBER(L153:L349),ROW(L153:L349),"")))</f>
        <v>3.6</v>
      </c>
      <c r="N153" s="14">
        <f>IF('Données projet'!$A$36&gt;35,N152+M153-V152,IF(A153&lt;'Données projet'!$A$36,$K$205^A153,IF(A153='Données projet'!$A$36,'Données projet'!$B$36,N152+M153-V152)))</f>
        <v>355.00000000000017</v>
      </c>
      <c r="O153" s="14">
        <f>N153*VLOOKUP('Données projet'!$B$9,Paramètres!$A$1:$I$89,3,0)*VLOOKUP('Données projet'!$B$9,Paramètres!$A$1:$I$89,5,0)</f>
        <v>321.20400000000018</v>
      </c>
      <c r="P153" s="14">
        <f t="shared" si="141"/>
        <v>75.60381449735506</v>
      </c>
      <c r="Q153" s="22">
        <f t="shared" si="108"/>
        <v>691.10694358289368</v>
      </c>
      <c r="R153" s="62">
        <f t="shared" si="109"/>
        <v>977.79996585475396</v>
      </c>
      <c r="S153" s="62">
        <f ca="1">AVERAGE(OFFSET($R$3,0,0,'Données projet'!$E$9+1,1))-AVERAGE(OFFSET($H$3,0,0,'Données projet'!$E$9+1,1))</f>
        <v>551.36480098497589</v>
      </c>
      <c r="T153" s="62">
        <f t="shared" si="142"/>
        <v>297.32483725004136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355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-1.1368683772161603E-13</v>
      </c>
      <c r="AJ153" s="14">
        <f>AI153*VLOOKUP('Données projet'!$B$10,Paramètres!$A$1:$I$89,3,0)*VLOOKUP('Données projet'!$B$10,Paramètres!$A$1:$I$89,5,0)</f>
        <v>-6.7984728957526396E-14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388.30126110099434</v>
      </c>
      <c r="AO153" s="62">
        <f t="shared" si="144"/>
        <v>390.81417197867495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>
        <f>BD153*VLOOKUP('Données projet'!$B$11,Paramètres!$A$1:$I$89,3,0)*VLOOKUP('Données projet'!$B$11,Paramètres!$A$1:$I$89,5,0)</f>
        <v>-9.7543306765146564E-14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475.48669758994771</v>
      </c>
      <c r="BJ153" s="62">
        <f t="shared" si="146"/>
        <v>249.93713224442419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-4.5474735088646412E-13</v>
      </c>
      <c r="BZ153" s="14">
        <f>BY153*VLOOKUP('Données projet'!$B$12,Paramètres!$A$1:$I$89,3,0)*VLOOKUP('Données projet'!$B$12,Paramètres!$A$1:$I$89,5,0)</f>
        <v>-2.9085640562698243E-13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420.47368055225792</v>
      </c>
      <c r="CE153" s="62">
        <f t="shared" si="148"/>
        <v>372.56045490833549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1.7053025658242404E-13</v>
      </c>
      <c r="O154" s="14">
        <f>N154*VLOOKUP('Données projet'!$B$9,Paramètres!$A$1:$I$89,3,0)*VLOOKUP('Données projet'!$B$9,Paramètres!$A$1:$I$89,5,0)</f>
        <v>1.5429577615577727E-13</v>
      </c>
      <c r="P154" s="14">
        <f t="shared" si="141"/>
        <v>2.2038482767263348E-12</v>
      </c>
      <c r="Q154" s="22">
        <f t="shared" ref="Q154:Q203" si="162">(O154+P154)*0.475*44/12</f>
        <v>4.107100892103012E-12</v>
      </c>
      <c r="R154" s="62">
        <f t="shared" si="109"/>
        <v>286.80821682326945</v>
      </c>
      <c r="S154" s="62">
        <f ca="1">AVERAGE(OFFSET($R$3,0,0,'Données projet'!$E$9+1,1))-AVERAGE(OFFSET($H$3,0,0,'Données projet'!$E$9+1,1))</f>
        <v>551.36480098497589</v>
      </c>
      <c r="T154" s="62">
        <f t="shared" si="142"/>
        <v>297.32483725004136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-6.7984728957526396E-14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388.30126110099434</v>
      </c>
      <c r="AO154" s="62">
        <f t="shared" si="144"/>
        <v>390.81417197867495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projet'!$B$11,Paramètres!$A$1:$I$89,3,0)*VLOOKUP('Données projet'!$B$11,Paramètres!$A$1:$I$89,5,0)</f>
        <v>-9.7543306765146564E-14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475.48669758994771</v>
      </c>
      <c r="BJ154" s="62">
        <f t="shared" si="146"/>
        <v>249.93713224442419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-4.5474735088646412E-13</v>
      </c>
      <c r="BZ154" s="14">
        <f>BY154*VLOOKUP('Données projet'!$B$12,Paramètres!$A$1:$I$89,3,0)*VLOOKUP('Données projet'!$B$12,Paramètres!$A$1:$I$89,5,0)</f>
        <v>-2.9085640562698243E-13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420.47368055225792</v>
      </c>
      <c r="CE154" s="62">
        <f t="shared" si="148"/>
        <v>372.56045490833549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1.7053025658242404E-13</v>
      </c>
      <c r="O155" s="14">
        <f>N155*VLOOKUP('Données projet'!$B$9,Paramètres!$A$1:$I$89,3,0)*VLOOKUP('Données projet'!$B$9,Paramètres!$A$1:$I$89,5,0)</f>
        <v>1.5429577615577727E-13</v>
      </c>
      <c r="P155" s="14">
        <f t="shared" si="141"/>
        <v>2.2038482767263348E-12</v>
      </c>
      <c r="Q155" s="22">
        <f t="shared" si="162"/>
        <v>4.107100892103012E-12</v>
      </c>
      <c r="R155" s="62">
        <f t="shared" si="109"/>
        <v>286.92141300674399</v>
      </c>
      <c r="S155" s="62">
        <f ca="1">AVERAGE(OFFSET($R$3,0,0,'Données projet'!$E$9+1,1))-AVERAGE(OFFSET($H$3,0,0,'Données projet'!$E$9+1,1))</f>
        <v>551.36480098497589</v>
      </c>
      <c r="T155" s="62">
        <f t="shared" si="142"/>
        <v>297.32483725004136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-6.7984728957526396E-14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388.30126110099434</v>
      </c>
      <c r="AO155" s="62">
        <f t="shared" si="144"/>
        <v>390.81417197867495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projet'!$B$11,Paramètres!$A$1:$I$89,3,0)*VLOOKUP('Données projet'!$B$11,Paramètres!$A$1:$I$89,5,0)</f>
        <v>-9.7543306765146564E-14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475.48669758994771</v>
      </c>
      <c r="BJ155" s="62">
        <f t="shared" si="146"/>
        <v>249.93713224442419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-4.5474735088646412E-13</v>
      </c>
      <c r="BZ155" s="14">
        <f>BY155*VLOOKUP('Données projet'!$B$12,Paramètres!$A$1:$I$89,3,0)*VLOOKUP('Données projet'!$B$12,Paramètres!$A$1:$I$89,5,0)</f>
        <v>-2.9085640562698243E-13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420.47368055225792</v>
      </c>
      <c r="CE155" s="62">
        <f t="shared" si="148"/>
        <v>372.56045490833549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1.7053025658242404E-13</v>
      </c>
      <c r="O156" s="14">
        <f>N156*VLOOKUP('Données projet'!$B$9,Paramètres!$A$1:$I$89,3,0)*VLOOKUP('Données projet'!$B$9,Paramètres!$A$1:$I$89,5,0)</f>
        <v>1.5429577615577727E-13</v>
      </c>
      <c r="P156" s="14">
        <f t="shared" si="141"/>
        <v>2.2038482767263348E-12</v>
      </c>
      <c r="Q156" s="22">
        <f t="shared" si="162"/>
        <v>4.107100892103012E-12</v>
      </c>
      <c r="R156" s="62">
        <f t="shared" si="109"/>
        <v>287.03264548950409</v>
      </c>
      <c r="S156" s="62">
        <f ca="1">AVERAGE(OFFSET($R$3,0,0,'Données projet'!$E$9+1,1))-AVERAGE(OFFSET($H$3,0,0,'Données projet'!$E$9+1,1))</f>
        <v>551.36480098497589</v>
      </c>
      <c r="T156" s="62">
        <f t="shared" si="142"/>
        <v>297.32483725004136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-6.7984728957526396E-14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388.30126110099434</v>
      </c>
      <c r="AO156" s="62">
        <f t="shared" si="144"/>
        <v>390.81417197867495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projet'!$B$11,Paramètres!$A$1:$I$89,3,0)*VLOOKUP('Données projet'!$B$11,Paramètres!$A$1:$I$89,5,0)</f>
        <v>-9.7543306765146564E-14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475.48669758994771</v>
      </c>
      <c r="BJ156" s="62">
        <f t="shared" si="146"/>
        <v>249.93713224442419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-4.5474735088646412E-13</v>
      </c>
      <c r="BZ156" s="14">
        <f>BY156*VLOOKUP('Données projet'!$B$12,Paramètres!$A$1:$I$89,3,0)*VLOOKUP('Données projet'!$B$12,Paramètres!$A$1:$I$89,5,0)</f>
        <v>-2.9085640562698243E-13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420.47368055225792</v>
      </c>
      <c r="CE156" s="62">
        <f t="shared" si="148"/>
        <v>372.56045490833549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1.7053025658242404E-13</v>
      </c>
      <c r="O157" s="14">
        <f>N157*VLOOKUP('Données projet'!$B$9,Paramètres!$A$1:$I$89,3,0)*VLOOKUP('Données projet'!$B$9,Paramètres!$A$1:$I$89,5,0)</f>
        <v>1.5429577615577727E-13</v>
      </c>
      <c r="P157" s="14">
        <f t="shared" si="141"/>
        <v>2.2038482767263348E-12</v>
      </c>
      <c r="Q157" s="22">
        <f t="shared" si="162"/>
        <v>4.107100892103012E-12</v>
      </c>
      <c r="R157" s="62">
        <f t="shared" si="109"/>
        <v>287.14194833736684</v>
      </c>
      <c r="S157" s="62">
        <f ca="1">AVERAGE(OFFSET($R$3,0,0,'Données projet'!$E$9+1,1))-AVERAGE(OFFSET($H$3,0,0,'Données projet'!$E$9+1,1))</f>
        <v>551.36480098497589</v>
      </c>
      <c r="T157" s="62">
        <f t="shared" si="142"/>
        <v>297.32483725004136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-6.7984728957526396E-14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388.30126110099434</v>
      </c>
      <c r="AO157" s="62">
        <f t="shared" si="144"/>
        <v>390.81417197867495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projet'!$B$11,Paramètres!$A$1:$I$89,3,0)*VLOOKUP('Données projet'!$B$11,Paramètres!$A$1:$I$89,5,0)</f>
        <v>-9.7543306765146564E-14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475.48669758994771</v>
      </c>
      <c r="BJ157" s="62">
        <f t="shared" si="146"/>
        <v>249.93713224442419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-4.5474735088646412E-13</v>
      </c>
      <c r="BZ157" s="14">
        <f>BY157*VLOOKUP('Données projet'!$B$12,Paramètres!$A$1:$I$89,3,0)*VLOOKUP('Données projet'!$B$12,Paramètres!$A$1:$I$89,5,0)</f>
        <v>-2.9085640562698243E-13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420.47368055225792</v>
      </c>
      <c r="CE157" s="62">
        <f t="shared" si="148"/>
        <v>372.56045490833549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1.7053025658242404E-13</v>
      </c>
      <c r="O158" s="14">
        <f>N158*VLOOKUP('Données projet'!$B$9,Paramètres!$A$1:$I$89,3,0)*VLOOKUP('Données projet'!$B$9,Paramètres!$A$1:$I$89,5,0)</f>
        <v>1.5429577615577727E-13</v>
      </c>
      <c r="P158" s="14">
        <f t="shared" si="141"/>
        <v>2.2038482767263348E-12</v>
      </c>
      <c r="Q158" s="22">
        <f t="shared" si="162"/>
        <v>4.107100892103012E-12</v>
      </c>
      <c r="R158" s="62">
        <f t="shared" si="109"/>
        <v>287.24935502518377</v>
      </c>
      <c r="S158" s="62">
        <f ca="1">AVERAGE(OFFSET($R$3,0,0,'Données projet'!$E$9+1,1))-AVERAGE(OFFSET($H$3,0,0,'Données projet'!$E$9+1,1))</f>
        <v>551.36480098497589</v>
      </c>
      <c r="T158" s="62">
        <f t="shared" si="142"/>
        <v>297.32483725004136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-6.7984728957526396E-14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388.30126110099434</v>
      </c>
      <c r="AO158" s="62">
        <f t="shared" si="144"/>
        <v>390.81417197867495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projet'!$B$11,Paramètres!$A$1:$I$89,3,0)*VLOOKUP('Données projet'!$B$11,Paramètres!$A$1:$I$89,5,0)</f>
        <v>-9.7543306765146564E-14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475.48669758994771</v>
      </c>
      <c r="BJ158" s="62">
        <f t="shared" si="146"/>
        <v>249.93713224442419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-4.5474735088646412E-13</v>
      </c>
      <c r="BZ158" s="14">
        <f>BY158*VLOOKUP('Données projet'!$B$12,Paramètres!$A$1:$I$89,3,0)*VLOOKUP('Données projet'!$B$12,Paramètres!$A$1:$I$89,5,0)</f>
        <v>-2.9085640562698243E-13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420.47368055225792</v>
      </c>
      <c r="CE158" s="62">
        <f t="shared" si="148"/>
        <v>372.56045490833549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1.7053025658242404E-13</v>
      </c>
      <c r="O159" s="14">
        <f>N159*VLOOKUP('Données projet'!$B$9,Paramètres!$A$1:$I$89,3,0)*VLOOKUP('Données projet'!$B$9,Paramètres!$A$1:$I$89,5,0)</f>
        <v>1.5429577615577727E-13</v>
      </c>
      <c r="P159" s="14">
        <f t="shared" si="141"/>
        <v>2.2038482767263348E-12</v>
      </c>
      <c r="Q159" s="22">
        <f t="shared" si="162"/>
        <v>4.107100892103012E-12</v>
      </c>
      <c r="R159" s="62">
        <f t="shared" si="109"/>
        <v>287.35489844709241</v>
      </c>
      <c r="S159" s="62">
        <f ca="1">AVERAGE(OFFSET($R$3,0,0,'Données projet'!$E$9+1,1))-AVERAGE(OFFSET($H$3,0,0,'Données projet'!$E$9+1,1))</f>
        <v>551.36480098497589</v>
      </c>
      <c r="T159" s="62">
        <f t="shared" si="142"/>
        <v>297.32483725004136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-6.7984728957526396E-14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388.30126110099434</v>
      </c>
      <c r="AO159" s="62">
        <f t="shared" si="144"/>
        <v>390.81417197867495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projet'!$B$11,Paramètres!$A$1:$I$89,3,0)*VLOOKUP('Données projet'!$B$11,Paramètres!$A$1:$I$89,5,0)</f>
        <v>-9.7543306765146564E-14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475.48669758994771</v>
      </c>
      <c r="BJ159" s="62">
        <f t="shared" si="146"/>
        <v>249.93713224442419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-4.5474735088646412E-13</v>
      </c>
      <c r="BZ159" s="14">
        <f>BY159*VLOOKUP('Données projet'!$B$12,Paramètres!$A$1:$I$89,3,0)*VLOOKUP('Données projet'!$B$12,Paramètres!$A$1:$I$89,5,0)</f>
        <v>-2.9085640562698243E-13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420.47368055225792</v>
      </c>
      <c r="CE159" s="62">
        <f t="shared" si="148"/>
        <v>372.56045490833549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1.7053025658242404E-13</v>
      </c>
      <c r="O160" s="14">
        <f>N160*VLOOKUP('Données projet'!$B$9,Paramètres!$A$1:$I$89,3,0)*VLOOKUP('Données projet'!$B$9,Paramètres!$A$1:$I$89,5,0)</f>
        <v>1.5429577615577727E-13</v>
      </c>
      <c r="P160" s="14">
        <f t="shared" si="141"/>
        <v>2.2038482767263348E-12</v>
      </c>
      <c r="Q160" s="22">
        <f t="shared" si="162"/>
        <v>4.107100892103012E-12</v>
      </c>
      <c r="R160" s="62">
        <f t="shared" si="109"/>
        <v>287.45861092659067</v>
      </c>
      <c r="S160" s="62">
        <f ca="1">AVERAGE(OFFSET($R$3,0,0,'Données projet'!$E$9+1,1))-AVERAGE(OFFSET($H$3,0,0,'Données projet'!$E$9+1,1))</f>
        <v>551.36480098497589</v>
      </c>
      <c r="T160" s="62">
        <f t="shared" si="142"/>
        <v>297.32483725004136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-6.7984728957526396E-14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388.30126110099434</v>
      </c>
      <c r="AO160" s="62">
        <f t="shared" si="144"/>
        <v>390.81417197867495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projet'!$B$11,Paramètres!$A$1:$I$89,3,0)*VLOOKUP('Données projet'!$B$11,Paramètres!$A$1:$I$89,5,0)</f>
        <v>-9.7543306765146564E-14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475.48669758994771</v>
      </c>
      <c r="BJ160" s="62">
        <f t="shared" si="146"/>
        <v>249.93713224442419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-4.5474735088646412E-13</v>
      </c>
      <c r="BZ160" s="14">
        <f>BY160*VLOOKUP('Données projet'!$B$12,Paramètres!$A$1:$I$89,3,0)*VLOOKUP('Données projet'!$B$12,Paramètres!$A$1:$I$89,5,0)</f>
        <v>-2.9085640562698243E-13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420.47368055225792</v>
      </c>
      <c r="CE160" s="62">
        <f t="shared" si="148"/>
        <v>372.56045490833549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1.7053025658242404E-13</v>
      </c>
      <c r="O161" s="14">
        <f>N161*VLOOKUP('Données projet'!$B$9,Paramètres!$A$1:$I$89,3,0)*VLOOKUP('Données projet'!$B$9,Paramètres!$A$1:$I$89,5,0)</f>
        <v>1.5429577615577727E-13</v>
      </c>
      <c r="P161" s="14">
        <f t="shared" si="141"/>
        <v>2.2038482767263348E-12</v>
      </c>
      <c r="Q161" s="22">
        <f t="shared" si="162"/>
        <v>4.107100892103012E-12</v>
      </c>
      <c r="R161" s="62">
        <f t="shared" si="109"/>
        <v>287.56052422643609</v>
      </c>
      <c r="S161" s="62">
        <f ca="1">AVERAGE(OFFSET($R$3,0,0,'Données projet'!$E$9+1,1))-AVERAGE(OFFSET($H$3,0,0,'Données projet'!$E$9+1,1))</f>
        <v>551.36480098497589</v>
      </c>
      <c r="T161" s="62">
        <f t="shared" si="142"/>
        <v>297.32483725004136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-6.7984728957526396E-14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388.30126110099434</v>
      </c>
      <c r="AO161" s="62">
        <f t="shared" si="144"/>
        <v>390.81417197867495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projet'!$B$11,Paramètres!$A$1:$I$89,3,0)*VLOOKUP('Données projet'!$B$11,Paramètres!$A$1:$I$89,5,0)</f>
        <v>-9.7543306765146564E-14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475.48669758994771</v>
      </c>
      <c r="BJ161" s="62">
        <f t="shared" si="146"/>
        <v>249.93713224442419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-4.5474735088646412E-13</v>
      </c>
      <c r="BZ161" s="14">
        <f>BY161*VLOOKUP('Données projet'!$B$12,Paramètres!$A$1:$I$89,3,0)*VLOOKUP('Données projet'!$B$12,Paramètres!$A$1:$I$89,5,0)</f>
        <v>-2.9085640562698243E-13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420.47368055225792</v>
      </c>
      <c r="CE161" s="62">
        <f t="shared" si="148"/>
        <v>372.56045490833549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1.7053025658242404E-13</v>
      </c>
      <c r="O162" s="14">
        <f>N162*VLOOKUP('Données projet'!$B$9,Paramètres!$A$1:$I$89,3,0)*VLOOKUP('Données projet'!$B$9,Paramètres!$A$1:$I$89,5,0)</f>
        <v>1.5429577615577727E-13</v>
      </c>
      <c r="P162" s="14">
        <f t="shared" si="141"/>
        <v>2.2038482767263348E-12</v>
      </c>
      <c r="Q162" s="22">
        <f t="shared" si="162"/>
        <v>4.107100892103012E-12</v>
      </c>
      <c r="R162" s="62">
        <f t="shared" si="109"/>
        <v>287.66066955837306</v>
      </c>
      <c r="S162" s="62">
        <f ca="1">AVERAGE(OFFSET($R$3,0,0,'Données projet'!$E$9+1,1))-AVERAGE(OFFSET($H$3,0,0,'Données projet'!$E$9+1,1))</f>
        <v>551.36480098497589</v>
      </c>
      <c r="T162" s="62">
        <f t="shared" si="142"/>
        <v>297.32483725004136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-6.7984728957526396E-14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388.30126110099434</v>
      </c>
      <c r="AO162" s="62">
        <f t="shared" si="144"/>
        <v>390.81417197867495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projet'!$B$11,Paramètres!$A$1:$I$89,3,0)*VLOOKUP('Données projet'!$B$11,Paramètres!$A$1:$I$89,5,0)</f>
        <v>-9.7543306765146564E-14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475.48669758994771</v>
      </c>
      <c r="BJ162" s="62">
        <f t="shared" si="146"/>
        <v>249.93713224442419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-4.5474735088646412E-13</v>
      </c>
      <c r="BZ162" s="14">
        <f>BY162*VLOOKUP('Données projet'!$B$12,Paramètres!$A$1:$I$89,3,0)*VLOOKUP('Données projet'!$B$12,Paramètres!$A$1:$I$89,5,0)</f>
        <v>-2.9085640562698243E-13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420.47368055225792</v>
      </c>
      <c r="CE162" s="62">
        <f t="shared" si="148"/>
        <v>372.56045490833549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1.7053025658242404E-13</v>
      </c>
      <c r="O163" s="14">
        <f>N163*VLOOKUP('Données projet'!$B$9,Paramètres!$A$1:$I$89,3,0)*VLOOKUP('Données projet'!$B$9,Paramètres!$A$1:$I$89,5,0)</f>
        <v>1.5429577615577727E-13</v>
      </c>
      <c r="P163" s="14">
        <f t="shared" si="141"/>
        <v>2.2038482767263348E-12</v>
      </c>
      <c r="Q163" s="22">
        <f t="shared" si="162"/>
        <v>4.107100892103012E-12</v>
      </c>
      <c r="R163" s="62">
        <f t="shared" si="109"/>
        <v>287.75907759269245</v>
      </c>
      <c r="S163" s="62">
        <f ca="1">AVERAGE(OFFSET($R$3,0,0,'Données projet'!$E$9+1,1))-AVERAGE(OFFSET($H$3,0,0,'Données projet'!$E$9+1,1))</f>
        <v>551.36480098497589</v>
      </c>
      <c r="T163" s="62">
        <f t="shared" si="142"/>
        <v>297.32483725004136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-6.7984728957526396E-14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388.30126110099434</v>
      </c>
      <c r="AO163" s="62">
        <f t="shared" si="144"/>
        <v>390.81417197867495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projet'!$B$11,Paramètres!$A$1:$I$89,3,0)*VLOOKUP('Données projet'!$B$11,Paramètres!$A$1:$I$89,5,0)</f>
        <v>-9.7543306765146564E-14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475.48669758994771</v>
      </c>
      <c r="BJ163" s="62">
        <f t="shared" si="146"/>
        <v>249.93713224442419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-4.5474735088646412E-13</v>
      </c>
      <c r="BZ163" s="14">
        <f>BY163*VLOOKUP('Données projet'!$B$12,Paramètres!$A$1:$I$89,3,0)*VLOOKUP('Données projet'!$B$12,Paramètres!$A$1:$I$89,5,0)</f>
        <v>-2.9085640562698243E-13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420.47368055225792</v>
      </c>
      <c r="CE163" s="62">
        <f t="shared" si="148"/>
        <v>372.56045490833549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1.7053025658242404E-13</v>
      </c>
      <c r="O164" s="14">
        <f>N164*VLOOKUP('Données projet'!$B$9,Paramètres!$A$1:$I$89,3,0)*VLOOKUP('Données projet'!$B$9,Paramètres!$A$1:$I$89,5,0)</f>
        <v>1.5429577615577727E-13</v>
      </c>
      <c r="P164" s="14">
        <f t="shared" si="141"/>
        <v>2.2038482767263348E-12</v>
      </c>
      <c r="Q164" s="22">
        <f t="shared" si="162"/>
        <v>4.107100892103012E-12</v>
      </c>
      <c r="R164" s="62">
        <f t="shared" si="109"/>
        <v>287.85577846762379</v>
      </c>
      <c r="S164" s="62">
        <f ca="1">AVERAGE(OFFSET($R$3,0,0,'Données projet'!$E$9+1,1))-AVERAGE(OFFSET($H$3,0,0,'Données projet'!$E$9+1,1))</f>
        <v>551.36480098497589</v>
      </c>
      <c r="T164" s="62">
        <f t="shared" si="142"/>
        <v>297.32483725004136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-6.7984728957526396E-14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388.30126110099434</v>
      </c>
      <c r="AO164" s="62">
        <f t="shared" si="144"/>
        <v>390.81417197867495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projet'!$B$11,Paramètres!$A$1:$I$89,3,0)*VLOOKUP('Données projet'!$B$11,Paramètres!$A$1:$I$89,5,0)</f>
        <v>-9.7543306765146564E-14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475.48669758994771</v>
      </c>
      <c r="BJ164" s="62">
        <f t="shared" si="146"/>
        <v>249.93713224442419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-4.5474735088646412E-13</v>
      </c>
      <c r="BZ164" s="14">
        <f>BY164*VLOOKUP('Données projet'!$B$12,Paramètres!$A$1:$I$89,3,0)*VLOOKUP('Données projet'!$B$12,Paramètres!$A$1:$I$89,5,0)</f>
        <v>-2.9085640562698243E-13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420.47368055225792</v>
      </c>
      <c r="CE164" s="62">
        <f t="shared" si="148"/>
        <v>372.56045490833549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1.7053025658242404E-13</v>
      </c>
      <c r="O165" s="14">
        <f>N165*VLOOKUP('Données projet'!$B$9,Paramètres!$A$1:$I$89,3,0)*VLOOKUP('Données projet'!$B$9,Paramètres!$A$1:$I$89,5,0)</f>
        <v>1.5429577615577727E-13</v>
      </c>
      <c r="P165" s="14">
        <f t="shared" si="141"/>
        <v>2.2038482767263348E-12</v>
      </c>
      <c r="Q165" s="22">
        <f t="shared" si="162"/>
        <v>4.107100892103012E-12</v>
      </c>
      <c r="R165" s="62">
        <f t="shared" si="109"/>
        <v>287.95080179856581</v>
      </c>
      <c r="S165" s="62">
        <f ca="1">AVERAGE(OFFSET($R$3,0,0,'Données projet'!$E$9+1,1))-AVERAGE(OFFSET($H$3,0,0,'Données projet'!$E$9+1,1))</f>
        <v>551.36480098497589</v>
      </c>
      <c r="T165" s="62">
        <f t="shared" si="142"/>
        <v>297.32483725004136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-6.7984728957526396E-14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388.30126110099434</v>
      </c>
      <c r="AO165" s="62">
        <f t="shared" si="144"/>
        <v>390.81417197867495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projet'!$B$11,Paramètres!$A$1:$I$89,3,0)*VLOOKUP('Données projet'!$B$11,Paramètres!$A$1:$I$89,5,0)</f>
        <v>-9.7543306765146564E-14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475.48669758994771</v>
      </c>
      <c r="BJ165" s="62">
        <f t="shared" si="146"/>
        <v>249.93713224442419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-4.5474735088646412E-13</v>
      </c>
      <c r="BZ165" s="14">
        <f>BY165*VLOOKUP('Données projet'!$B$12,Paramètres!$A$1:$I$89,3,0)*VLOOKUP('Données projet'!$B$12,Paramètres!$A$1:$I$89,5,0)</f>
        <v>-2.9085640562698243E-13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420.47368055225792</v>
      </c>
      <c r="CE165" s="62">
        <f t="shared" si="148"/>
        <v>372.56045490833549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1.7053025658242404E-13</v>
      </c>
      <c r="O166" s="14">
        <f>N166*VLOOKUP('Données projet'!$B$9,Paramètres!$A$1:$I$89,3,0)*VLOOKUP('Données projet'!$B$9,Paramètres!$A$1:$I$89,5,0)</f>
        <v>1.5429577615577727E-13</v>
      </c>
      <c r="P166" s="14">
        <f t="shared" si="141"/>
        <v>2.2038482767263348E-12</v>
      </c>
      <c r="Q166" s="22">
        <f t="shared" si="162"/>
        <v>4.107100892103012E-12</v>
      </c>
      <c r="R166" s="62">
        <f t="shared" si="109"/>
        <v>288.04417668715632</v>
      </c>
      <c r="S166" s="62">
        <f ca="1">AVERAGE(OFFSET($R$3,0,0,'Données projet'!$E$9+1,1))-AVERAGE(OFFSET($H$3,0,0,'Données projet'!$E$9+1,1))</f>
        <v>551.36480098497589</v>
      </c>
      <c r="T166" s="62">
        <f t="shared" si="142"/>
        <v>297.32483725004136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-6.7984728957526396E-14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388.30126110099434</v>
      </c>
      <c r="AO166" s="62">
        <f t="shared" si="144"/>
        <v>390.81417197867495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projet'!$B$11,Paramètres!$A$1:$I$89,3,0)*VLOOKUP('Données projet'!$B$11,Paramètres!$A$1:$I$89,5,0)</f>
        <v>-9.7543306765146564E-14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475.48669758994771</v>
      </c>
      <c r="BJ166" s="62">
        <f t="shared" si="146"/>
        <v>249.93713224442419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-4.5474735088646412E-13</v>
      </c>
      <c r="BZ166" s="14">
        <f>BY166*VLOOKUP('Données projet'!$B$12,Paramètres!$A$1:$I$89,3,0)*VLOOKUP('Données projet'!$B$12,Paramètres!$A$1:$I$89,5,0)</f>
        <v>-2.9085640562698243E-13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420.47368055225792</v>
      </c>
      <c r="CE166" s="62">
        <f t="shared" si="148"/>
        <v>372.56045490833549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1.7053025658242404E-13</v>
      </c>
      <c r="O167" s="14">
        <f>N167*VLOOKUP('Données projet'!$B$9,Paramètres!$A$1:$I$89,3,0)*VLOOKUP('Données projet'!$B$9,Paramètres!$A$1:$I$89,5,0)</f>
        <v>1.5429577615577727E-13</v>
      </c>
      <c r="P167" s="14">
        <f t="shared" si="141"/>
        <v>2.2038482767263348E-12</v>
      </c>
      <c r="Q167" s="22">
        <f t="shared" si="162"/>
        <v>4.107100892103012E-12</v>
      </c>
      <c r="R167" s="62">
        <f t="shared" si="109"/>
        <v>288.13593173018478</v>
      </c>
      <c r="S167" s="62">
        <f ca="1">AVERAGE(OFFSET($R$3,0,0,'Données projet'!$E$9+1,1))-AVERAGE(OFFSET($H$3,0,0,'Données projet'!$E$9+1,1))</f>
        <v>551.36480098497589</v>
      </c>
      <c r="T167" s="62">
        <f t="shared" si="142"/>
        <v>297.32483725004136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-6.7984728957526396E-14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388.30126110099434</v>
      </c>
      <c r="AO167" s="62">
        <f t="shared" si="144"/>
        <v>390.81417197867495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projet'!$B$11,Paramètres!$A$1:$I$89,3,0)*VLOOKUP('Données projet'!$B$11,Paramètres!$A$1:$I$89,5,0)</f>
        <v>-9.7543306765146564E-14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475.48669758994771</v>
      </c>
      <c r="BJ167" s="62">
        <f t="shared" si="146"/>
        <v>249.93713224442419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-4.5474735088646412E-13</v>
      </c>
      <c r="BZ167" s="14">
        <f>BY167*VLOOKUP('Données projet'!$B$12,Paramètres!$A$1:$I$89,3,0)*VLOOKUP('Données projet'!$B$12,Paramètres!$A$1:$I$89,5,0)</f>
        <v>-2.9085640562698243E-13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420.47368055225792</v>
      </c>
      <c r="CE167" s="62">
        <f t="shared" si="148"/>
        <v>372.56045490833549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1.7053025658242404E-13</v>
      </c>
      <c r="O168" s="14">
        <f>N168*VLOOKUP('Données projet'!$B$9,Paramètres!$A$1:$I$89,3,0)*VLOOKUP('Données projet'!$B$9,Paramètres!$A$1:$I$89,5,0)</f>
        <v>1.5429577615577727E-13</v>
      </c>
      <c r="P168" s="14">
        <f t="shared" si="141"/>
        <v>2.2038482767263348E-12</v>
      </c>
      <c r="Q168" s="22">
        <f t="shared" si="162"/>
        <v>4.107100892103012E-12</v>
      </c>
      <c r="R168" s="62">
        <f t="shared" si="109"/>
        <v>288.22609502835024</v>
      </c>
      <c r="S168" s="62">
        <f ca="1">AVERAGE(OFFSET($R$3,0,0,'Données projet'!$E$9+1,1))-AVERAGE(OFFSET($H$3,0,0,'Données projet'!$E$9+1,1))</f>
        <v>551.36480098497589</v>
      </c>
      <c r="T168" s="62">
        <f t="shared" si="142"/>
        <v>297.32483725004136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-6.7984728957526396E-14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388.30126110099434</v>
      </c>
      <c r="AO168" s="62">
        <f t="shared" si="144"/>
        <v>390.81417197867495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projet'!$B$11,Paramètres!$A$1:$I$89,3,0)*VLOOKUP('Données projet'!$B$11,Paramètres!$A$1:$I$89,5,0)</f>
        <v>-9.7543306765146564E-14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475.48669758994771</v>
      </c>
      <c r="BJ168" s="62">
        <f t="shared" si="146"/>
        <v>249.93713224442419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-4.5474735088646412E-13</v>
      </c>
      <c r="BZ168" s="14">
        <f>BY168*VLOOKUP('Données projet'!$B$12,Paramètres!$A$1:$I$89,3,0)*VLOOKUP('Données projet'!$B$12,Paramètres!$A$1:$I$89,5,0)</f>
        <v>-2.9085640562698243E-13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420.47368055225792</v>
      </c>
      <c r="CE168" s="62">
        <f t="shared" si="148"/>
        <v>372.56045490833549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1.7053025658242404E-13</v>
      </c>
      <c r="O169" s="14">
        <f>N169*VLOOKUP('Données projet'!$B$9,Paramètres!$A$1:$I$89,3,0)*VLOOKUP('Données projet'!$B$9,Paramètres!$A$1:$I$89,5,0)</f>
        <v>1.5429577615577727E-13</v>
      </c>
      <c r="P169" s="14">
        <f t="shared" si="141"/>
        <v>2.2038482767263348E-12</v>
      </c>
      <c r="Q169" s="22">
        <f t="shared" si="162"/>
        <v>4.107100892103012E-12</v>
      </c>
      <c r="R169" s="62">
        <f t="shared" si="109"/>
        <v>288.31469419486751</v>
      </c>
      <c r="S169" s="62">
        <f ca="1">AVERAGE(OFFSET($R$3,0,0,'Données projet'!$E$9+1,1))-AVERAGE(OFFSET($H$3,0,0,'Données projet'!$E$9+1,1))</f>
        <v>551.36480098497589</v>
      </c>
      <c r="T169" s="62">
        <f t="shared" si="142"/>
        <v>297.32483725004136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-6.7984728957526396E-14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388.30126110099434</v>
      </c>
      <c r="AO169" s="62">
        <f t="shared" si="144"/>
        <v>390.81417197867495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projet'!$B$11,Paramètres!$A$1:$I$89,3,0)*VLOOKUP('Données projet'!$B$11,Paramètres!$A$1:$I$89,5,0)</f>
        <v>-9.7543306765146564E-14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475.48669758994771</v>
      </c>
      <c r="BJ169" s="62">
        <f t="shared" si="146"/>
        <v>249.93713224442419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-4.5474735088646412E-13</v>
      </c>
      <c r="BZ169" s="14">
        <f>BY169*VLOOKUP('Données projet'!$B$12,Paramètres!$A$1:$I$89,3,0)*VLOOKUP('Données projet'!$B$12,Paramètres!$A$1:$I$89,5,0)</f>
        <v>-2.9085640562698243E-13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420.47368055225792</v>
      </c>
      <c r="CE169" s="62">
        <f t="shared" si="148"/>
        <v>372.56045490833549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1.7053025658242404E-13</v>
      </c>
      <c r="O170" s="14">
        <f>N170*VLOOKUP('Données projet'!$B$9,Paramètres!$A$1:$I$89,3,0)*VLOOKUP('Données projet'!$B$9,Paramètres!$A$1:$I$89,5,0)</f>
        <v>1.5429577615577727E-13</v>
      </c>
      <c r="P170" s="14">
        <f t="shared" si="141"/>
        <v>2.2038482767263348E-12</v>
      </c>
      <c r="Q170" s="22">
        <f t="shared" si="162"/>
        <v>4.107100892103012E-12</v>
      </c>
      <c r="R170" s="62">
        <f t="shared" si="109"/>
        <v>288.40175636392371</v>
      </c>
      <c r="S170" s="62">
        <f ca="1">AVERAGE(OFFSET($R$3,0,0,'Données projet'!$E$9+1,1))-AVERAGE(OFFSET($H$3,0,0,'Données projet'!$E$9+1,1))</f>
        <v>551.36480098497589</v>
      </c>
      <c r="T170" s="62">
        <f t="shared" si="142"/>
        <v>297.32483725004136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-6.7984728957526396E-14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388.30126110099434</v>
      </c>
      <c r="AO170" s="62">
        <f t="shared" si="144"/>
        <v>390.81417197867495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projet'!$B$11,Paramètres!$A$1:$I$89,3,0)*VLOOKUP('Données projet'!$B$11,Paramètres!$A$1:$I$89,5,0)</f>
        <v>-9.7543306765146564E-14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475.48669758994771</v>
      </c>
      <c r="BJ170" s="62">
        <f t="shared" si="146"/>
        <v>249.93713224442419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-4.5474735088646412E-13</v>
      </c>
      <c r="BZ170" s="14">
        <f>BY170*VLOOKUP('Données projet'!$B$12,Paramètres!$A$1:$I$89,3,0)*VLOOKUP('Données projet'!$B$12,Paramètres!$A$1:$I$89,5,0)</f>
        <v>-2.9085640562698243E-13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420.47368055225792</v>
      </c>
      <c r="CE170" s="62">
        <f t="shared" si="148"/>
        <v>372.56045490833549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1.7053025658242404E-13</v>
      </c>
      <c r="O171" s="14">
        <f>N171*VLOOKUP('Données projet'!$B$9,Paramètres!$A$1:$I$89,3,0)*VLOOKUP('Données projet'!$B$9,Paramètres!$A$1:$I$89,5,0)</f>
        <v>1.5429577615577727E-13</v>
      </c>
      <c r="P171" s="14">
        <f t="shared" si="141"/>
        <v>2.2038482767263348E-12</v>
      </c>
      <c r="Q171" s="22">
        <f t="shared" si="162"/>
        <v>4.107100892103012E-12</v>
      </c>
      <c r="R171" s="62">
        <f t="shared" si="109"/>
        <v>288.48730819898861</v>
      </c>
      <c r="S171" s="62">
        <f ca="1">AVERAGE(OFFSET($R$3,0,0,'Données projet'!$E$9+1,1))-AVERAGE(OFFSET($H$3,0,0,'Données projet'!$E$9+1,1))</f>
        <v>551.36480098497589</v>
      </c>
      <c r="T171" s="62">
        <f t="shared" si="142"/>
        <v>297.32483725004136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-6.7984728957526396E-14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388.30126110099434</v>
      </c>
      <c r="AO171" s="62">
        <f t="shared" si="144"/>
        <v>390.81417197867495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projet'!$B$11,Paramètres!$A$1:$I$89,3,0)*VLOOKUP('Données projet'!$B$11,Paramètres!$A$1:$I$89,5,0)</f>
        <v>-9.7543306765146564E-14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475.48669758994771</v>
      </c>
      <c r="BJ171" s="62">
        <f t="shared" si="146"/>
        <v>249.93713224442419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-4.5474735088646412E-13</v>
      </c>
      <c r="BZ171" s="14">
        <f>BY171*VLOOKUP('Données projet'!$B$12,Paramètres!$A$1:$I$89,3,0)*VLOOKUP('Données projet'!$B$12,Paramètres!$A$1:$I$89,5,0)</f>
        <v>-2.9085640562698243E-13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420.47368055225792</v>
      </c>
      <c r="CE171" s="62">
        <f t="shared" si="148"/>
        <v>372.56045490833549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1.7053025658242404E-13</v>
      </c>
      <c r="O172" s="14">
        <f>N172*VLOOKUP('Données projet'!$B$9,Paramètres!$A$1:$I$89,3,0)*VLOOKUP('Données projet'!$B$9,Paramètres!$A$1:$I$89,5,0)</f>
        <v>1.5429577615577727E-13</v>
      </c>
      <c r="P172" s="14">
        <f t="shared" si="141"/>
        <v>2.2038482767263348E-12</v>
      </c>
      <c r="Q172" s="22">
        <f t="shared" si="162"/>
        <v>4.107100892103012E-12</v>
      </c>
      <c r="R172" s="62">
        <f t="shared" si="109"/>
        <v>288.57137590098051</v>
      </c>
      <c r="S172" s="62">
        <f ca="1">AVERAGE(OFFSET($R$3,0,0,'Données projet'!$E$9+1,1))-AVERAGE(OFFSET($H$3,0,0,'Données projet'!$E$9+1,1))</f>
        <v>551.36480098497589</v>
      </c>
      <c r="T172" s="62">
        <f t="shared" si="142"/>
        <v>297.32483725004136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-6.7984728957526396E-14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388.30126110099434</v>
      </c>
      <c r="AO172" s="62">
        <f t="shared" si="144"/>
        <v>390.81417197867495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projet'!$B$11,Paramètres!$A$1:$I$89,3,0)*VLOOKUP('Données projet'!$B$11,Paramètres!$A$1:$I$89,5,0)</f>
        <v>-9.7543306765146564E-14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475.48669758994771</v>
      </c>
      <c r="BJ172" s="62">
        <f t="shared" si="146"/>
        <v>249.93713224442419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-4.5474735088646412E-13</v>
      </c>
      <c r="BZ172" s="14">
        <f>BY172*VLOOKUP('Données projet'!$B$12,Paramètres!$A$1:$I$89,3,0)*VLOOKUP('Données projet'!$B$12,Paramètres!$A$1:$I$89,5,0)</f>
        <v>-2.9085640562698243E-13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420.47368055225792</v>
      </c>
      <c r="CE172" s="62">
        <f t="shared" si="148"/>
        <v>372.56045490833549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1.7053025658242404E-13</v>
      </c>
      <c r="O173" s="14">
        <f>N173*VLOOKUP('Données projet'!$B$9,Paramètres!$A$1:$I$89,3,0)*VLOOKUP('Données projet'!$B$9,Paramètres!$A$1:$I$89,5,0)</f>
        <v>1.5429577615577727E-13</v>
      </c>
      <c r="P173" s="14">
        <f t="shared" si="141"/>
        <v>2.2038482767263348E-12</v>
      </c>
      <c r="Q173" s="22">
        <f t="shared" si="162"/>
        <v>4.107100892103012E-12</v>
      </c>
      <c r="R173" s="62">
        <f t="shared" si="109"/>
        <v>288.65398521628998</v>
      </c>
      <c r="S173" s="62">
        <f ca="1">AVERAGE(OFFSET($R$3,0,0,'Données projet'!$E$9+1,1))-AVERAGE(OFFSET($H$3,0,0,'Données projet'!$E$9+1,1))</f>
        <v>551.36480098497589</v>
      </c>
      <c r="T173" s="62">
        <f t="shared" si="142"/>
        <v>297.32483725004136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-6.7984728957526396E-14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388.30126110099434</v>
      </c>
      <c r="AO173" s="62">
        <f t="shared" si="144"/>
        <v>390.81417197867495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projet'!$B$11,Paramètres!$A$1:$I$89,3,0)*VLOOKUP('Données projet'!$B$11,Paramètres!$A$1:$I$89,5,0)</f>
        <v>-9.7543306765146564E-14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475.48669758994771</v>
      </c>
      <c r="BJ173" s="62">
        <f t="shared" si="146"/>
        <v>249.93713224442419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-4.5474735088646412E-13</v>
      </c>
      <c r="BZ173" s="14">
        <f>BY173*VLOOKUP('Données projet'!$B$12,Paramètres!$A$1:$I$89,3,0)*VLOOKUP('Données projet'!$B$12,Paramètres!$A$1:$I$89,5,0)</f>
        <v>-2.9085640562698243E-13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420.47368055225792</v>
      </c>
      <c r="CE173" s="62">
        <f t="shared" si="148"/>
        <v>372.56045490833549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1.7053025658242404E-13</v>
      </c>
      <c r="O174" s="14">
        <f>N174*VLOOKUP('Données projet'!$B$9,Paramètres!$A$1:$I$89,3,0)*VLOOKUP('Données projet'!$B$9,Paramètres!$A$1:$I$89,5,0)</f>
        <v>1.5429577615577727E-13</v>
      </c>
      <c r="P174" s="14">
        <f t="shared" si="141"/>
        <v>2.2038482767263348E-12</v>
      </c>
      <c r="Q174" s="22">
        <f t="shared" si="162"/>
        <v>4.107100892103012E-12</v>
      </c>
      <c r="R174" s="62">
        <f t="shared" si="109"/>
        <v>288.73516144466561</v>
      </c>
      <c r="S174" s="62">
        <f ca="1">AVERAGE(OFFSET($R$3,0,0,'Données projet'!$E$9+1,1))-AVERAGE(OFFSET($H$3,0,0,'Données projet'!$E$9+1,1))</f>
        <v>551.36480098497589</v>
      </c>
      <c r="T174" s="62">
        <f t="shared" si="142"/>
        <v>297.32483725004136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-6.7984728957526396E-14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388.30126110099434</v>
      </c>
      <c r="AO174" s="62">
        <f t="shared" si="144"/>
        <v>390.81417197867495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projet'!$B$11,Paramètres!$A$1:$I$89,3,0)*VLOOKUP('Données projet'!$B$11,Paramètres!$A$1:$I$89,5,0)</f>
        <v>-9.7543306765146564E-14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475.48669758994771</v>
      </c>
      <c r="BJ174" s="62">
        <f t="shared" si="146"/>
        <v>249.93713224442419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-4.5474735088646412E-13</v>
      </c>
      <c r="BZ174" s="14">
        <f>BY174*VLOOKUP('Données projet'!$B$12,Paramètres!$A$1:$I$89,3,0)*VLOOKUP('Données projet'!$B$12,Paramètres!$A$1:$I$89,5,0)</f>
        <v>-2.9085640562698243E-13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420.47368055225792</v>
      </c>
      <c r="CE174" s="62">
        <f t="shared" si="148"/>
        <v>372.56045490833549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1.7053025658242404E-13</v>
      </c>
      <c r="O175" s="14">
        <f>N175*VLOOKUP('Données projet'!$B$9,Paramètres!$A$1:$I$89,3,0)*VLOOKUP('Données projet'!$B$9,Paramètres!$A$1:$I$89,5,0)</f>
        <v>1.5429577615577727E-13</v>
      </c>
      <c r="P175" s="14">
        <f t="shared" si="141"/>
        <v>2.2038482767263348E-12</v>
      </c>
      <c r="Q175" s="22">
        <f t="shared" si="162"/>
        <v>4.107100892103012E-12</v>
      </c>
      <c r="R175" s="62">
        <f t="shared" si="109"/>
        <v>288.81492944696174</v>
      </c>
      <c r="S175" s="62">
        <f ca="1">AVERAGE(OFFSET($R$3,0,0,'Données projet'!$E$9+1,1))-AVERAGE(OFFSET($H$3,0,0,'Données projet'!$E$9+1,1))</f>
        <v>551.36480098497589</v>
      </c>
      <c r="T175" s="62">
        <f t="shared" si="142"/>
        <v>297.32483725004136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-6.7984728957526396E-14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388.30126110099434</v>
      </c>
      <c r="AO175" s="62">
        <f t="shared" si="144"/>
        <v>390.81417197867495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projet'!$B$11,Paramètres!$A$1:$I$89,3,0)*VLOOKUP('Données projet'!$B$11,Paramètres!$A$1:$I$89,5,0)</f>
        <v>-9.7543306765146564E-14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475.48669758994771</v>
      </c>
      <c r="BJ175" s="62">
        <f t="shared" si="146"/>
        <v>249.93713224442419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-4.5474735088646412E-13</v>
      </c>
      <c r="BZ175" s="14">
        <f>BY175*VLOOKUP('Données projet'!$B$12,Paramètres!$A$1:$I$89,3,0)*VLOOKUP('Données projet'!$B$12,Paramètres!$A$1:$I$89,5,0)</f>
        <v>-2.9085640562698243E-13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420.47368055225792</v>
      </c>
      <c r="CE175" s="62">
        <f t="shared" si="148"/>
        <v>372.56045490833549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1.7053025658242404E-13</v>
      </c>
      <c r="O176" s="14">
        <f>N176*VLOOKUP('Données projet'!$B$9,Paramètres!$A$1:$I$89,3,0)*VLOOKUP('Données projet'!$B$9,Paramètres!$A$1:$I$89,5,0)</f>
        <v>1.5429577615577727E-13</v>
      </c>
      <c r="P176" s="14">
        <f t="shared" si="141"/>
        <v>2.2038482767263348E-12</v>
      </c>
      <c r="Q176" s="22">
        <f t="shared" si="162"/>
        <v>4.107100892103012E-12</v>
      </c>
      <c r="R176" s="62">
        <f t="shared" si="109"/>
        <v>288.89331365275257</v>
      </c>
      <c r="S176" s="62">
        <f ca="1">AVERAGE(OFFSET($R$3,0,0,'Données projet'!$E$9+1,1))-AVERAGE(OFFSET($H$3,0,0,'Données projet'!$E$9+1,1))</f>
        <v>551.36480098497589</v>
      </c>
      <c r="T176" s="62">
        <f t="shared" si="142"/>
        <v>297.32483725004136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-6.7984728957526396E-14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388.30126110099434</v>
      </c>
      <c r="AO176" s="62">
        <f t="shared" si="144"/>
        <v>390.81417197867495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projet'!$B$11,Paramètres!$A$1:$I$89,3,0)*VLOOKUP('Données projet'!$B$11,Paramètres!$A$1:$I$89,5,0)</f>
        <v>-9.7543306765146564E-14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475.48669758994771</v>
      </c>
      <c r="BJ176" s="62">
        <f t="shared" si="146"/>
        <v>249.93713224442419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-4.5474735088646412E-13</v>
      </c>
      <c r="BZ176" s="14">
        <f>BY176*VLOOKUP('Données projet'!$B$12,Paramètres!$A$1:$I$89,3,0)*VLOOKUP('Données projet'!$B$12,Paramètres!$A$1:$I$89,5,0)</f>
        <v>-2.9085640562698243E-13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420.47368055225792</v>
      </c>
      <c r="CE176" s="62">
        <f t="shared" si="148"/>
        <v>372.56045490833549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1.7053025658242404E-13</v>
      </c>
      <c r="O177" s="14">
        <f>N177*VLOOKUP('Données projet'!$B$9,Paramètres!$A$1:$I$89,3,0)*VLOOKUP('Données projet'!$B$9,Paramètres!$A$1:$I$89,5,0)</f>
        <v>1.5429577615577727E-13</v>
      </c>
      <c r="P177" s="14">
        <f t="shared" si="141"/>
        <v>2.2038482767263348E-12</v>
      </c>
      <c r="Q177" s="22">
        <f t="shared" si="162"/>
        <v>4.107100892103012E-12</v>
      </c>
      <c r="R177" s="62">
        <f t="shared" si="109"/>
        <v>288.97033806781383</v>
      </c>
      <c r="S177" s="62">
        <f ca="1">AVERAGE(OFFSET($R$3,0,0,'Données projet'!$E$9+1,1))-AVERAGE(OFFSET($H$3,0,0,'Données projet'!$E$9+1,1))</f>
        <v>551.36480098497589</v>
      </c>
      <c r="T177" s="62">
        <f t="shared" si="142"/>
        <v>297.32483725004136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-6.7984728957526396E-14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388.30126110099434</v>
      </c>
      <c r="AO177" s="62">
        <f t="shared" si="144"/>
        <v>390.81417197867495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projet'!$B$11,Paramètres!$A$1:$I$89,3,0)*VLOOKUP('Données projet'!$B$11,Paramètres!$A$1:$I$89,5,0)</f>
        <v>-9.7543306765146564E-14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475.48669758994771</v>
      </c>
      <c r="BJ177" s="62">
        <f t="shared" si="146"/>
        <v>249.93713224442419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-4.5474735088646412E-13</v>
      </c>
      <c r="BZ177" s="14">
        <f>BY177*VLOOKUP('Données projet'!$B$12,Paramètres!$A$1:$I$89,3,0)*VLOOKUP('Données projet'!$B$12,Paramètres!$A$1:$I$89,5,0)</f>
        <v>-2.9085640562698243E-13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420.47368055225792</v>
      </c>
      <c r="CE177" s="62">
        <f t="shared" si="148"/>
        <v>372.56045490833549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1.7053025658242404E-13</v>
      </c>
      <c r="O178" s="14">
        <f>N178*VLOOKUP('Données projet'!$B$9,Paramètres!$A$1:$I$89,3,0)*VLOOKUP('Données projet'!$B$9,Paramètres!$A$1:$I$89,5,0)</f>
        <v>1.5429577615577727E-13</v>
      </c>
      <c r="P178" s="14">
        <f t="shared" si="141"/>
        <v>2.2038482767263348E-12</v>
      </c>
      <c r="Q178" s="22">
        <f t="shared" si="162"/>
        <v>4.107100892103012E-12</v>
      </c>
      <c r="R178" s="62">
        <f t="shared" si="109"/>
        <v>289.0460262814745</v>
      </c>
      <c r="S178" s="62">
        <f ca="1">AVERAGE(OFFSET($R$3,0,0,'Données projet'!$E$9+1,1))-AVERAGE(OFFSET($H$3,0,0,'Données projet'!$E$9+1,1))</f>
        <v>551.36480098497589</v>
      </c>
      <c r="T178" s="62">
        <f t="shared" si="142"/>
        <v>297.32483725004136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-6.7984728957526396E-14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388.30126110099434</v>
      </c>
      <c r="AO178" s="62">
        <f t="shared" si="144"/>
        <v>390.81417197867495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projet'!$B$11,Paramètres!$A$1:$I$89,3,0)*VLOOKUP('Données projet'!$B$11,Paramètres!$A$1:$I$89,5,0)</f>
        <v>-9.7543306765146564E-14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475.48669758994771</v>
      </c>
      <c r="BJ178" s="62">
        <f t="shared" si="146"/>
        <v>249.93713224442419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-4.5474735088646412E-13</v>
      </c>
      <c r="BZ178" s="14">
        <f>BY178*VLOOKUP('Données projet'!$B$12,Paramètres!$A$1:$I$89,3,0)*VLOOKUP('Données projet'!$B$12,Paramètres!$A$1:$I$89,5,0)</f>
        <v>-2.9085640562698243E-13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420.47368055225792</v>
      </c>
      <c r="CE178" s="62">
        <f t="shared" si="148"/>
        <v>372.56045490833549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1.7053025658242404E-13</v>
      </c>
      <c r="O179" s="14">
        <f>N179*VLOOKUP('Données projet'!$B$9,Paramètres!$A$1:$I$89,3,0)*VLOOKUP('Données projet'!$B$9,Paramètres!$A$1:$I$89,5,0)</f>
        <v>1.5429577615577727E-13</v>
      </c>
      <c r="P179" s="14">
        <f t="shared" si="141"/>
        <v>2.2038482767263348E-12</v>
      </c>
      <c r="Q179" s="22">
        <f t="shared" si="162"/>
        <v>4.107100892103012E-12</v>
      </c>
      <c r="R179" s="62">
        <f t="shared" si="109"/>
        <v>289.1204014738417</v>
      </c>
      <c r="S179" s="62">
        <f ca="1">AVERAGE(OFFSET($R$3,0,0,'Données projet'!$E$9+1,1))-AVERAGE(OFFSET($H$3,0,0,'Données projet'!$E$9+1,1))</f>
        <v>551.36480098497589</v>
      </c>
      <c r="T179" s="62">
        <f t="shared" si="142"/>
        <v>297.32483725004136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-6.7984728957526396E-14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388.30126110099434</v>
      </c>
      <c r="AO179" s="62">
        <f t="shared" si="144"/>
        <v>390.81417197867495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projet'!$B$11,Paramètres!$A$1:$I$89,3,0)*VLOOKUP('Données projet'!$B$11,Paramètres!$A$1:$I$89,5,0)</f>
        <v>-9.7543306765146564E-14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475.48669758994771</v>
      </c>
      <c r="BJ179" s="62">
        <f t="shared" si="146"/>
        <v>249.93713224442419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-4.5474735088646412E-13</v>
      </c>
      <c r="BZ179" s="14">
        <f>BY179*VLOOKUP('Données projet'!$B$12,Paramètres!$A$1:$I$89,3,0)*VLOOKUP('Données projet'!$B$12,Paramètres!$A$1:$I$89,5,0)</f>
        <v>-2.9085640562698243E-13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420.47368055225792</v>
      </c>
      <c r="CE179" s="62">
        <f t="shared" si="148"/>
        <v>372.56045490833549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1.7053025658242404E-13</v>
      </c>
      <c r="O180" s="14">
        <f>N180*VLOOKUP('Données projet'!$B$9,Paramètres!$A$1:$I$89,3,0)*VLOOKUP('Données projet'!$B$9,Paramètres!$A$1:$I$89,5,0)</f>
        <v>1.5429577615577727E-13</v>
      </c>
      <c r="P180" s="14">
        <f t="shared" si="141"/>
        <v>2.2038482767263348E-12</v>
      </c>
      <c r="Q180" s="22">
        <f t="shared" si="162"/>
        <v>4.107100892103012E-12</v>
      </c>
      <c r="R180" s="62">
        <f t="shared" si="109"/>
        <v>289.19348642289935</v>
      </c>
      <c r="S180" s="62">
        <f ca="1">AVERAGE(OFFSET($R$3,0,0,'Données projet'!$E$9+1,1))-AVERAGE(OFFSET($H$3,0,0,'Données projet'!$E$9+1,1))</f>
        <v>551.36480098497589</v>
      </c>
      <c r="T180" s="62">
        <f t="shared" si="142"/>
        <v>297.32483725004136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-6.7984728957526396E-14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388.30126110099434</v>
      </c>
      <c r="AO180" s="62">
        <f t="shared" si="144"/>
        <v>390.81417197867495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projet'!$B$11,Paramètres!$A$1:$I$89,3,0)*VLOOKUP('Données projet'!$B$11,Paramètres!$A$1:$I$89,5,0)</f>
        <v>-9.7543306765146564E-14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475.48669758994771</v>
      </c>
      <c r="BJ180" s="62">
        <f t="shared" si="146"/>
        <v>249.93713224442419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-4.5474735088646412E-13</v>
      </c>
      <c r="BZ180" s="14">
        <f>BY180*VLOOKUP('Données projet'!$B$12,Paramètres!$A$1:$I$89,3,0)*VLOOKUP('Données projet'!$B$12,Paramètres!$A$1:$I$89,5,0)</f>
        <v>-2.9085640562698243E-13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420.47368055225792</v>
      </c>
      <c r="CE180" s="62">
        <f t="shared" si="148"/>
        <v>372.56045490833549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1.7053025658242404E-13</v>
      </c>
      <c r="O181" s="14">
        <f>N181*VLOOKUP('Données projet'!$B$9,Paramètres!$A$1:$I$89,3,0)*VLOOKUP('Données projet'!$B$9,Paramètres!$A$1:$I$89,5,0)</f>
        <v>1.5429577615577727E-13</v>
      </c>
      <c r="P181" s="14">
        <f t="shared" si="141"/>
        <v>2.2038482767263348E-12</v>
      </c>
      <c r="Q181" s="22">
        <f t="shared" si="162"/>
        <v>4.107100892103012E-12</v>
      </c>
      <c r="R181" s="62">
        <f t="shared" si="109"/>
        <v>289.26530351148426</v>
      </c>
      <c r="S181" s="62">
        <f ca="1">AVERAGE(OFFSET($R$3,0,0,'Données projet'!$E$9+1,1))-AVERAGE(OFFSET($H$3,0,0,'Données projet'!$E$9+1,1))</f>
        <v>551.36480098497589</v>
      </c>
      <c r="T181" s="62">
        <f t="shared" si="142"/>
        <v>297.32483725004136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-6.7984728957526396E-14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388.30126110099434</v>
      </c>
      <c r="AO181" s="62">
        <f t="shared" si="144"/>
        <v>390.81417197867495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projet'!$B$11,Paramètres!$A$1:$I$89,3,0)*VLOOKUP('Données projet'!$B$11,Paramètres!$A$1:$I$89,5,0)</f>
        <v>-9.7543306765146564E-14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475.48669758994771</v>
      </c>
      <c r="BJ181" s="62">
        <f t="shared" si="146"/>
        <v>249.93713224442419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-4.5474735088646412E-13</v>
      </c>
      <c r="BZ181" s="14">
        <f>BY181*VLOOKUP('Données projet'!$B$12,Paramètres!$A$1:$I$89,3,0)*VLOOKUP('Données projet'!$B$12,Paramètres!$A$1:$I$89,5,0)</f>
        <v>-2.9085640562698243E-13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420.47368055225792</v>
      </c>
      <c r="CE181" s="62">
        <f t="shared" si="148"/>
        <v>372.56045490833549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1.7053025658242404E-13</v>
      </c>
      <c r="O182" s="14">
        <f>N182*VLOOKUP('Données projet'!$B$9,Paramètres!$A$1:$I$89,3,0)*VLOOKUP('Données projet'!$B$9,Paramètres!$A$1:$I$89,5,0)</f>
        <v>1.5429577615577727E-13</v>
      </c>
      <c r="P182" s="14">
        <f t="shared" si="141"/>
        <v>2.2038482767263348E-12</v>
      </c>
      <c r="Q182" s="22">
        <f t="shared" si="162"/>
        <v>4.107100892103012E-12</v>
      </c>
      <c r="R182" s="62">
        <f t="shared" si="109"/>
        <v>289.33587473414121</v>
      </c>
      <c r="S182" s="62">
        <f ca="1">AVERAGE(OFFSET($R$3,0,0,'Données projet'!$E$9+1,1))-AVERAGE(OFFSET($H$3,0,0,'Données projet'!$E$9+1,1))</f>
        <v>551.36480098497589</v>
      </c>
      <c r="T182" s="62">
        <f t="shared" si="142"/>
        <v>297.32483725004136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-6.7984728957526396E-14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388.30126110099434</v>
      </c>
      <c r="AO182" s="62">
        <f t="shared" si="144"/>
        <v>390.81417197867495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projet'!$B$11,Paramètres!$A$1:$I$89,3,0)*VLOOKUP('Données projet'!$B$11,Paramètres!$A$1:$I$89,5,0)</f>
        <v>-9.7543306765146564E-14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475.48669758994771</v>
      </c>
      <c r="BJ182" s="62">
        <f t="shared" si="146"/>
        <v>249.93713224442419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-4.5474735088646412E-13</v>
      </c>
      <c r="BZ182" s="14">
        <f>BY182*VLOOKUP('Données projet'!$B$12,Paramètres!$A$1:$I$89,3,0)*VLOOKUP('Données projet'!$B$12,Paramètres!$A$1:$I$89,5,0)</f>
        <v>-2.9085640562698243E-13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420.47368055225792</v>
      </c>
      <c r="CE182" s="62">
        <f t="shared" si="148"/>
        <v>372.56045490833549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1.7053025658242404E-13</v>
      </c>
      <c r="O183" s="14">
        <f>N183*VLOOKUP('Données projet'!$B$9,Paramètres!$A$1:$I$89,3,0)*VLOOKUP('Données projet'!$B$9,Paramètres!$A$1:$I$89,5,0)</f>
        <v>1.5429577615577727E-13</v>
      </c>
      <c r="P183" s="14">
        <f t="shared" si="141"/>
        <v>2.2038482767263348E-12</v>
      </c>
      <c r="Q183" s="22">
        <f t="shared" si="162"/>
        <v>4.107100892103012E-12</v>
      </c>
      <c r="R183" s="62">
        <f t="shared" si="109"/>
        <v>289.40522170385873</v>
      </c>
      <c r="S183" s="62">
        <f ca="1">AVERAGE(OFFSET($R$3,0,0,'Données projet'!$E$9+1,1))-AVERAGE(OFFSET($H$3,0,0,'Données projet'!$E$9+1,1))</f>
        <v>551.36480098497589</v>
      </c>
      <c r="T183" s="62">
        <f t="shared" si="142"/>
        <v>297.32483725004136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-6.7984728957526396E-14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388.30126110099434</v>
      </c>
      <c r="AO183" s="62">
        <f t="shared" si="144"/>
        <v>390.81417197867495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projet'!$B$11,Paramètres!$A$1:$I$89,3,0)*VLOOKUP('Données projet'!$B$11,Paramètres!$A$1:$I$89,5,0)</f>
        <v>-9.7543306765146564E-14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475.48669758994771</v>
      </c>
      <c r="BJ183" s="62">
        <f t="shared" si="146"/>
        <v>249.93713224442419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-4.5474735088646412E-13</v>
      </c>
      <c r="BZ183" s="14">
        <f>BY183*VLOOKUP('Données projet'!$B$12,Paramètres!$A$1:$I$89,3,0)*VLOOKUP('Données projet'!$B$12,Paramètres!$A$1:$I$89,5,0)</f>
        <v>-2.9085640562698243E-13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420.47368055225792</v>
      </c>
      <c r="CE183" s="62">
        <f t="shared" si="148"/>
        <v>372.56045490833549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1.7053025658242404E-13</v>
      </c>
      <c r="O184" s="14">
        <f>N184*VLOOKUP('Données projet'!$B$9,Paramètres!$A$1:$I$89,3,0)*VLOOKUP('Données projet'!$B$9,Paramètres!$A$1:$I$89,5,0)</f>
        <v>1.5429577615577727E-13</v>
      </c>
      <c r="P184" s="14">
        <f t="shared" si="141"/>
        <v>2.2038482767263348E-12</v>
      </c>
      <c r="Q184" s="22">
        <f t="shared" si="162"/>
        <v>4.107100892103012E-12</v>
      </c>
      <c r="R184" s="62">
        <f t="shared" si="109"/>
        <v>289.47336565868818</v>
      </c>
      <c r="S184" s="62">
        <f ca="1">AVERAGE(OFFSET($R$3,0,0,'Données projet'!$E$9+1,1))-AVERAGE(OFFSET($H$3,0,0,'Données projet'!$E$9+1,1))</f>
        <v>551.36480098497589</v>
      </c>
      <c r="T184" s="62">
        <f t="shared" si="142"/>
        <v>297.32483725004136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-6.7984728957526396E-14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388.30126110099434</v>
      </c>
      <c r="AO184" s="62">
        <f t="shared" si="144"/>
        <v>390.81417197867495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projet'!$B$11,Paramètres!$A$1:$I$89,3,0)*VLOOKUP('Données projet'!$B$11,Paramètres!$A$1:$I$89,5,0)</f>
        <v>-9.7543306765146564E-14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475.48669758994771</v>
      </c>
      <c r="BJ184" s="62">
        <f t="shared" si="146"/>
        <v>249.93713224442419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-4.5474735088646412E-13</v>
      </c>
      <c r="BZ184" s="14">
        <f>BY184*VLOOKUP('Données projet'!$B$12,Paramètres!$A$1:$I$89,3,0)*VLOOKUP('Données projet'!$B$12,Paramètres!$A$1:$I$89,5,0)</f>
        <v>-2.9085640562698243E-13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420.47368055225792</v>
      </c>
      <c r="CE184" s="62">
        <f t="shared" si="148"/>
        <v>372.56045490833549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1.7053025658242404E-13</v>
      </c>
      <c r="O185" s="14">
        <f>N185*VLOOKUP('Données projet'!$B$9,Paramètres!$A$1:$I$89,3,0)*VLOOKUP('Données projet'!$B$9,Paramètres!$A$1:$I$89,5,0)</f>
        <v>1.5429577615577727E-13</v>
      </c>
      <c r="P185" s="14">
        <f t="shared" si="141"/>
        <v>2.2038482767263348E-12</v>
      </c>
      <c r="Q185" s="22">
        <f t="shared" si="162"/>
        <v>4.107100892103012E-12</v>
      </c>
      <c r="R185" s="62">
        <f t="shared" si="109"/>
        <v>289.54032746824851</v>
      </c>
      <c r="S185" s="62">
        <f ca="1">AVERAGE(OFFSET($R$3,0,0,'Données projet'!$E$9+1,1))-AVERAGE(OFFSET($H$3,0,0,'Données projet'!$E$9+1,1))</f>
        <v>551.36480098497589</v>
      </c>
      <c r="T185" s="62">
        <f t="shared" si="142"/>
        <v>297.32483725004136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-6.7984728957526396E-14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388.30126110099434</v>
      </c>
      <c r="AO185" s="62">
        <f t="shared" si="144"/>
        <v>390.81417197867495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projet'!$B$11,Paramètres!$A$1:$I$89,3,0)*VLOOKUP('Données projet'!$B$11,Paramètres!$A$1:$I$89,5,0)</f>
        <v>-9.7543306765146564E-14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475.48669758994771</v>
      </c>
      <c r="BJ185" s="62">
        <f t="shared" si="146"/>
        <v>249.93713224442419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-4.5474735088646412E-13</v>
      </c>
      <c r="BZ185" s="14">
        <f>BY185*VLOOKUP('Données projet'!$B$12,Paramètres!$A$1:$I$89,3,0)*VLOOKUP('Données projet'!$B$12,Paramètres!$A$1:$I$89,5,0)</f>
        <v>-2.9085640562698243E-13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420.47368055225792</v>
      </c>
      <c r="CE185" s="62">
        <f t="shared" si="148"/>
        <v>372.56045490833549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1.7053025658242404E-13</v>
      </c>
      <c r="O186" s="14">
        <f>N186*VLOOKUP('Données projet'!$B$9,Paramètres!$A$1:$I$89,3,0)*VLOOKUP('Données projet'!$B$9,Paramètres!$A$1:$I$89,5,0)</f>
        <v>1.5429577615577727E-13</v>
      </c>
      <c r="P186" s="14">
        <f t="shared" si="141"/>
        <v>2.2038482767263348E-12</v>
      </c>
      <c r="Q186" s="22">
        <f t="shared" si="162"/>
        <v>4.107100892103012E-12</v>
      </c>
      <c r="R186" s="62">
        <f t="shared" si="109"/>
        <v>289.60612764011705</v>
      </c>
      <c r="S186" s="62">
        <f ca="1">AVERAGE(OFFSET($R$3,0,0,'Données projet'!$E$9+1,1))-AVERAGE(OFFSET($H$3,0,0,'Données projet'!$E$9+1,1))</f>
        <v>551.36480098497589</v>
      </c>
      <c r="T186" s="62">
        <f t="shared" si="142"/>
        <v>297.32483725004136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-6.7984728957526396E-14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388.30126110099434</v>
      </c>
      <c r="AO186" s="62">
        <f t="shared" si="144"/>
        <v>390.81417197867495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projet'!$B$11,Paramètres!$A$1:$I$89,3,0)*VLOOKUP('Données projet'!$B$11,Paramètres!$A$1:$I$89,5,0)</f>
        <v>-9.7543306765146564E-14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475.48669758994771</v>
      </c>
      <c r="BJ186" s="62">
        <f t="shared" si="146"/>
        <v>249.93713224442419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-4.5474735088646412E-13</v>
      </c>
      <c r="BZ186" s="14">
        <f>BY186*VLOOKUP('Données projet'!$B$12,Paramètres!$A$1:$I$89,3,0)*VLOOKUP('Données projet'!$B$12,Paramètres!$A$1:$I$89,5,0)</f>
        <v>-2.9085640562698243E-13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420.47368055225792</v>
      </c>
      <c r="CE186" s="62">
        <f t="shared" si="148"/>
        <v>372.56045490833549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1.7053025658242404E-13</v>
      </c>
      <c r="O187" s="14">
        <f>N187*VLOOKUP('Données projet'!$B$9,Paramètres!$A$1:$I$89,3,0)*VLOOKUP('Données projet'!$B$9,Paramètres!$A$1:$I$89,5,0)</f>
        <v>1.5429577615577727E-13</v>
      </c>
      <c r="P187" s="14">
        <f t="shared" si="141"/>
        <v>2.2038482767263348E-12</v>
      </c>
      <c r="Q187" s="22">
        <f t="shared" si="162"/>
        <v>4.107100892103012E-12</v>
      </c>
      <c r="R187" s="62">
        <f t="shared" si="109"/>
        <v>289.67078632611083</v>
      </c>
      <c r="S187" s="62">
        <f ca="1">AVERAGE(OFFSET($R$3,0,0,'Données projet'!$E$9+1,1))-AVERAGE(OFFSET($H$3,0,0,'Données projet'!$E$9+1,1))</f>
        <v>551.36480098497589</v>
      </c>
      <c r="T187" s="62">
        <f t="shared" si="142"/>
        <v>297.32483725004136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-6.7984728957526396E-14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388.30126110099434</v>
      </c>
      <c r="AO187" s="62">
        <f t="shared" si="144"/>
        <v>390.81417197867495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projet'!$B$11,Paramètres!$A$1:$I$89,3,0)*VLOOKUP('Données projet'!$B$11,Paramètres!$A$1:$I$89,5,0)</f>
        <v>-9.7543306765146564E-14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475.48669758994771</v>
      </c>
      <c r="BJ187" s="62">
        <f t="shared" si="146"/>
        <v>249.93713224442419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-4.5474735088646412E-13</v>
      </c>
      <c r="BZ187" s="14">
        <f>BY187*VLOOKUP('Données projet'!$B$12,Paramètres!$A$1:$I$89,3,0)*VLOOKUP('Données projet'!$B$12,Paramètres!$A$1:$I$89,5,0)</f>
        <v>-2.9085640562698243E-13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420.47368055225792</v>
      </c>
      <c r="CE187" s="62">
        <f t="shared" si="148"/>
        <v>372.56045490833549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1.7053025658242404E-13</v>
      </c>
      <c r="O188" s="14">
        <f>N188*VLOOKUP('Données projet'!$B$9,Paramètres!$A$1:$I$89,3,0)*VLOOKUP('Données projet'!$B$9,Paramètres!$A$1:$I$89,5,0)</f>
        <v>1.5429577615577727E-13</v>
      </c>
      <c r="P188" s="14">
        <f t="shared" si="141"/>
        <v>2.2038482767263348E-12</v>
      </c>
      <c r="Q188" s="22">
        <f t="shared" si="162"/>
        <v>4.107100892103012E-12</v>
      </c>
      <c r="R188" s="62">
        <f t="shared" si="109"/>
        <v>289.73432332845783</v>
      </c>
      <c r="S188" s="62">
        <f ca="1">AVERAGE(OFFSET($R$3,0,0,'Données projet'!$E$9+1,1))-AVERAGE(OFFSET($H$3,0,0,'Données projet'!$E$9+1,1))</f>
        <v>551.36480098497589</v>
      </c>
      <c r="T188" s="62">
        <f t="shared" si="142"/>
        <v>297.32483725004136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-6.7984728957526396E-14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388.30126110099434</v>
      </c>
      <c r="AO188" s="62">
        <f t="shared" si="144"/>
        <v>390.81417197867495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projet'!$B$11,Paramètres!$A$1:$I$89,3,0)*VLOOKUP('Données projet'!$B$11,Paramètres!$A$1:$I$89,5,0)</f>
        <v>-9.7543306765146564E-14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475.48669758994771</v>
      </c>
      <c r="BJ188" s="62">
        <f t="shared" si="146"/>
        <v>249.93713224442419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-4.5474735088646412E-13</v>
      </c>
      <c r="BZ188" s="14">
        <f>BY188*VLOOKUP('Données projet'!$B$12,Paramètres!$A$1:$I$89,3,0)*VLOOKUP('Données projet'!$B$12,Paramètres!$A$1:$I$89,5,0)</f>
        <v>-2.9085640562698243E-13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420.47368055225792</v>
      </c>
      <c r="CE188" s="62">
        <f t="shared" si="148"/>
        <v>372.56045490833549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1.7053025658242404E-13</v>
      </c>
      <c r="O189" s="14">
        <f>N189*VLOOKUP('Données projet'!$B$9,Paramètres!$A$1:$I$89,3,0)*VLOOKUP('Données projet'!$B$9,Paramètres!$A$1:$I$89,5,0)</f>
        <v>1.5429577615577727E-13</v>
      </c>
      <c r="P189" s="14">
        <f t="shared" si="141"/>
        <v>2.2038482767263348E-12</v>
      </c>
      <c r="Q189" s="22">
        <f t="shared" si="162"/>
        <v>4.107100892103012E-12</v>
      </c>
      <c r="R189" s="62">
        <f t="shared" si="109"/>
        <v>289.7967581058615</v>
      </c>
      <c r="S189" s="62">
        <f ca="1">AVERAGE(OFFSET($R$3,0,0,'Données projet'!$E$9+1,1))-AVERAGE(OFFSET($H$3,0,0,'Données projet'!$E$9+1,1))</f>
        <v>551.36480098497589</v>
      </c>
      <c r="T189" s="62">
        <f t="shared" si="142"/>
        <v>297.32483725004136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-6.7984728957526396E-14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388.30126110099434</v>
      </c>
      <c r="AO189" s="62">
        <f t="shared" si="144"/>
        <v>390.81417197867495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projet'!$B$11,Paramètres!$A$1:$I$89,3,0)*VLOOKUP('Données projet'!$B$11,Paramètres!$A$1:$I$89,5,0)</f>
        <v>-9.7543306765146564E-14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475.48669758994771</v>
      </c>
      <c r="BJ189" s="62">
        <f t="shared" si="146"/>
        <v>249.93713224442419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-4.5474735088646412E-13</v>
      </c>
      <c r="BZ189" s="14">
        <f>BY189*VLOOKUP('Données projet'!$B$12,Paramètres!$A$1:$I$89,3,0)*VLOOKUP('Données projet'!$B$12,Paramètres!$A$1:$I$89,5,0)</f>
        <v>-2.9085640562698243E-13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420.47368055225792</v>
      </c>
      <c r="CE189" s="62">
        <f t="shared" si="148"/>
        <v>372.56045490833549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1.7053025658242404E-13</v>
      </c>
      <c r="O190" s="14">
        <f>N190*VLOOKUP('Données projet'!$B$9,Paramètres!$A$1:$I$89,3,0)*VLOOKUP('Données projet'!$B$9,Paramètres!$A$1:$I$89,5,0)</f>
        <v>1.5429577615577727E-13</v>
      </c>
      <c r="P190" s="14">
        <f t="shared" si="141"/>
        <v>2.2038482767263348E-12</v>
      </c>
      <c r="Q190" s="22">
        <f t="shared" si="162"/>
        <v>4.107100892103012E-12</v>
      </c>
      <c r="R190" s="62">
        <f t="shared" si="109"/>
        <v>289.85810977946051</v>
      </c>
      <c r="S190" s="62">
        <f ca="1">AVERAGE(OFFSET($R$3,0,0,'Données projet'!$E$9+1,1))-AVERAGE(OFFSET($H$3,0,0,'Données projet'!$E$9+1,1))</f>
        <v>551.36480098497589</v>
      </c>
      <c r="T190" s="62">
        <f t="shared" si="142"/>
        <v>297.32483725004136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-6.7984728957526396E-14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388.30126110099434</v>
      </c>
      <c r="AO190" s="62">
        <f t="shared" si="144"/>
        <v>390.81417197867495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projet'!$B$11,Paramètres!$A$1:$I$89,3,0)*VLOOKUP('Données projet'!$B$11,Paramètres!$A$1:$I$89,5,0)</f>
        <v>-9.7543306765146564E-14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475.48669758994771</v>
      </c>
      <c r="BJ190" s="62">
        <f t="shared" si="146"/>
        <v>249.93713224442419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-4.5474735088646412E-13</v>
      </c>
      <c r="BZ190" s="14">
        <f>BY190*VLOOKUP('Données projet'!$B$12,Paramètres!$A$1:$I$89,3,0)*VLOOKUP('Données projet'!$B$12,Paramètres!$A$1:$I$89,5,0)</f>
        <v>-2.9085640562698243E-13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420.47368055225792</v>
      </c>
      <c r="CE190" s="62">
        <f t="shared" si="148"/>
        <v>372.56045490833549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1.7053025658242404E-13</v>
      </c>
      <c r="O191" s="14">
        <f>N191*VLOOKUP('Données projet'!$B$9,Paramètres!$A$1:$I$89,3,0)*VLOOKUP('Données projet'!$B$9,Paramètres!$A$1:$I$89,5,0)</f>
        <v>1.5429577615577727E-13</v>
      </c>
      <c r="P191" s="14">
        <f t="shared" si="141"/>
        <v>2.2038482767263348E-12</v>
      </c>
      <c r="Q191" s="22">
        <f t="shared" si="162"/>
        <v>4.107100892103012E-12</v>
      </c>
      <c r="R191" s="62">
        <f t="shared" si="109"/>
        <v>289.91839713868433</v>
      </c>
      <c r="S191" s="62">
        <f ca="1">AVERAGE(OFFSET($R$3,0,0,'Données projet'!$E$9+1,1))-AVERAGE(OFFSET($H$3,0,0,'Données projet'!$E$9+1,1))</f>
        <v>551.36480098497589</v>
      </c>
      <c r="T191" s="62">
        <f t="shared" si="142"/>
        <v>297.32483725004136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-6.7984728957526396E-14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388.30126110099434</v>
      </c>
      <c r="AO191" s="62">
        <f t="shared" si="144"/>
        <v>390.81417197867495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projet'!$B$11,Paramètres!$A$1:$I$89,3,0)*VLOOKUP('Données projet'!$B$11,Paramètres!$A$1:$I$89,5,0)</f>
        <v>-9.7543306765146564E-14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475.48669758994771</v>
      </c>
      <c r="BJ191" s="62">
        <f t="shared" si="146"/>
        <v>249.93713224442419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-4.5474735088646412E-13</v>
      </c>
      <c r="BZ191" s="14">
        <f>BY191*VLOOKUP('Données projet'!$B$12,Paramètres!$A$1:$I$89,3,0)*VLOOKUP('Données projet'!$B$12,Paramètres!$A$1:$I$89,5,0)</f>
        <v>-2.9085640562698243E-13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420.47368055225792</v>
      </c>
      <c r="CE191" s="62">
        <f t="shared" si="148"/>
        <v>372.56045490833549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1.7053025658242404E-13</v>
      </c>
      <c r="O192" s="14">
        <f>N192*VLOOKUP('Données projet'!$B$9,Paramètres!$A$1:$I$89,3,0)*VLOOKUP('Données projet'!$B$9,Paramètres!$A$1:$I$89,5,0)</f>
        <v>1.5429577615577727E-13</v>
      </c>
      <c r="P192" s="14">
        <f t="shared" si="141"/>
        <v>2.2038482767263348E-12</v>
      </c>
      <c r="Q192" s="22">
        <f t="shared" si="162"/>
        <v>4.107100892103012E-12</v>
      </c>
      <c r="R192" s="62">
        <f t="shared" si="109"/>
        <v>289.97763864700795</v>
      </c>
      <c r="S192" s="62">
        <f ca="1">AVERAGE(OFFSET($R$3,0,0,'Données projet'!$E$9+1,1))-AVERAGE(OFFSET($H$3,0,0,'Données projet'!$E$9+1,1))</f>
        <v>551.36480098497589</v>
      </c>
      <c r="T192" s="62">
        <f t="shared" si="142"/>
        <v>297.32483725004136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-6.7984728957526396E-14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388.30126110099434</v>
      </c>
      <c r="AO192" s="62">
        <f t="shared" si="144"/>
        <v>390.81417197867495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projet'!$B$11,Paramètres!$A$1:$I$89,3,0)*VLOOKUP('Données projet'!$B$11,Paramètres!$A$1:$I$89,5,0)</f>
        <v>-9.7543306765146564E-14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475.48669758994771</v>
      </c>
      <c r="BJ192" s="62">
        <f t="shared" si="146"/>
        <v>249.93713224442419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-4.5474735088646412E-13</v>
      </c>
      <c r="BZ192" s="14">
        <f>BY192*VLOOKUP('Données projet'!$B$12,Paramètres!$A$1:$I$89,3,0)*VLOOKUP('Données projet'!$B$12,Paramètres!$A$1:$I$89,5,0)</f>
        <v>-2.9085640562698243E-13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420.47368055225792</v>
      </c>
      <c r="CE192" s="62">
        <f t="shared" si="148"/>
        <v>372.56045490833549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1.7053025658242404E-13</v>
      </c>
      <c r="O193" s="14">
        <f>N193*VLOOKUP('Données projet'!$B$9,Paramètres!$A$1:$I$89,3,0)*VLOOKUP('Données projet'!$B$9,Paramètres!$A$1:$I$89,5,0)</f>
        <v>1.5429577615577727E-13</v>
      </c>
      <c r="P193" s="14">
        <f t="shared" si="141"/>
        <v>2.2038482767263348E-12</v>
      </c>
      <c r="Q193" s="22">
        <f t="shared" si="162"/>
        <v>4.107100892103012E-12</v>
      </c>
      <c r="R193" s="62">
        <f t="shared" si="109"/>
        <v>290.03585244760637</v>
      </c>
      <c r="S193" s="62">
        <f ca="1">AVERAGE(OFFSET($R$3,0,0,'Données projet'!$E$9+1,1))-AVERAGE(OFFSET($H$3,0,0,'Données projet'!$E$9+1,1))</f>
        <v>551.36480098497589</v>
      </c>
      <c r="T193" s="62">
        <f t="shared" si="142"/>
        <v>297.32483725004136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-6.7984728957526396E-14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388.30126110099434</v>
      </c>
      <c r="AO193" s="62">
        <f t="shared" si="144"/>
        <v>390.81417197867495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projet'!$B$11,Paramètres!$A$1:$I$89,3,0)*VLOOKUP('Données projet'!$B$11,Paramètres!$A$1:$I$89,5,0)</f>
        <v>-9.7543306765146564E-14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475.48669758994771</v>
      </c>
      <c r="BJ193" s="62">
        <f t="shared" si="146"/>
        <v>249.93713224442419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-4.5474735088646412E-13</v>
      </c>
      <c r="BZ193" s="14">
        <f>BY193*VLOOKUP('Données projet'!$B$12,Paramètres!$A$1:$I$89,3,0)*VLOOKUP('Données projet'!$B$12,Paramètres!$A$1:$I$89,5,0)</f>
        <v>-2.9085640562698243E-13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420.47368055225792</v>
      </c>
      <c r="CE193" s="62">
        <f t="shared" si="148"/>
        <v>372.56045490833549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1.7053025658242404E-13</v>
      </c>
      <c r="O194" s="14">
        <f>N194*VLOOKUP('Données projet'!$B$9,Paramètres!$A$1:$I$89,3,0)*VLOOKUP('Données projet'!$B$9,Paramètres!$A$1:$I$89,5,0)</f>
        <v>1.5429577615577727E-13</v>
      </c>
      <c r="P194" s="14">
        <f t="shared" si="141"/>
        <v>2.2038482767263348E-12</v>
      </c>
      <c r="Q194" s="22">
        <f t="shared" si="162"/>
        <v>4.107100892103012E-12</v>
      </c>
      <c r="R194" s="62">
        <f t="shared" si="109"/>
        <v>290.09305636891094</v>
      </c>
      <c r="S194" s="62">
        <f ca="1">AVERAGE(OFFSET($R$3,0,0,'Données projet'!$E$9+1,1))-AVERAGE(OFFSET($H$3,0,0,'Données projet'!$E$9+1,1))</f>
        <v>551.36480098497589</v>
      </c>
      <c r="T194" s="62">
        <f t="shared" si="142"/>
        <v>297.32483725004136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-6.7984728957526396E-14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388.30126110099434</v>
      </c>
      <c r="AO194" s="62">
        <f t="shared" si="144"/>
        <v>390.81417197867495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projet'!$B$11,Paramètres!$A$1:$I$89,3,0)*VLOOKUP('Données projet'!$B$11,Paramètres!$A$1:$I$89,5,0)</f>
        <v>-9.7543306765146564E-14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475.48669758994771</v>
      </c>
      <c r="BJ194" s="62">
        <f t="shared" si="146"/>
        <v>249.93713224442419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-4.5474735088646412E-13</v>
      </c>
      <c r="BZ194" s="14">
        <f>BY194*VLOOKUP('Données projet'!$B$12,Paramètres!$A$1:$I$89,3,0)*VLOOKUP('Données projet'!$B$12,Paramètres!$A$1:$I$89,5,0)</f>
        <v>-2.9085640562698243E-13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420.47368055225792</v>
      </c>
      <c r="CE194" s="62">
        <f t="shared" si="148"/>
        <v>372.56045490833549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1.7053025658242404E-13</v>
      </c>
      <c r="O195" s="14">
        <f>N195*VLOOKUP('Données projet'!$B$9,Paramètres!$A$1:$I$89,3,0)*VLOOKUP('Données projet'!$B$9,Paramètres!$A$1:$I$89,5,0)</f>
        <v>1.5429577615577727E-13</v>
      </c>
      <c r="P195" s="14">
        <f t="shared" si="141"/>
        <v>2.2038482767263348E-12</v>
      </c>
      <c r="Q195" s="22">
        <f t="shared" si="162"/>
        <v>4.107100892103012E-12</v>
      </c>
      <c r="R195" s="62">
        <f t="shared" ref="R195:R203" si="191">Q195+(I195+J195)*44/12</f>
        <v>290.14926793006975</v>
      </c>
      <c r="S195" s="62">
        <f ca="1">AVERAGE(OFFSET($R$3,0,0,'Données projet'!$E$9+1,1))-AVERAGE(OFFSET($H$3,0,0,'Données projet'!$E$9+1,1))</f>
        <v>551.36480098497589</v>
      </c>
      <c r="T195" s="62">
        <f t="shared" si="142"/>
        <v>297.32483725004136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-6.7984728957526396E-14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388.30126110099434</v>
      </c>
      <c r="AO195" s="62">
        <f t="shared" si="144"/>
        <v>390.81417197867495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projet'!$B$11,Paramètres!$A$1:$I$89,3,0)*VLOOKUP('Données projet'!$B$11,Paramètres!$A$1:$I$89,5,0)</f>
        <v>-9.7543306765146564E-14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475.48669758994771</v>
      </c>
      <c r="BJ195" s="62">
        <f t="shared" si="146"/>
        <v>249.93713224442419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-4.5474735088646412E-13</v>
      </c>
      <c r="BZ195" s="14">
        <f>BY195*VLOOKUP('Données projet'!$B$12,Paramètres!$A$1:$I$89,3,0)*VLOOKUP('Données projet'!$B$12,Paramètres!$A$1:$I$89,5,0)</f>
        <v>-2.9085640562698243E-13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420.47368055225792</v>
      </c>
      <c r="CE195" s="62">
        <f t="shared" si="148"/>
        <v>372.56045490833549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1.7053025658242404E-13</v>
      </c>
      <c r="O196" s="14">
        <f>N196*VLOOKUP('Données projet'!$B$9,Paramètres!$A$1:$I$89,3,0)*VLOOKUP('Données projet'!$B$9,Paramètres!$A$1:$I$89,5,0)</f>
        <v>1.5429577615577727E-13</v>
      </c>
      <c r="P196" s="14">
        <f t="shared" si="141"/>
        <v>2.2038482767263348E-12</v>
      </c>
      <c r="Q196" s="22">
        <f t="shared" si="162"/>
        <v>4.107100892103012E-12</v>
      </c>
      <c r="R196" s="62">
        <f t="shared" si="191"/>
        <v>290.2045043463126</v>
      </c>
      <c r="S196" s="62">
        <f ca="1">AVERAGE(OFFSET($R$3,0,0,'Données projet'!$E$9+1,1))-AVERAGE(OFFSET($H$3,0,0,'Données projet'!$E$9+1,1))</f>
        <v>551.36480098497589</v>
      </c>
      <c r="T196" s="62">
        <f t="shared" si="142"/>
        <v>297.32483725004136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-6.7984728957526396E-14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388.30126110099434</v>
      </c>
      <c r="AO196" s="62">
        <f t="shared" si="144"/>
        <v>390.81417197867495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projet'!$B$11,Paramètres!$A$1:$I$89,3,0)*VLOOKUP('Données projet'!$B$11,Paramètres!$A$1:$I$89,5,0)</f>
        <v>-9.7543306765146564E-14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475.48669758994771</v>
      </c>
      <c r="BJ196" s="62">
        <f t="shared" si="146"/>
        <v>249.93713224442419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-4.5474735088646412E-13</v>
      </c>
      <c r="BZ196" s="14">
        <f>BY196*VLOOKUP('Données projet'!$B$12,Paramètres!$A$1:$I$89,3,0)*VLOOKUP('Données projet'!$B$12,Paramètres!$A$1:$I$89,5,0)</f>
        <v>-2.9085640562698243E-13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420.47368055225792</v>
      </c>
      <c r="CE196" s="62">
        <f t="shared" si="148"/>
        <v>372.56045490833549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1.7053025658242404E-13</v>
      </c>
      <c r="O197" s="14">
        <f>N197*VLOOKUP('Données projet'!$B$9,Paramètres!$A$1:$I$89,3,0)*VLOOKUP('Données projet'!$B$9,Paramètres!$A$1:$I$89,5,0)</f>
        <v>1.5429577615577727E-13</v>
      </c>
      <c r="P197" s="14">
        <f t="shared" ref="P197:P203" si="203">EXP(-1.0587+0.8836*LN(O197)+0.284)</f>
        <v>2.2038482767263348E-12</v>
      </c>
      <c r="Q197" s="22">
        <f t="shared" si="162"/>
        <v>4.107100892103012E-12</v>
      </c>
      <c r="R197" s="62">
        <f t="shared" si="191"/>
        <v>290.25878253422383</v>
      </c>
      <c r="S197" s="62">
        <f ca="1">AVERAGE(OFFSET($R$3,0,0,'Données projet'!$E$9+1,1))-AVERAGE(OFFSET($H$3,0,0,'Données projet'!$E$9+1,1))</f>
        <v>551.36480098497589</v>
      </c>
      <c r="T197" s="62">
        <f t="shared" ref="T197:T203" si="204">$T$3</f>
        <v>297.32483725004136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-6.7984728957526396E-14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388.30126110099434</v>
      </c>
      <c r="AO197" s="62">
        <f t="shared" ref="AO197:AO203" si="205">$AO$3</f>
        <v>390.81417197867495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projet'!$B$11,Paramètres!$A$1:$I$89,3,0)*VLOOKUP('Données projet'!$B$11,Paramètres!$A$1:$I$89,5,0)</f>
        <v>-9.7543306765146564E-14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475.48669758994771</v>
      </c>
      <c r="BJ197" s="62">
        <f t="shared" ref="BJ197:BJ203" si="206">$BJ$3</f>
        <v>249.93713224442419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-4.5474735088646412E-13</v>
      </c>
      <c r="BZ197" s="14">
        <f>BY197*VLOOKUP('Données projet'!$B$12,Paramètres!$A$1:$I$89,3,0)*VLOOKUP('Données projet'!$B$12,Paramètres!$A$1:$I$89,5,0)</f>
        <v>-2.9085640562698243E-13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420.47368055225792</v>
      </c>
      <c r="CE197" s="62">
        <f t="shared" ref="CE197:CE203" si="207">$CE$3</f>
        <v>372.56045490833549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1.7053025658242404E-13</v>
      </c>
      <c r="O198" s="14">
        <f>N198*VLOOKUP('Données projet'!$B$9,Paramètres!$A$1:$I$89,3,0)*VLOOKUP('Données projet'!$B$9,Paramètres!$A$1:$I$89,5,0)</f>
        <v>1.5429577615577727E-13</v>
      </c>
      <c r="P198" s="14">
        <f t="shared" si="203"/>
        <v>2.2038482767263348E-12</v>
      </c>
      <c r="Q198" s="22">
        <f t="shared" si="162"/>
        <v>4.107100892103012E-12</v>
      </c>
      <c r="R198" s="62">
        <f t="shared" si="191"/>
        <v>290.31211911692259</v>
      </c>
      <c r="S198" s="62">
        <f ca="1">AVERAGE(OFFSET($R$3,0,0,'Données projet'!$E$9+1,1))-AVERAGE(OFFSET($H$3,0,0,'Données projet'!$E$9+1,1))</f>
        <v>551.36480098497589</v>
      </c>
      <c r="T198" s="62">
        <f t="shared" si="204"/>
        <v>297.32483725004136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-6.7984728957526396E-14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388.30126110099434</v>
      </c>
      <c r="AO198" s="62">
        <f t="shared" si="205"/>
        <v>390.81417197867495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projet'!$B$11,Paramètres!$A$1:$I$89,3,0)*VLOOKUP('Données projet'!$B$11,Paramètres!$A$1:$I$89,5,0)</f>
        <v>-9.7543306765146564E-14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475.48669758994771</v>
      </c>
      <c r="BJ198" s="62">
        <f t="shared" si="206"/>
        <v>249.93713224442419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-4.5474735088646412E-13</v>
      </c>
      <c r="BZ198" s="14">
        <f>BY198*VLOOKUP('Données projet'!$B$12,Paramètres!$A$1:$I$89,3,0)*VLOOKUP('Données projet'!$B$12,Paramètres!$A$1:$I$89,5,0)</f>
        <v>-2.9085640562698243E-13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420.47368055225792</v>
      </c>
      <c r="CE198" s="62">
        <f t="shared" si="207"/>
        <v>372.56045490833549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1.7053025658242404E-13</v>
      </c>
      <c r="O199" s="14">
        <f>N199*VLOOKUP('Données projet'!$B$9,Paramètres!$A$1:$I$89,3,0)*VLOOKUP('Données projet'!$B$9,Paramètres!$A$1:$I$89,5,0)</f>
        <v>1.5429577615577727E-13</v>
      </c>
      <c r="P199" s="14">
        <f t="shared" si="203"/>
        <v>2.2038482767263348E-12</v>
      </c>
      <c r="Q199" s="22">
        <f t="shared" si="162"/>
        <v>4.107100892103012E-12</v>
      </c>
      <c r="R199" s="62">
        <f t="shared" si="191"/>
        <v>290.36453042915429</v>
      </c>
      <c r="S199" s="62">
        <f ca="1">AVERAGE(OFFSET($R$3,0,0,'Données projet'!$E$9+1,1))-AVERAGE(OFFSET($H$3,0,0,'Données projet'!$E$9+1,1))</f>
        <v>551.36480098497589</v>
      </c>
      <c r="T199" s="62">
        <f t="shared" si="204"/>
        <v>297.32483725004136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-6.7984728957526396E-14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388.30126110099434</v>
      </c>
      <c r="AO199" s="62">
        <f t="shared" si="205"/>
        <v>390.81417197867495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projet'!$B$11,Paramètres!$A$1:$I$89,3,0)*VLOOKUP('Données projet'!$B$11,Paramètres!$A$1:$I$89,5,0)</f>
        <v>-9.7543306765146564E-14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475.48669758994771</v>
      </c>
      <c r="BJ199" s="62">
        <f t="shared" si="206"/>
        <v>249.93713224442419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-4.5474735088646412E-13</v>
      </c>
      <c r="BZ199" s="14">
        <f>BY199*VLOOKUP('Données projet'!$B$12,Paramètres!$A$1:$I$89,3,0)*VLOOKUP('Données projet'!$B$12,Paramètres!$A$1:$I$89,5,0)</f>
        <v>-2.9085640562698243E-13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420.47368055225792</v>
      </c>
      <c r="CE199" s="62">
        <f t="shared" si="207"/>
        <v>372.56045490833549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1.7053025658242404E-13</v>
      </c>
      <c r="O200" s="14">
        <f>N200*VLOOKUP('Données projet'!$B$9,Paramètres!$A$1:$I$89,3,0)*VLOOKUP('Données projet'!$B$9,Paramètres!$A$1:$I$89,5,0)</f>
        <v>1.5429577615577727E-13</v>
      </c>
      <c r="P200" s="14">
        <f t="shared" si="203"/>
        <v>2.2038482767263348E-12</v>
      </c>
      <c r="Q200" s="22">
        <f t="shared" si="162"/>
        <v>4.107100892103012E-12</v>
      </c>
      <c r="R200" s="62">
        <f t="shared" si="191"/>
        <v>290.41603252229288</v>
      </c>
      <c r="S200" s="62">
        <f ca="1">AVERAGE(OFFSET($R$3,0,0,'Données projet'!$E$9+1,1))-AVERAGE(OFFSET($H$3,0,0,'Données projet'!$E$9+1,1))</f>
        <v>551.36480098497589</v>
      </c>
      <c r="T200" s="62">
        <f t="shared" si="204"/>
        <v>297.32483725004136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-6.7984728957526396E-14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388.30126110099434</v>
      </c>
      <c r="AO200" s="62">
        <f t="shared" si="205"/>
        <v>390.81417197867495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projet'!$B$11,Paramètres!$A$1:$I$89,3,0)*VLOOKUP('Données projet'!$B$11,Paramètres!$A$1:$I$89,5,0)</f>
        <v>-9.7543306765146564E-14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475.48669758994771</v>
      </c>
      <c r="BJ200" s="62">
        <f t="shared" si="206"/>
        <v>249.93713224442419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-4.5474735088646412E-13</v>
      </c>
      <c r="BZ200" s="14">
        <f>BY200*VLOOKUP('Données projet'!$B$12,Paramètres!$A$1:$I$89,3,0)*VLOOKUP('Données projet'!$B$12,Paramètres!$A$1:$I$89,5,0)</f>
        <v>-2.9085640562698243E-13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420.47368055225792</v>
      </c>
      <c r="CE200" s="62">
        <f t="shared" si="207"/>
        <v>372.56045490833549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1.7053025658242404E-13</v>
      </c>
      <c r="O201" s="14">
        <f>N201*VLOOKUP('Données projet'!$B$9,Paramètres!$A$1:$I$89,3,0)*VLOOKUP('Données projet'!$B$9,Paramètres!$A$1:$I$89,5,0)</f>
        <v>1.5429577615577727E-13</v>
      </c>
      <c r="P201" s="14">
        <f t="shared" si="203"/>
        <v>2.2038482767263348E-12</v>
      </c>
      <c r="Q201" s="22">
        <f t="shared" si="162"/>
        <v>4.107100892103012E-12</v>
      </c>
      <c r="R201" s="62">
        <f t="shared" si="191"/>
        <v>290.466641169257</v>
      </c>
      <c r="S201" s="62">
        <f ca="1">AVERAGE(OFFSET($R$3,0,0,'Données projet'!$E$9+1,1))-AVERAGE(OFFSET($H$3,0,0,'Données projet'!$E$9+1,1))</f>
        <v>551.36480098497589</v>
      </c>
      <c r="T201" s="62">
        <f t="shared" si="204"/>
        <v>297.32483725004136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-6.7984728957526396E-14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388.30126110099434</v>
      </c>
      <c r="AO201" s="62">
        <f t="shared" si="205"/>
        <v>390.81417197867495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projet'!$B$11,Paramètres!$A$1:$I$89,3,0)*VLOOKUP('Données projet'!$B$11,Paramètres!$A$1:$I$89,5,0)</f>
        <v>-9.7543306765146564E-14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475.48669758994771</v>
      </c>
      <c r="BJ201" s="62">
        <f t="shared" si="206"/>
        <v>249.93713224442419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-4.5474735088646412E-13</v>
      </c>
      <c r="BZ201" s="14">
        <f>BY201*VLOOKUP('Données projet'!$B$12,Paramètres!$A$1:$I$89,3,0)*VLOOKUP('Données projet'!$B$12,Paramètres!$A$1:$I$89,5,0)</f>
        <v>-2.9085640562698243E-13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420.47368055225792</v>
      </c>
      <c r="CE201" s="62">
        <f t="shared" si="207"/>
        <v>372.56045490833549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1.7053025658242404E-13</v>
      </c>
      <c r="O202" s="14">
        <f>N202*VLOOKUP('Données projet'!$B$9,Paramètres!$A$1:$I$89,3,0)*VLOOKUP('Données projet'!$B$9,Paramètres!$A$1:$I$89,5,0)</f>
        <v>1.5429577615577727E-13</v>
      </c>
      <c r="P202" s="14">
        <f t="shared" si="203"/>
        <v>2.2038482767263348E-12</v>
      </c>
      <c r="Q202" s="22">
        <f t="shared" si="162"/>
        <v>4.107100892103012E-12</v>
      </c>
      <c r="R202" s="62">
        <f t="shared" si="191"/>
        <v>290.51637186934022</v>
      </c>
      <c r="S202" s="62">
        <f ca="1">AVERAGE(OFFSET($R$3,0,0,'Données projet'!$E$9+1,1))-AVERAGE(OFFSET($H$3,0,0,'Données projet'!$E$9+1,1))</f>
        <v>551.36480098497589</v>
      </c>
      <c r="T202" s="62">
        <f t="shared" si="204"/>
        <v>297.32483725004136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-6.7984728957526396E-14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388.30126110099434</v>
      </c>
      <c r="AO202" s="62">
        <f t="shared" si="205"/>
        <v>390.81417197867495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projet'!$B$11,Paramètres!$A$1:$I$89,3,0)*VLOOKUP('Données projet'!$B$11,Paramètres!$A$1:$I$89,5,0)</f>
        <v>-9.7543306765146564E-14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475.48669758994771</v>
      </c>
      <c r="BJ202" s="62">
        <f t="shared" si="206"/>
        <v>249.93713224442419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-4.5474735088646412E-13</v>
      </c>
      <c r="BZ202" s="14">
        <f>BY202*VLOOKUP('Données projet'!$B$12,Paramètres!$A$1:$I$89,3,0)*VLOOKUP('Données projet'!$B$12,Paramètres!$A$1:$I$89,5,0)</f>
        <v>-2.9085640562698243E-13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420.47368055225792</v>
      </c>
      <c r="CE202" s="62">
        <f t="shared" si="207"/>
        <v>372.56045490833549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1.7053025658242404E-13</v>
      </c>
      <c r="O203" s="14">
        <f>N203*VLOOKUP('Données projet'!$B$9,Paramètres!$A$1:$I$89,3,0)*VLOOKUP('Données projet'!$B$9,Paramètres!$A$1:$I$89,5,0)</f>
        <v>1.5429577615577727E-13</v>
      </c>
      <c r="P203" s="14">
        <f t="shared" si="203"/>
        <v>2.2038482767263348E-12</v>
      </c>
      <c r="Q203" s="22">
        <f t="shared" si="162"/>
        <v>4.107100892103012E-12</v>
      </c>
      <c r="R203" s="62">
        <f t="shared" si="191"/>
        <v>290.5652398529582</v>
      </c>
      <c r="S203" s="62">
        <f ca="1">AVERAGE(OFFSET($R$3,0,0,'Données projet'!$E$9+1,1))-AVERAGE(OFFSET($H$3,0,0,'Données projet'!$E$9+1,1))</f>
        <v>551.36480098497589</v>
      </c>
      <c r="T203" s="62">
        <f t="shared" si="204"/>
        <v>297.32483725004136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-6.7984728957526396E-14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388.30126110099434</v>
      </c>
      <c r="AO203" s="62">
        <f t="shared" si="205"/>
        <v>390.81417197867495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projet'!$B$11,Paramètres!$A$1:$I$89,3,0)*VLOOKUP('Données projet'!$B$11,Paramètres!$A$1:$I$89,5,0)</f>
        <v>-9.7543306765146564E-14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475.48669758994771</v>
      </c>
      <c r="BJ203" s="62">
        <f t="shared" si="206"/>
        <v>249.93713224442419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-4.5474735088646412E-13</v>
      </c>
      <c r="BZ203" s="14">
        <f>BY203*VLOOKUP('Données projet'!$B$12,Paramètres!$A$1:$I$89,3,0)*VLOOKUP('Données projet'!$B$12,Paramètres!$A$1:$I$89,5,0)</f>
        <v>-2.9085640562698243E-13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420.47368055225792</v>
      </c>
      <c r="CE203" s="62">
        <f t="shared" si="207"/>
        <v>372.56045490833549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1.3239616704988877</v>
      </c>
      <c r="BA205" s="88">
        <f>EXP(LN('Données projet'!B88)/'Données projet'!A88)</f>
        <v>1.0629350704110543</v>
      </c>
      <c r="BV205" s="88">
        <f>EXP(LN('Données projet'!B114)/'Données projet'!A114)</f>
        <v>1.2834113234941327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B1" zoomScale="70" zoomScaleNormal="70" workbookViewId="0">
      <selection activeCell="K29" sqref="K29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sessile</v>
      </c>
      <c r="B6" s="155">
        <f>'Données projet'!D9</f>
        <v>1.7428999999999999</v>
      </c>
      <c r="C6" s="156">
        <f ca="1">IF(OR('Données projet'!B9="",'Données projet'!C9="",'Données projet'!C9=0%),0,Calculateur!S3)</f>
        <v>551.36480098497589</v>
      </c>
      <c r="D6" s="156">
        <f>IF(OR('Données projet'!B9="",'Données projet'!C9="",'Données projet'!C9=0%),0,Calculateur!T3)</f>
        <v>297.32483725004136</v>
      </c>
      <c r="E6" s="156">
        <f ca="1">MIN(C6,D6)</f>
        <v>297.32483725004136</v>
      </c>
      <c r="F6" s="156">
        <f ca="1">E6*B6</f>
        <v>518.20745884309702</v>
      </c>
      <c r="G6" s="156">
        <f ca="1">F6*(100%-'Données projet'!$C$24)*(100%-'Données projet'!$C$25)*(100%-'Données projet'!$C$26)*(100%-'Données projet'!$C$27)</f>
        <v>466.38671295878731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14.814649999999999</v>
      </c>
      <c r="K6" s="160">
        <f>J6*(100%-'Données projet'!$C$24)*(100%-'Données projet'!$C$25)*(100%-'Données projet'!$C$26)*(100%-'Données projet'!$C$27)</f>
        <v>13.333184999999999</v>
      </c>
      <c r="L6" s="161">
        <f ca="1">G6+I6+K6</f>
        <v>479.71989795878733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Pin laricio</v>
      </c>
      <c r="B7" s="163">
        <f>'Données projet'!D10</f>
        <v>0.43557999999999997</v>
      </c>
      <c r="C7" s="156">
        <f ca="1">IF(OR('Données projet'!B10="",'Données projet'!C10="",'Données projet'!C10=0%),0,Calculateur!AN3)</f>
        <v>388.30126110099434</v>
      </c>
      <c r="D7" s="156">
        <f>IF(OR('Données projet'!B10="",'Données projet'!C10="",'Données projet'!C10=0%),0,Calculateur!AO3)</f>
        <v>390.81417197867495</v>
      </c>
      <c r="E7" s="156">
        <f t="shared" ref="E7:E15" ca="1" si="0">MIN(C7,D7)</f>
        <v>388.30126110099434</v>
      </c>
      <c r="F7" s="156">
        <f t="shared" ref="F7:F15" ca="1" si="1">E7*B7</f>
        <v>169.13626331037111</v>
      </c>
      <c r="G7" s="156">
        <f ca="1">F7*(100%-'Données projet'!$C$24)*(100%-'Données projet'!$C$25)*(100%-'Données projet'!$C$26)*(100%-'Données projet'!$C$27)</f>
        <v>152.222636979334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12.361760399999998</v>
      </c>
      <c r="K7" s="160">
        <f>J7*(100%-'Données projet'!$C$24)*(100%-'Données projet'!$C$25)*(100%-'Données projet'!$C$26)*(100%-'Données projet'!$C$27)</f>
        <v>11.125584359999998</v>
      </c>
      <c r="L7" s="161">
        <f t="shared" ref="L7:L15" ca="1" si="2">G7+I7+K7</f>
        <v>163.348221339334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Hêtre</v>
      </c>
      <c r="B8" s="163">
        <f>'Données projet'!D11</f>
        <v>0.43557999999999997</v>
      </c>
      <c r="C8" s="156">
        <f ca="1">IF(OR('Données projet'!B11="",'Données projet'!C11="",'Données projet'!C11=0%),0,Calculateur!BI3)</f>
        <v>475.48669758994771</v>
      </c>
      <c r="D8" s="156">
        <f>IF(OR('Données projet'!B11="",'Données projet'!C11="",'Données projet'!C11=0%),0,Calculateur!BJ3)</f>
        <v>249.93713224442419</v>
      </c>
      <c r="E8" s="156">
        <f t="shared" ca="1" si="0"/>
        <v>249.93713224442419</v>
      </c>
      <c r="F8" s="156">
        <f t="shared" ca="1" si="1"/>
        <v>108.86761606302628</v>
      </c>
      <c r="G8" s="156">
        <f ca="1">F8*(100%-'Données projet'!$C$24)*(100%-'Données projet'!$C$25)*(100%-'Données projet'!$C$26)*(100%-'Données projet'!$C$27)</f>
        <v>97.980854456723648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2.722375</v>
      </c>
      <c r="K8" s="160">
        <f>J8*(100%-'Données projet'!$C$24)*(100%-'Données projet'!$C$25)*(100%-'Données projet'!$C$26)*(100%-'Données projet'!$C$27)</f>
        <v>2.4501374999999999</v>
      </c>
      <c r="L8" s="161">
        <f t="shared" ca="1" si="2"/>
        <v>100.43099195672364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Tulipier de Virginie</v>
      </c>
      <c r="B9" s="163">
        <f>'Données projet'!D12</f>
        <v>3.1899999999999998E-2</v>
      </c>
      <c r="C9" s="156">
        <f ca="1">IF(OR('Données projet'!B12="",'Données projet'!C12="",'Données projet'!C12=0%),0,Calculateur!CD3)</f>
        <v>420.47368055225792</v>
      </c>
      <c r="D9" s="156">
        <f>IF(OR('Données projet'!B12="",'Données projet'!C12="",'Données projet'!C12=0%),0,Calculateur!CE3)</f>
        <v>372.56045490833549</v>
      </c>
      <c r="E9" s="156">
        <f t="shared" ca="1" si="0"/>
        <v>372.56045490833549</v>
      </c>
      <c r="F9" s="156">
        <f t="shared" ca="1" si="1"/>
        <v>11.884678511575901</v>
      </c>
      <c r="G9" s="156">
        <f ca="1">F9*(100%-'Données projet'!$C$24)*(100%-'Données projet'!$C$25)*(100%-'Données projet'!$C$26)*(100%-'Données projet'!$C$27)</f>
        <v>10.696210660418311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0.42267499999999997</v>
      </c>
      <c r="K9" s="160">
        <f>J9*(100%-'Données projet'!$C$24)*(100%-'Données projet'!$C$25)*(100%-'Données projet'!$C$26)*(100%-'Données projet'!$C$27)</f>
        <v>0.38040749999999995</v>
      </c>
      <c r="L9" s="161">
        <f t="shared" ca="1" si="2"/>
        <v>11.076618160418311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808.09601672807025</v>
      </c>
      <c r="G16" s="175">
        <f t="shared" ca="1" si="3"/>
        <v>727.28641505526321</v>
      </c>
      <c r="H16" s="176">
        <f t="shared" si="3"/>
        <v>0</v>
      </c>
      <c r="I16" s="176">
        <f t="shared" si="3"/>
        <v>0</v>
      </c>
      <c r="J16" s="177">
        <f t="shared" si="3"/>
        <v>30.321460399999996</v>
      </c>
      <c r="K16" s="177">
        <f t="shared" si="3"/>
        <v>27.289314359999999</v>
      </c>
      <c r="L16" s="178">
        <f t="shared" ca="1" si="3"/>
        <v>754.57572941526337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Pin laricio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Hêtre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Tulipier de Virginie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R13" zoomScale="90" zoomScaleNormal="90" workbookViewId="0">
      <selection activeCell="C101" sqref="C10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1417.1836750923057</v>
      </c>
      <c r="U10" s="190">
        <f>'Données projet'!D9</f>
        <v>1.7428999999999999</v>
      </c>
      <c r="V10" s="189">
        <f>U10*T10</f>
        <v>2470.0094273183795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laricio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2068.3813181227843</v>
      </c>
      <c r="U11" s="190">
        <f>'Données projet'!D10</f>
        <v>0.43557999999999997</v>
      </c>
      <c r="V11" s="189">
        <f t="shared" ref="V11" si="0">U11*T11</f>
        <v>900.94553454792231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Hêtre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1494.4640197572319</v>
      </c>
      <c r="U12" s="190">
        <f>'Données projet'!D11</f>
        <v>0.43557999999999997</v>
      </c>
      <c r="V12" s="189">
        <f t="shared" ref="V12:V19" si="1">U12*T12</f>
        <v>650.95863772585506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Tulipier de Virginie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1217.3281014552695</v>
      </c>
      <c r="U13" s="190">
        <f>'Données projet'!D12</f>
        <v>3.1899999999999998E-2</v>
      </c>
      <c r="V13" s="189">
        <f t="shared" si="1"/>
        <v>38.832766436423093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11141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-28248.153633971418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25</v>
      </c>
      <c r="B24" s="193">
        <f>'Données projet'!D37</f>
        <v>34</v>
      </c>
      <c r="C24" s="206">
        <v>10</v>
      </c>
      <c r="D24" s="194">
        <f t="shared" ref="D24:D42" si="2">B24*C24</f>
        <v>340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19097.351840221789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300</v>
      </c>
      <c r="Q25" s="265"/>
      <c r="R25" s="25"/>
      <c r="S25" s="198" t="s">
        <v>266</v>
      </c>
      <c r="T25" s="336">
        <f ca="1">T23-T24</f>
        <v>-47345.505474193211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35</v>
      </c>
      <c r="B26" s="193">
        <f>'Données projet'!D39</f>
        <v>56</v>
      </c>
      <c r="C26" s="206">
        <v>20</v>
      </c>
      <c r="D26" s="194">
        <f t="shared" si="2"/>
        <v>1120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45</v>
      </c>
      <c r="B28" s="193">
        <f>'Données projet'!D41</f>
        <v>56</v>
      </c>
      <c r="C28" s="206">
        <v>30</v>
      </c>
      <c r="D28" s="194">
        <f t="shared" si="2"/>
        <v>1680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55</v>
      </c>
      <c r="B30" s="193">
        <f>'Données projet'!D43</f>
        <v>56</v>
      </c>
      <c r="C30" s="206">
        <v>40</v>
      </c>
      <c r="D30" s="194">
        <f t="shared" si="2"/>
        <v>2240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6585.2937380075136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65</v>
      </c>
      <c r="B32" s="193">
        <f>'Données projet'!D45</f>
        <v>56</v>
      </c>
      <c r="C32" s="206">
        <v>50</v>
      </c>
      <c r="D32" s="194">
        <f t="shared" si="2"/>
        <v>2800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70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300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75</v>
      </c>
      <c r="B34" s="193">
        <f>'Données projet'!D47</f>
        <v>56</v>
      </c>
      <c r="C34" s="206">
        <v>60</v>
      </c>
      <c r="D34" s="194">
        <f t="shared" si="2"/>
        <v>3360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287.08133971291869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80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274.7189853712141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85</v>
      </c>
      <c r="B36" s="193">
        <f>'Données projet'!D49</f>
        <v>56</v>
      </c>
      <c r="C36" s="206">
        <v>70</v>
      </c>
      <c r="D36" s="194">
        <f t="shared" si="2"/>
        <v>3920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262.88898121647281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95</v>
      </c>
      <c r="B37" s="193">
        <f>'Données projet'!D50</f>
        <v>56</v>
      </c>
      <c r="C37" s="206">
        <v>75</v>
      </c>
      <c r="D37" s="194">
        <f t="shared" si="2"/>
        <v>4200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251.56840307796446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105</v>
      </c>
      <c r="B38" s="193">
        <f>'Données projet'!D51</f>
        <v>53</v>
      </c>
      <c r="C38" s="206">
        <v>80</v>
      </c>
      <c r="D38" s="194">
        <f t="shared" si="2"/>
        <v>4240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240.73531395020524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115</v>
      </c>
      <c r="B39" s="193">
        <f>'Données projet'!D52</f>
        <v>49</v>
      </c>
      <c r="C39" s="206">
        <v>85</v>
      </c>
      <c r="D39" s="194">
        <f t="shared" si="2"/>
        <v>4165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230.36872148345003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125</v>
      </c>
      <c r="B40" s="193">
        <f>'Données projet'!D53</f>
        <v>45</v>
      </c>
      <c r="C40" s="206">
        <v>90</v>
      </c>
      <c r="D40" s="194">
        <f t="shared" si="2"/>
        <v>4050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220.44853730473687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135</v>
      </c>
      <c r="B41" s="193">
        <f>'Données projet'!D54</f>
        <v>43</v>
      </c>
      <c r="C41" s="206">
        <v>100</v>
      </c>
      <c r="D41" s="194">
        <f t="shared" si="2"/>
        <v>4300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210.95553809065734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150</v>
      </c>
      <c r="B42" s="193">
        <f>'Données projet'!D55</f>
        <v>355</v>
      </c>
      <c r="C42" s="206">
        <v>200</v>
      </c>
      <c r="D42" s="194">
        <f t="shared" si="2"/>
        <v>71000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201.87132831641853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193.178304609013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184.85962163541913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Pin laricio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176.89915945973127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169.28149230596293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161.99185866599325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155.01613269473037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148.34079683706261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141.95291563355275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135.8401106541175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129.99053651111723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124.39285790537537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17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119.03622766064626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113.91026570396777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25</v>
      </c>
      <c r="B56" s="193">
        <f>'Données projet'!D64</f>
        <v>66</v>
      </c>
      <c r="C56" s="204">
        <v>10</v>
      </c>
      <c r="D56" s="191">
        <f t="shared" si="4"/>
        <v>660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109.00503895116532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104.31104205853143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35</v>
      </c>
      <c r="B58" s="193">
        <f>'Données projet'!D66</f>
        <v>106</v>
      </c>
      <c r="C58" s="204">
        <v>15</v>
      </c>
      <c r="D58" s="191">
        <f t="shared" si="4"/>
        <v>1590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99.819179003379361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40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95.520745457779313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45</v>
      </c>
      <c r="B60" s="193">
        <f>'Données projet'!D68</f>
        <v>105</v>
      </c>
      <c r="C60" s="204">
        <v>20</v>
      </c>
      <c r="D60" s="191">
        <f t="shared" si="4"/>
        <v>2100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91.40741192131992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50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87.471207580210475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55</v>
      </c>
      <c r="B62" s="193">
        <f>'Données projet'!D70</f>
        <v>95</v>
      </c>
      <c r="C62" s="204">
        <v>25</v>
      </c>
      <c r="D62" s="191">
        <f t="shared" si="4"/>
        <v>2375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83.704504861445415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60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80.100004652100907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65</v>
      </c>
      <c r="B64" s="193">
        <f>'Données projet'!D72</f>
        <v>587</v>
      </c>
      <c r="C64" s="204">
        <v>30</v>
      </c>
      <c r="D64" s="191">
        <f t="shared" si="4"/>
        <v>17610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76.650722155120462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73.349973354182296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70.191362061418488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67.168767522888501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64.276332557788038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61.508452208409622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58.859762878860884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56.32513194149368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53.899647790903046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51.578610326223021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49.357521843275627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47.232078318924053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Hêtre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45.198161070740717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43.251828775828443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41.389309833328653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39.606995055816903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37.901430675422873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36.269311651122379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34.707475264231938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33.212894989695648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31.782674631287698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18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30.414042709366225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21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29.104347090302607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27</v>
      </c>
      <c r="B87" s="193">
        <f>'Données projet'!D90</f>
        <v>12</v>
      </c>
      <c r="C87" s="204">
        <v>10</v>
      </c>
      <c r="D87" s="191">
        <f t="shared" si="6"/>
        <v>120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27.851049847179539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30</v>
      </c>
      <c r="B88" s="193">
        <f>'Données projet'!D91</f>
        <v>13</v>
      </c>
      <c r="C88" s="204">
        <v>10</v>
      </c>
      <c r="D88" s="191">
        <f t="shared" si="6"/>
        <v>130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26.6517223417986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36</v>
      </c>
      <c r="B89" s="193">
        <f>'Données projet'!D92</f>
        <v>60</v>
      </c>
      <c r="C89" s="204">
        <v>15</v>
      </c>
      <c r="D89" s="191">
        <f t="shared" si="6"/>
        <v>900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25.504040518467566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42</v>
      </c>
      <c r="B90" s="193">
        <f>'Données projet'!D93</f>
        <v>59</v>
      </c>
      <c r="C90" s="204">
        <v>20</v>
      </c>
      <c r="D90" s="191">
        <f t="shared" si="6"/>
        <v>1180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24.405780400447433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48</v>
      </c>
      <c r="B91" s="193">
        <f>'Données projet'!D94</f>
        <v>63</v>
      </c>
      <c r="C91" s="204">
        <v>25</v>
      </c>
      <c r="D91" s="191">
        <f t="shared" si="6"/>
        <v>1575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23.354813780332478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54</v>
      </c>
      <c r="B92" s="193">
        <f>'Données projet'!D95</f>
        <v>64</v>
      </c>
      <c r="C92" s="204">
        <v>30</v>
      </c>
      <c r="D92" s="191">
        <f t="shared" si="6"/>
        <v>1920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22.349104096011942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60</v>
      </c>
      <c r="B93" s="193">
        <f>'Données projet'!D96</f>
        <v>61</v>
      </c>
      <c r="C93" s="204">
        <v>35</v>
      </c>
      <c r="D93" s="191">
        <f t="shared" si="6"/>
        <v>2135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21.386702484221956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69</v>
      </c>
      <c r="B94" s="193">
        <f>'Données projet'!D97</f>
        <v>84</v>
      </c>
      <c r="C94" s="204">
        <v>35</v>
      </c>
      <c r="D94" s="191">
        <f t="shared" si="6"/>
        <v>2940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20.465744004040147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78</v>
      </c>
      <c r="B95" s="193">
        <f>'Données projet'!D98</f>
        <v>39</v>
      </c>
      <c r="C95" s="204">
        <v>40</v>
      </c>
      <c r="D95" s="191">
        <f t="shared" si="6"/>
        <v>1560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19.584444023004931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84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18.741094758856391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90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17.934061970197515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96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17.16178178966269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99</v>
      </c>
      <c r="B99" s="193">
        <f>'Données projet'!D102</f>
        <v>591</v>
      </c>
      <c r="C99" s="204">
        <v>45</v>
      </c>
      <c r="D99" s="191">
        <f t="shared" si="6"/>
        <v>26595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str">
        <f>IF(O98+1&lt;=MIN('Données projet'!$E$9:$E$18),O98+1,"STOP")</f>
        <v>STOP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Tulipier de Virginie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20</v>
      </c>
      <c r="B116" s="193">
        <f>'Données projet'!D114</f>
        <v>53</v>
      </c>
      <c r="C116" s="204">
        <v>10</v>
      </c>
      <c r="D116" s="191">
        <f>B116*C116</f>
        <v>530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30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40</v>
      </c>
      <c r="B118" s="193">
        <f>'Données projet'!D116</f>
        <v>135</v>
      </c>
      <c r="C118" s="204">
        <v>15</v>
      </c>
      <c r="D118" s="191">
        <f t="shared" si="8"/>
        <v>2025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50</v>
      </c>
      <c r="B119" s="193">
        <f>'Données projet'!D117</f>
        <v>57</v>
      </c>
      <c r="C119" s="204">
        <v>20</v>
      </c>
      <c r="D119" s="191">
        <f t="shared" si="8"/>
        <v>1140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60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70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80</v>
      </c>
      <c r="B122" s="193">
        <f>'Données projet'!D120</f>
        <v>590</v>
      </c>
      <c r="C122" s="204">
        <v>30</v>
      </c>
      <c r="D122" s="191">
        <f t="shared" si="8"/>
        <v>17700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 STOUFF</cp:lastModifiedBy>
  <dcterms:created xsi:type="dcterms:W3CDTF">2021-02-01T08:22:39Z</dcterms:created>
  <dcterms:modified xsi:type="dcterms:W3CDTF">2022-01-17T20:09:44Z</dcterms:modified>
</cp:coreProperties>
</file>