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Festival de Cannes\CNPF C+for n° 53 Cantal (Festival de Cannes n° 3)\"/>
    </mc:Choice>
  </mc:AlternateContent>
  <bookViews>
    <workbookView xWindow="0" yWindow="0" windowWidth="20490" windowHeight="775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0" i="1" l="1"/>
  <c r="D249" i="1"/>
  <c r="B249" i="1"/>
  <c r="B248" i="1"/>
  <c r="D247" i="1"/>
  <c r="B247" i="1"/>
  <c r="B246" i="1"/>
  <c r="D245" i="1"/>
  <c r="B245" i="1"/>
  <c r="B244" i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B167" i="1"/>
  <c r="D167" i="1"/>
  <c r="B166" i="1"/>
  <c r="B75" i="1" l="1"/>
  <c r="D74" i="1"/>
  <c r="B74" i="1"/>
  <c r="B73" i="1"/>
  <c r="D72" i="1"/>
  <c r="B72" i="1"/>
  <c r="B71" i="1"/>
  <c r="D70" i="1"/>
  <c r="B70" i="1"/>
  <c r="B69" i="1"/>
  <c r="D68" i="1"/>
  <c r="B68" i="1"/>
  <c r="B67" i="1"/>
  <c r="D66" i="1"/>
  <c r="B66" i="1"/>
  <c r="B65" i="1"/>
  <c r="D64" i="1"/>
  <c r="B64" i="1"/>
  <c r="B63" i="1"/>
  <c r="D277" i="1" l="1"/>
  <c r="B277" i="1"/>
  <c r="B276" i="1"/>
  <c r="B275" i="1"/>
  <c r="B274" i="1"/>
  <c r="B273" i="1"/>
  <c r="B272" i="1"/>
  <c r="B271" i="1"/>
  <c r="D129" i="1" l="1"/>
  <c r="D127" i="1"/>
  <c r="D125" i="1"/>
  <c r="D123" i="1"/>
  <c r="D121" i="1"/>
  <c r="D119" i="1"/>
  <c r="D117" i="1"/>
  <c r="D115" i="1"/>
  <c r="B133" i="1"/>
  <c r="B132" i="1"/>
  <c r="D131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D36" i="1" l="1"/>
  <c r="D43" i="1"/>
  <c r="D133" i="1"/>
  <c r="D179" i="1"/>
  <c r="D150" i="1" l="1"/>
  <c r="D199" i="1"/>
  <c r="D22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EA4" i="2"/>
  <c r="BQ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X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HG18" i="2"/>
  <c r="FS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G20" i="2"/>
  <c r="HH20" i="2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HI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HH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I28" i="2"/>
  <c r="FS28" i="2"/>
  <c r="HG28" i="2"/>
  <c r="EV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HG33" i="2"/>
  <c r="HH33" i="2"/>
  <c r="EW33" i="2"/>
  <c r="EV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HH35" i="2"/>
  <c r="FQ35" i="2"/>
  <c r="EA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G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HG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FS44" i="2"/>
  <c r="HH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H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G50" i="2"/>
  <c r="HI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G57" i="2"/>
  <c r="HI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W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C64" i="2"/>
  <c r="HH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W78" i="2"/>
  <c r="EB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HI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HG113" i="2"/>
  <c r="EX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FS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HI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G140" i="2"/>
  <c r="FR140" i="2"/>
  <c r="EX140" i="2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HH144" i="2"/>
  <c r="HG144" i="2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H145" i="2"/>
  <c r="HG145" i="2"/>
  <c r="FR145" i="2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HG146" i="2"/>
  <c r="FR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FS150" i="2"/>
  <c r="HI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Y154" i="2"/>
  <c r="EW155" i="2"/>
  <c r="HH155" i="2"/>
  <c r="HJ154" i="2"/>
  <c r="HG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EY155" i="2"/>
  <c r="HH156" i="2"/>
  <c r="HG156" i="2"/>
  <c r="HI156" i="2"/>
  <c r="FS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HH157" i="2"/>
  <c r="HG157" i="2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HG158" i="2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EY159" i="2"/>
  <c r="HI160" i="2"/>
  <c r="HH160" i="2"/>
  <c r="FS160" i="2"/>
  <c r="HG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HH161" i="2"/>
  <c r="FS161" i="2"/>
  <c r="HG161" i="2"/>
  <c r="EX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DI161" i="2"/>
  <c r="EY161" i="2"/>
  <c r="HH162" i="2"/>
  <c r="HG162" i="2"/>
  <c r="EW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EY162" i="2"/>
  <c r="HH163" i="2"/>
  <c r="HI163" i="2"/>
  <c r="HG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A164" i="2"/>
  <c r="DI163" i="2"/>
  <c r="EY163" i="2"/>
  <c r="HG164" i="2"/>
  <c r="HH164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HH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HG166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HH167" i="2"/>
  <c r="HI167" i="2"/>
  <c r="FR167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DI167" i="2"/>
  <c r="HH168" i="2"/>
  <c r="HI168" i="2"/>
  <c r="EV168" i="2"/>
  <c r="EW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HH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1" i="2"/>
  <c r="EY171" i="2"/>
  <c r="HI172" i="2"/>
  <c r="HG172" i="2"/>
  <c r="EV172" i="2"/>
  <c r="EW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HH173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HI175" i="2"/>
  <c r="FS175" i="2"/>
  <c r="EW175" i="2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H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H178" i="2"/>
  <c r="FQ178" i="2"/>
  <c r="FS178" i="2"/>
  <c r="HG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HG179" i="2"/>
  <c r="HI179" i="2"/>
  <c r="EV179" i="2"/>
  <c r="EA179" i="2"/>
  <c r="EB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I180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HI185" i="2"/>
  <c r="HH185" i="2"/>
  <c r="HG185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EB186" i="2"/>
  <c r="HH186" i="2"/>
  <c r="HG186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Y186" i="2"/>
  <c r="HH187" i="2"/>
  <c r="HG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HH189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ED189" i="2"/>
  <c r="EY189" i="2"/>
  <c r="HH190" i="2"/>
  <c r="HJ189" i="2"/>
  <c r="HG190" i="2"/>
  <c r="EW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H192" i="2"/>
  <c r="HG192" i="2"/>
  <c r="HI192" i="2"/>
  <c r="EV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A193" i="2" l="1"/>
  <c r="ED192" i="2"/>
  <c r="EB193" i="2"/>
  <c r="EY192" i="2"/>
  <c r="HI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A194" i="2"/>
  <c r="EB194" i="2"/>
  <c r="FQ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A195" i="2"/>
  <c r="EB195" i="2"/>
  <c r="ED194" i="2"/>
  <c r="HG195" i="2"/>
  <c r="HI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HG197" i="2"/>
  <c r="FS197" i="2"/>
  <c r="HH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EY198" i="2"/>
  <c r="FS199" i="2"/>
  <c r="HH199" i="2"/>
  <c r="HG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Y200" i="2"/>
  <c r="HJ200" i="2"/>
  <c r="HH201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W202" i="2"/>
  <c r="EY201" i="2"/>
  <c r="EX202" i="2"/>
  <c r="HG202" i="2"/>
  <c r="HI202" i="2"/>
  <c r="HH202" i="2"/>
  <c r="FS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2" i="2" a="1"/>
  <c r="FY72" i="2" s="1"/>
  <c r="FY124" i="2" a="1"/>
  <c r="FY124" i="2" s="1"/>
  <c r="FY24" i="2" a="1"/>
  <c r="FY24" i="2" s="1"/>
  <c r="FY149" i="2" a="1"/>
  <c r="FY149" i="2" s="1"/>
  <c r="FY34" i="2" a="1"/>
  <c r="FY3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EI198" i="2" a="1"/>
  <c r="EI198" i="2" s="1"/>
  <c r="EI166" i="2" a="1"/>
  <c r="EI166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59" i="2" a="1"/>
  <c r="FD159" i="2" s="1"/>
  <c r="FD19" i="2" a="1"/>
  <c r="FD1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DN187" i="2" a="1"/>
  <c r="DN187" i="2" s="1"/>
  <c r="EY202" i="2"/>
  <c r="AX200" i="2"/>
  <c r="FY164" i="2" l="1" a="1"/>
  <c r="FY164" i="2" s="1"/>
  <c r="FY126" i="2" a="1"/>
  <c r="FY126" i="2" s="1"/>
  <c r="FY104" i="2" a="1"/>
  <c r="FY104" i="2" s="1"/>
  <c r="DN114" i="2" a="1"/>
  <c r="DN114" i="2" s="1"/>
  <c r="DN103" i="2" a="1"/>
  <c r="DN103" i="2" s="1"/>
  <c r="DN86" i="2" a="1"/>
  <c r="DN86" i="2" s="1"/>
  <c r="DN164" i="2" a="1"/>
  <c r="DN164" i="2" s="1"/>
  <c r="DN150" i="2" a="1"/>
  <c r="DN150" i="2" s="1"/>
  <c r="DN192" i="2" a="1"/>
  <c r="DN192" i="2" s="1"/>
  <c r="DN66" i="2" a="1"/>
  <c r="DN66" i="2" s="1"/>
  <c r="DN170" i="2" a="1"/>
  <c r="DN170" i="2" s="1"/>
  <c r="DN123" i="2" a="1"/>
  <c r="DN123" i="2" s="1"/>
  <c r="FY169" i="2" a="1"/>
  <c r="FY169" i="2" s="1"/>
  <c r="FY62" i="2" a="1"/>
  <c r="FY62" i="2" s="1"/>
  <c r="FY188" i="2" a="1"/>
  <c r="FY188" i="2" s="1"/>
  <c r="FY116" i="2" a="1"/>
  <c r="FY116" i="2" s="1"/>
  <c r="FY178" i="2" a="1"/>
  <c r="FY178" i="2" s="1"/>
  <c r="FY73" i="2" a="1"/>
  <c r="FY73" i="2" s="1"/>
  <c r="FY152" i="2" a="1"/>
  <c r="FY152" i="2" s="1"/>
  <c r="FY190" i="2" a="1"/>
  <c r="FY190" i="2" s="1"/>
  <c r="GT33" i="2" a="1"/>
  <c r="GT33" i="2" s="1"/>
  <c r="HJ202" i="2"/>
  <c r="GT38" i="2" a="1"/>
  <c r="GT38" i="2" s="1"/>
  <c r="GT126" i="2" a="1"/>
  <c r="GT126" i="2" s="1"/>
  <c r="GT15" i="2" a="1"/>
  <c r="GT15" i="2" s="1"/>
  <c r="GT74" i="2" a="1"/>
  <c r="GT74" i="2" s="1"/>
  <c r="GT181" i="2" a="1"/>
  <c r="GT181" i="2" s="1"/>
  <c r="GT121" i="2" a="1"/>
  <c r="GT121" i="2" s="1"/>
  <c r="GT138" i="2" a="1"/>
  <c r="GT138" i="2" s="1"/>
  <c r="GT178" i="2" a="1"/>
  <c r="GT178" i="2" s="1"/>
  <c r="GT184" i="2" a="1"/>
  <c r="GT184" i="2" s="1"/>
  <c r="GT107" i="2" a="1"/>
  <c r="GT107" i="2" s="1"/>
  <c r="GT189" i="2" a="1"/>
  <c r="GT189" i="2" s="1"/>
  <c r="GT11" i="2" a="1"/>
  <c r="GT11" i="2" s="1"/>
  <c r="GT174" i="2" a="1"/>
  <c r="GT174" i="2" s="1"/>
  <c r="GT198" i="2" a="1"/>
  <c r="GT198" i="2" s="1"/>
  <c r="GT102" i="2" a="1"/>
  <c r="GT102" i="2" s="1"/>
  <c r="GT190" i="2" a="1"/>
  <c r="GT190" i="2" s="1"/>
  <c r="GT21" i="2" a="1"/>
  <c r="GT21" i="2" s="1"/>
  <c r="GT147" i="2" a="1"/>
  <c r="GT147" i="2" s="1"/>
  <c r="GT191" i="2" a="1"/>
  <c r="GT191" i="2" s="1"/>
  <c r="GT12" i="2" a="1"/>
  <c r="GT12" i="2" s="1"/>
  <c r="GT152" i="2" a="1"/>
  <c r="GT152" i="2" s="1"/>
  <c r="CS66" i="2" a="1"/>
  <c r="CS66" i="2" s="1"/>
  <c r="DN115" i="2" a="1"/>
  <c r="DN115" i="2" s="1"/>
  <c r="DN129" i="2" a="1"/>
  <c r="DN129" i="2" s="1"/>
  <c r="DN50" i="2" a="1"/>
  <c r="DN50" i="2" s="1"/>
  <c r="DN152" i="2" a="1"/>
  <c r="DN152" i="2" s="1"/>
  <c r="DN188" i="2" a="1"/>
  <c r="DN188" i="2" s="1"/>
  <c r="DN177" i="2" a="1"/>
  <c r="DN177" i="2" s="1"/>
  <c r="FY55" i="2" a="1"/>
  <c r="FY55" i="2" s="1"/>
  <c r="FY111" i="2" a="1"/>
  <c r="FY111" i="2" s="1"/>
  <c r="FY28" i="2" a="1"/>
  <c r="FY28" i="2" s="1"/>
  <c r="FY186" i="2" a="1"/>
  <c r="FY186" i="2" s="1"/>
  <c r="FY78" i="2" a="1"/>
  <c r="FY78" i="2" s="1"/>
  <c r="FY143" i="2" a="1"/>
  <c r="FY143" i="2" s="1"/>
  <c r="FY174" i="2" a="1"/>
  <c r="FY174" i="2" s="1"/>
  <c r="FY120" i="2" a="1"/>
  <c r="FY120" i="2" s="1"/>
  <c r="FY99" i="2" a="1"/>
  <c r="FY99" i="2" s="1"/>
  <c r="FY173" i="2" a="1"/>
  <c r="FY173" i="2" s="1"/>
  <c r="FY92" i="2" a="1"/>
  <c r="FY92" i="2" s="1"/>
  <c r="FY191" i="2" a="1"/>
  <c r="FY191" i="2" s="1"/>
  <c r="FY110" i="2" a="1"/>
  <c r="FY110" i="2" s="1"/>
  <c r="FY18" i="2" a="1"/>
  <c r="FY18" i="2" s="1"/>
  <c r="FY29" i="2" a="1"/>
  <c r="FY29" i="2" s="1"/>
  <c r="FY47" i="2" a="1"/>
  <c r="FY47" i="2" s="1"/>
  <c r="FY159" i="2" a="1"/>
  <c r="FY159" i="2" s="1"/>
  <c r="FY102" i="2" a="1"/>
  <c r="FY102" i="2" s="1"/>
  <c r="FY69" i="2" a="1"/>
  <c r="FY69" i="2" s="1"/>
  <c r="FY66" i="2" a="1"/>
  <c r="FY66" i="2" s="1"/>
  <c r="FY153" i="2" a="1"/>
  <c r="FY153" i="2" s="1"/>
  <c r="FY133" i="2" a="1"/>
  <c r="FY133" i="2" s="1"/>
  <c r="FY140" i="2" a="1"/>
  <c r="FY140" i="2" s="1"/>
  <c r="FY165" i="2" a="1"/>
  <c r="FY165" i="2" s="1"/>
  <c r="FY22" i="2" a="1"/>
  <c r="FY22" i="2" s="1"/>
  <c r="FY71" i="2" a="1"/>
  <c r="FY71" i="2" s="1"/>
  <c r="FY146" i="2" a="1"/>
  <c r="FY146" i="2" s="1"/>
  <c r="FY32" i="2" a="1"/>
  <c r="FY32" i="2" s="1"/>
  <c r="FY57" i="2" a="1"/>
  <c r="FY57" i="2" s="1"/>
  <c r="FY50" i="2" a="1"/>
  <c r="FY50" i="2" s="1"/>
  <c r="FY35" i="2" a="1"/>
  <c r="FY35" i="2" s="1"/>
  <c r="BX107" i="2" a="1"/>
  <c r="BX107" i="2" s="1"/>
  <c r="DN113" i="2" a="1"/>
  <c r="DN113" i="2" s="1"/>
  <c r="DN25" i="2" a="1"/>
  <c r="DN25" i="2" s="1"/>
  <c r="DN43" i="2" a="1"/>
  <c r="DN43" i="2" s="1"/>
  <c r="DN153" i="2" a="1"/>
  <c r="DN153" i="2" s="1"/>
  <c r="DN124" i="2" a="1"/>
  <c r="DN124" i="2" s="1"/>
  <c r="DN41" i="2" a="1"/>
  <c r="DN41" i="2" s="1"/>
  <c r="DN186" i="2" a="1"/>
  <c r="DN186" i="2" s="1"/>
  <c r="DN137" i="2" a="1"/>
  <c r="DN137" i="2" s="1"/>
  <c r="DN56" i="2" a="1"/>
  <c r="DN56" i="2" s="1"/>
  <c r="DN184" i="2" a="1"/>
  <c r="DN184" i="2" s="1"/>
  <c r="DN29" i="2" a="1"/>
  <c r="DN29" i="2" s="1"/>
  <c r="FY90" i="2" a="1"/>
  <c r="FY90" i="2" s="1"/>
  <c r="FY54" i="2" a="1"/>
  <c r="FY54" i="2" s="1"/>
  <c r="FY109" i="2" a="1"/>
  <c r="FY109" i="2" s="1"/>
  <c r="FY79" i="2" a="1"/>
  <c r="FY79" i="2" s="1"/>
  <c r="DN155" i="2" a="1"/>
  <c r="DN155" i="2" s="1"/>
  <c r="AH151" i="2" a="1"/>
  <c r="AH151" i="2" s="1"/>
  <c r="AH163" i="2" a="1"/>
  <c r="AH163" i="2" s="1"/>
  <c r="AH62" i="2" a="1"/>
  <c r="AH62" i="2" s="1"/>
  <c r="AH166" i="2" a="1"/>
  <c r="AH166" i="2" s="1"/>
  <c r="AH19" i="2" a="1"/>
  <c r="AH19" i="2" s="1"/>
  <c r="AH90" i="2" a="1"/>
  <c r="AH90" i="2" s="1"/>
  <c r="AH92" i="2" a="1"/>
  <c r="AH92" i="2" s="1"/>
  <c r="AH199" i="2" a="1"/>
  <c r="AH199" i="2" s="1"/>
  <c r="CS24" i="2" a="1"/>
  <c r="CS24" i="2" s="1"/>
  <c r="CS114" i="2" a="1"/>
  <c r="CS114" i="2" s="1"/>
  <c r="CS72" i="2" a="1"/>
  <c r="CS72" i="2" s="1"/>
  <c r="CS185" i="2" a="1"/>
  <c r="CS185" i="2" s="1"/>
  <c r="CS134" i="2" a="1"/>
  <c r="CS134" i="2" s="1"/>
  <c r="CS38" i="2" a="1"/>
  <c r="CS38" i="2" s="1"/>
  <c r="CS105" i="2" a="1"/>
  <c r="CS105" i="2" s="1"/>
  <c r="CS116" i="2" a="1"/>
  <c r="CS116" i="2" s="1"/>
  <c r="CS77" i="2" a="1"/>
  <c r="CS77" i="2" s="1"/>
  <c r="CS120" i="2" a="1"/>
  <c r="CS120" i="2" s="1"/>
  <c r="CS137" i="2" a="1"/>
  <c r="CS137" i="2" s="1"/>
  <c r="CS161" i="2" a="1"/>
  <c r="CS161" i="2" s="1"/>
  <c r="CS129" i="2" a="1"/>
  <c r="CS129" i="2" s="1"/>
  <c r="CS52" i="2" a="1"/>
  <c r="CS52" i="2" s="1"/>
  <c r="CS56" i="2" a="1"/>
  <c r="CS56" i="2" s="1"/>
  <c r="EI150" i="2" a="1"/>
  <c r="EI150" i="2" s="1"/>
  <c r="EI29" i="2" a="1"/>
  <c r="EI29" i="2" s="1"/>
  <c r="EI106" i="2" a="1"/>
  <c r="EI106" i="2" s="1"/>
  <c r="EI153" i="2" a="1"/>
  <c r="EI153" i="2" s="1"/>
  <c r="GT115" i="2" a="1"/>
  <c r="GT115" i="2" s="1"/>
  <c r="GT133" i="2" a="1"/>
  <c r="GT133" i="2" s="1"/>
  <c r="GT122" i="2" a="1"/>
  <c r="GT122" i="2" s="1"/>
  <c r="GT51" i="2" a="1"/>
  <c r="GT51" i="2" s="1"/>
  <c r="GT68" i="2" a="1"/>
  <c r="GT68" i="2" s="1"/>
  <c r="HH203" i="2"/>
  <c r="HG203" i="2"/>
  <c r="FD60" i="2" a="1"/>
  <c r="FD60" i="2" s="1"/>
  <c r="FD82" i="2" a="1"/>
  <c r="FD82" i="2" s="1"/>
  <c r="FD160" i="2" a="1"/>
  <c r="FD160" i="2" s="1"/>
  <c r="FD137" i="2" a="1"/>
  <c r="FD137" i="2" s="1"/>
  <c r="FD107" i="2" a="1"/>
  <c r="FD107" i="2" s="1"/>
  <c r="FD167" i="2" a="1"/>
  <c r="FD167" i="2" s="1"/>
  <c r="FD187" i="2" a="1"/>
  <c r="FD187" i="2" s="1"/>
  <c r="FD131" i="2" a="1"/>
  <c r="FD131" i="2" s="1"/>
  <c r="FS203" i="2"/>
  <c r="FD194" i="2" a="1"/>
  <c r="FD194" i="2" s="1"/>
  <c r="FD43" i="2" a="1"/>
  <c r="FD43" i="2" s="1"/>
  <c r="FD189" i="2" a="1"/>
  <c r="FD189" i="2" s="1"/>
  <c r="FD144" i="2" a="1"/>
  <c r="FD144" i="2" s="1"/>
  <c r="FD64" i="2" a="1"/>
  <c r="FD64" i="2" s="1"/>
  <c r="FD14" i="2" a="1"/>
  <c r="FD14" i="2" s="1"/>
  <c r="FD48" i="2" a="1"/>
  <c r="FD48" i="2" s="1"/>
  <c r="FD44" i="2" a="1"/>
  <c r="FD44" i="2" s="1"/>
  <c r="FD188" i="2" a="1"/>
  <c r="FD188" i="2" s="1"/>
  <c r="FD59" i="2" a="1"/>
  <c r="FD59" i="2" s="1"/>
  <c r="FR203" i="2"/>
  <c r="FD21" i="2" a="1"/>
  <c r="FD21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D203" i="2"/>
  <c r="DI203" i="2"/>
  <c r="FT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11" i="2" l="1"/>
  <c r="GE139" i="2"/>
  <c r="GE141" i="2"/>
  <c r="GE23" i="2"/>
  <c r="GE197" i="2"/>
  <c r="GE59" i="2"/>
  <c r="GE93" i="2"/>
  <c r="GE104" i="2"/>
  <c r="GE165" i="2"/>
  <c r="GE183" i="2"/>
  <c r="GE83" i="2"/>
  <c r="GE185" i="2"/>
  <c r="GE134" i="2"/>
  <c r="GE92" i="2"/>
  <c r="GE72" i="2"/>
  <c r="GE140" i="2"/>
  <c r="GE103" i="2"/>
  <c r="GE67" i="2"/>
  <c r="GE19" i="2"/>
  <c r="GE55" i="2"/>
  <c r="GE128" i="2"/>
  <c r="GE58" i="2"/>
  <c r="GE71" i="2"/>
  <c r="GE132" i="2"/>
  <c r="GE167" i="2"/>
  <c r="GE68" i="2"/>
  <c r="GE24" i="2"/>
  <c r="GE27" i="2"/>
  <c r="GE64" i="2"/>
  <c r="GE13" i="2"/>
  <c r="GE85" i="2"/>
  <c r="GE153" i="2"/>
  <c r="GE66" i="2"/>
  <c r="GE79" i="2"/>
  <c r="GE94" i="2"/>
  <c r="GE95" i="2"/>
  <c r="GE18" i="2"/>
  <c r="GE62" i="2"/>
  <c r="GE125" i="2"/>
  <c r="GE186" i="2"/>
  <c r="GE20" i="2"/>
  <c r="GE21" i="2"/>
  <c r="GE168" i="2"/>
  <c r="GE194" i="2"/>
  <c r="GE182" i="2"/>
  <c r="GE100" i="2"/>
  <c r="GE3" i="2"/>
  <c r="C14" i="4" s="1"/>
  <c r="E14" i="4" s="1"/>
  <c r="F14" i="4" s="1"/>
  <c r="G14" i="4" s="1"/>
  <c r="L14" i="4" s="1"/>
  <c r="GE53" i="2"/>
  <c r="GE143" i="2"/>
  <c r="GE157" i="2"/>
  <c r="GE31" i="2"/>
  <c r="GE34" i="2"/>
  <c r="GE137" i="2"/>
  <c r="GE151" i="2"/>
  <c r="GE149" i="2"/>
  <c r="GE164" i="2"/>
  <c r="GE84" i="2"/>
  <c r="GE115" i="2"/>
  <c r="GE136" i="2"/>
  <c r="GE102" i="2"/>
  <c r="GE98" i="2"/>
  <c r="GE108" i="2"/>
  <c r="GE57" i="2"/>
  <c r="GE190" i="2"/>
  <c r="GE22" i="2"/>
  <c r="GE160" i="2"/>
  <c r="GE198" i="2"/>
  <c r="GE177" i="2"/>
  <c r="GE119" i="2"/>
  <c r="GE37" i="2"/>
  <c r="GE12" i="2"/>
  <c r="GE199" i="2"/>
  <c r="GE170" i="2"/>
  <c r="GE4" i="2"/>
  <c r="GE203" i="2"/>
  <c r="GE77" i="2"/>
  <c r="GE114" i="2"/>
  <c r="GE101" i="2"/>
  <c r="GE65" i="2"/>
  <c r="GE78" i="2"/>
  <c r="GE60" i="2"/>
  <c r="GE9" i="2"/>
  <c r="GE146" i="2"/>
  <c r="GE54" i="2"/>
  <c r="GE181" i="2"/>
  <c r="GE120" i="2"/>
  <c r="GE15" i="2"/>
  <c r="GE17" i="2"/>
  <c r="GE43" i="2"/>
  <c r="GE75" i="2"/>
  <c r="GE109" i="2"/>
  <c r="GE26" i="2"/>
  <c r="GE193" i="2"/>
  <c r="GE97" i="2"/>
  <c r="GE51" i="2"/>
  <c r="GE184" i="2"/>
  <c r="GE188" i="2"/>
  <c r="GE179" i="2"/>
  <c r="GE131" i="2"/>
  <c r="GE154" i="2"/>
  <c r="GE35" i="2"/>
  <c r="GE30" i="2"/>
  <c r="GE50" i="2"/>
  <c r="GE117" i="2"/>
  <c r="GE33" i="2"/>
  <c r="GE200" i="2"/>
  <c r="GE16" i="2"/>
  <c r="GE86" i="2"/>
  <c r="GE156" i="2"/>
  <c r="GE162" i="2"/>
  <c r="GE159" i="2"/>
  <c r="GE87" i="2"/>
  <c r="GE5" i="2"/>
  <c r="GE99" i="2"/>
  <c r="GE142" i="2"/>
  <c r="GE69" i="2"/>
  <c r="GE39" i="2"/>
  <c r="GE7" i="2"/>
  <c r="GE74" i="2"/>
  <c r="GE129" i="2"/>
  <c r="GE113" i="2"/>
  <c r="GE8" i="2"/>
  <c r="GE38" i="2"/>
  <c r="GE111" i="2"/>
  <c r="GE196" i="2"/>
  <c r="GE112" i="2"/>
  <c r="GE41" i="2"/>
  <c r="GE130" i="2"/>
  <c r="GE49" i="2"/>
  <c r="GE124" i="2"/>
  <c r="GE70" i="2"/>
  <c r="GE172" i="2"/>
  <c r="GE10" i="2"/>
  <c r="GE44" i="2"/>
  <c r="GE158" i="2"/>
  <c r="GE52" i="2"/>
  <c r="GE166" i="2"/>
  <c r="GE135" i="2"/>
  <c r="GE36" i="2"/>
  <c r="GE47" i="2"/>
  <c r="GE175" i="2"/>
  <c r="GE148" i="2"/>
  <c r="GE147" i="2"/>
  <c r="GE91" i="2"/>
  <c r="GE161" i="2"/>
  <c r="GE127" i="2"/>
  <c r="GE90" i="2"/>
  <c r="GE107" i="2"/>
  <c r="GE138" i="2"/>
  <c r="GE14" i="2"/>
  <c r="GE122" i="2"/>
  <c r="GE28" i="2"/>
  <c r="GE144" i="2"/>
  <c r="GE56" i="2"/>
  <c r="GE29" i="2"/>
  <c r="GE76" i="2"/>
  <c r="GE88" i="2"/>
  <c r="GE42" i="2"/>
  <c r="GE191" i="2"/>
  <c r="GE145" i="2"/>
  <c r="GE63" i="2"/>
  <c r="GE61" i="2"/>
  <c r="GE25" i="2"/>
  <c r="GE152" i="2"/>
  <c r="GE106" i="2"/>
  <c r="GE81" i="2"/>
  <c r="GE169" i="2"/>
  <c r="GE155" i="2"/>
  <c r="GE46" i="2"/>
  <c r="GE6" i="2"/>
  <c r="GE89" i="2"/>
  <c r="GE48" i="2"/>
  <c r="GE189" i="2"/>
  <c r="GE192" i="2"/>
  <c r="GE126" i="2"/>
  <c r="GE176" i="2"/>
  <c r="GE202" i="2"/>
  <c r="GE45" i="2"/>
  <c r="GE174" i="2"/>
  <c r="GE82" i="2"/>
  <c r="GE116" i="2"/>
  <c r="GE201" i="2"/>
  <c r="GE118" i="2"/>
  <c r="GE133" i="2"/>
  <c r="GE96" i="2"/>
  <c r="GE80" i="2"/>
  <c r="GE173" i="2"/>
  <c r="GE180" i="2"/>
  <c r="GE150" i="2"/>
  <c r="GE121" i="2"/>
  <c r="GE32" i="2"/>
  <c r="GE105" i="2"/>
  <c r="GE40" i="2"/>
  <c r="GE171" i="2"/>
  <c r="GE123" i="2"/>
  <c r="GE195" i="2"/>
  <c r="GE73" i="2"/>
  <c r="GE163" i="2"/>
  <c r="GE110" i="2"/>
  <c r="GE178" i="2"/>
  <c r="GE187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38" i="2" l="1"/>
  <c r="FJ143" i="2"/>
  <c r="FJ156" i="2"/>
  <c r="FJ60" i="2"/>
  <c r="FJ51" i="2"/>
  <c r="FJ132" i="2"/>
  <c r="FJ23" i="2"/>
  <c r="FJ149" i="2"/>
  <c r="FJ160" i="2"/>
  <c r="FJ93" i="2"/>
  <c r="FJ98" i="2"/>
  <c r="FJ123" i="2"/>
  <c r="FJ116" i="2"/>
  <c r="FJ120" i="2"/>
  <c r="FJ37" i="2"/>
  <c r="FJ108" i="2"/>
  <c r="FJ57" i="2"/>
  <c r="FJ165" i="2"/>
  <c r="FJ188" i="2"/>
  <c r="FJ50" i="2"/>
  <c r="FJ99" i="2"/>
  <c r="FJ89" i="2"/>
  <c r="FJ77" i="2"/>
  <c r="FJ117" i="2"/>
  <c r="FJ189" i="2"/>
  <c r="FJ52" i="2"/>
  <c r="FJ81" i="2"/>
  <c r="FJ197" i="2"/>
  <c r="FJ17" i="2"/>
  <c r="FJ86" i="2"/>
  <c r="FJ39" i="2"/>
  <c r="FJ171" i="2"/>
  <c r="FJ170" i="2"/>
  <c r="FJ66" i="2"/>
  <c r="FJ82" i="2"/>
  <c r="FJ196" i="2"/>
  <c r="FJ49" i="2"/>
  <c r="FJ119" i="2"/>
  <c r="FJ181" i="2"/>
  <c r="FJ10" i="2"/>
  <c r="FJ74" i="2"/>
  <c r="FJ80" i="2"/>
  <c r="FJ124" i="2"/>
  <c r="FJ5" i="2"/>
  <c r="FJ36" i="2"/>
  <c r="FJ168" i="2"/>
  <c r="FJ169" i="2"/>
  <c r="FJ173" i="2"/>
  <c r="FJ112" i="2"/>
  <c r="FJ135" i="2"/>
  <c r="FJ43" i="2"/>
  <c r="FJ190" i="2"/>
  <c r="FJ177" i="2"/>
  <c r="FJ72" i="2"/>
  <c r="FJ91" i="2"/>
  <c r="FJ71" i="2"/>
  <c r="FJ42" i="2"/>
  <c r="FJ56" i="2"/>
  <c r="FJ18" i="2"/>
  <c r="FJ14" i="2"/>
  <c r="FJ176" i="2"/>
  <c r="FJ167" i="2"/>
  <c r="FJ12" i="2"/>
  <c r="FJ104" i="2"/>
  <c r="FJ138" i="2"/>
  <c r="FJ103" i="2"/>
  <c r="FJ70" i="2"/>
  <c r="FJ200" i="2"/>
  <c r="FJ148" i="2"/>
  <c r="FJ28" i="2"/>
  <c r="FJ64" i="2"/>
  <c r="FJ106" i="2"/>
  <c r="FJ100" i="2"/>
  <c r="FJ97" i="2"/>
  <c r="FJ85" i="2"/>
  <c r="FJ6" i="2"/>
  <c r="FJ126" i="2"/>
  <c r="FJ162" i="2"/>
  <c r="FJ45" i="2"/>
  <c r="FJ145" i="2"/>
  <c r="FJ130" i="2"/>
  <c r="FJ125" i="2"/>
  <c r="FJ22" i="2"/>
  <c r="FJ155" i="2"/>
  <c r="FJ19" i="2"/>
  <c r="FJ27" i="2"/>
  <c r="FJ127" i="2"/>
  <c r="FJ53" i="2"/>
  <c r="FJ198" i="2"/>
  <c r="FJ55" i="2"/>
  <c r="FJ90" i="2"/>
  <c r="FJ157" i="2"/>
  <c r="FJ63" i="2"/>
  <c r="FJ136" i="2"/>
  <c r="FJ195" i="2"/>
  <c r="FJ9" i="2"/>
  <c r="FJ163" i="2"/>
  <c r="FJ35" i="2"/>
  <c r="FJ105" i="2"/>
  <c r="FJ8" i="2"/>
  <c r="FJ40" i="2"/>
  <c r="FJ15" i="2"/>
  <c r="FJ32" i="2"/>
  <c r="FJ152" i="2"/>
  <c r="FJ11" i="2"/>
  <c r="FJ137" i="2"/>
  <c r="FJ187" i="2"/>
  <c r="FJ13" i="2"/>
  <c r="FJ147" i="2"/>
  <c r="FJ150" i="2"/>
  <c r="FJ96" i="2"/>
  <c r="FJ24" i="2"/>
  <c r="FJ78" i="2"/>
  <c r="FJ101" i="2"/>
  <c r="FJ109" i="2"/>
  <c r="FJ146" i="2"/>
  <c r="FJ16" i="2"/>
  <c r="FJ194" i="2"/>
  <c r="FJ185" i="2"/>
  <c r="FJ139" i="2"/>
  <c r="FJ144" i="2"/>
  <c r="FJ131" i="2"/>
  <c r="FJ20" i="2"/>
  <c r="FJ141" i="2"/>
  <c r="FJ114" i="2"/>
  <c r="FJ183" i="2"/>
  <c r="FJ111" i="2"/>
  <c r="FJ175" i="2"/>
  <c r="FJ92" i="2"/>
  <c r="FJ174" i="2"/>
  <c r="FJ134" i="2"/>
  <c r="FJ75" i="2"/>
  <c r="FJ158" i="2"/>
  <c r="FJ31" i="2"/>
  <c r="FJ172" i="2"/>
  <c r="FJ83" i="2"/>
  <c r="FJ4" i="2"/>
  <c r="FJ122" i="2"/>
  <c r="FJ62" i="2"/>
  <c r="FJ179" i="2"/>
  <c r="FJ30" i="2"/>
  <c r="FJ113" i="2"/>
  <c r="FJ201" i="2"/>
  <c r="FJ47" i="2"/>
  <c r="FJ182" i="2"/>
  <c r="FJ154" i="2"/>
  <c r="FJ203" i="2"/>
  <c r="FJ193" i="2"/>
  <c r="FJ133" i="2"/>
  <c r="FJ164" i="2"/>
  <c r="FJ95" i="2"/>
  <c r="FJ186" i="2"/>
  <c r="FJ153" i="2"/>
  <c r="FJ142" i="2"/>
  <c r="FJ88" i="2"/>
  <c r="FJ94" i="2"/>
  <c r="FJ79" i="2"/>
  <c r="FJ54" i="2"/>
  <c r="FJ159" i="2"/>
  <c r="FJ166" i="2"/>
  <c r="FJ67" i="2"/>
  <c r="FJ184" i="2"/>
  <c r="FJ140" i="2"/>
  <c r="FJ161" i="2"/>
  <c r="FJ87" i="2"/>
  <c r="FJ58" i="2"/>
  <c r="FJ129" i="2"/>
  <c r="FJ115" i="2"/>
  <c r="FJ46" i="2"/>
  <c r="FJ180" i="2"/>
  <c r="FJ33" i="2"/>
  <c r="FJ76" i="2"/>
  <c r="FJ128" i="2"/>
  <c r="FJ151" i="2"/>
  <c r="FJ68" i="2"/>
  <c r="FJ29" i="2"/>
  <c r="FJ3" i="2"/>
  <c r="C13" i="4" s="1"/>
  <c r="E13" i="4" s="1"/>
  <c r="F13" i="4" s="1"/>
  <c r="G13" i="4" s="1"/>
  <c r="L13" i="4" s="1"/>
  <c r="FJ118" i="2"/>
  <c r="FJ199" i="2"/>
  <c r="FJ107" i="2"/>
  <c r="FJ73" i="2"/>
  <c r="FJ69" i="2"/>
  <c r="FJ41" i="2"/>
  <c r="FJ202" i="2"/>
  <c r="FJ192" i="2"/>
  <c r="FJ7" i="2"/>
  <c r="FJ48" i="2"/>
  <c r="FJ21" i="2"/>
  <c r="FJ121" i="2"/>
  <c r="FJ110" i="2"/>
  <c r="FJ25" i="2"/>
  <c r="FJ191" i="2"/>
  <c r="FJ61" i="2"/>
  <c r="FJ26" i="2"/>
  <c r="FJ34" i="2"/>
  <c r="FJ44" i="2"/>
  <c r="FJ178" i="2"/>
  <c r="FJ102" i="2"/>
  <c r="FJ84" i="2"/>
  <c r="FJ59" i="2"/>
  <c r="FJ6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Z109" i="2" l="1"/>
  <c r="GZ48" i="2"/>
  <c r="GZ31" i="2"/>
  <c r="GZ80" i="2"/>
  <c r="GZ141" i="2"/>
  <c r="GZ131" i="2"/>
  <c r="GZ139" i="2"/>
  <c r="GZ120" i="2"/>
  <c r="GZ181" i="2"/>
  <c r="GZ14" i="2"/>
  <c r="GZ27" i="2"/>
  <c r="GZ160" i="2"/>
  <c r="GZ192" i="2"/>
  <c r="GZ54" i="2"/>
  <c r="GZ202" i="2"/>
  <c r="GZ58" i="2"/>
  <c r="GZ175" i="2"/>
  <c r="GZ74" i="2"/>
  <c r="GZ21" i="2"/>
  <c r="GZ154" i="2"/>
  <c r="GZ37" i="2"/>
  <c r="GZ105" i="2"/>
  <c r="GZ150" i="2"/>
  <c r="GZ165" i="2"/>
  <c r="GZ39" i="2"/>
  <c r="GZ113" i="2"/>
  <c r="GZ92" i="2"/>
  <c r="GZ18" i="2"/>
  <c r="GZ145" i="2"/>
  <c r="GZ63" i="2"/>
  <c r="GZ180" i="2"/>
  <c r="GZ108" i="2"/>
  <c r="GZ42" i="2"/>
  <c r="GZ51" i="2"/>
  <c r="GZ79" i="2"/>
  <c r="GZ5" i="2"/>
  <c r="GZ47" i="2"/>
  <c r="GZ142" i="2"/>
  <c r="GZ41" i="2"/>
  <c r="GZ8" i="2"/>
  <c r="GZ121" i="2"/>
  <c r="GZ4" i="2"/>
  <c r="GZ59" i="2"/>
  <c r="GZ191" i="2"/>
  <c r="GZ117" i="2"/>
  <c r="GZ16" i="2"/>
  <c r="GZ170" i="2"/>
  <c r="GZ133" i="2"/>
  <c r="GZ19" i="2"/>
  <c r="GZ149" i="2"/>
  <c r="GZ112" i="2"/>
  <c r="GZ30" i="2"/>
  <c r="GZ128" i="2"/>
  <c r="GZ147" i="2"/>
  <c r="GZ9" i="2"/>
  <c r="GZ91" i="2"/>
  <c r="GZ46" i="2"/>
  <c r="GZ99" i="2"/>
  <c r="GZ62" i="2"/>
  <c r="GZ25" i="2"/>
  <c r="GZ172" i="2"/>
  <c r="GZ50" i="2"/>
  <c r="GZ76" i="2"/>
  <c r="GZ143" i="2"/>
  <c r="GZ13" i="2"/>
  <c r="GZ159" i="2"/>
  <c r="GZ84" i="2"/>
  <c r="GZ174" i="2"/>
  <c r="GZ132" i="2"/>
  <c r="GZ55" i="2"/>
  <c r="GZ153" i="2"/>
  <c r="GZ123" i="2"/>
  <c r="GZ162" i="2"/>
  <c r="GZ200" i="2"/>
  <c r="GZ186" i="2"/>
  <c r="GZ34" i="2"/>
  <c r="GZ116" i="2"/>
  <c r="GZ158" i="2"/>
  <c r="GZ196" i="2"/>
  <c r="GZ78" i="2"/>
  <c r="GZ137" i="2"/>
  <c r="GZ167" i="2"/>
  <c r="GZ169" i="2"/>
  <c r="GZ100" i="2"/>
  <c r="GZ146" i="2"/>
  <c r="GZ10" i="2"/>
  <c r="GZ71" i="2"/>
  <c r="GZ144" i="2"/>
  <c r="GZ179" i="2"/>
  <c r="GZ49" i="2"/>
  <c r="GZ110" i="2"/>
  <c r="GZ94" i="2"/>
  <c r="GZ12" i="2"/>
  <c r="GZ89" i="2"/>
  <c r="GZ122" i="2"/>
  <c r="GZ183" i="2"/>
  <c r="GZ24" i="2"/>
  <c r="GZ85" i="2"/>
  <c r="GZ194" i="2"/>
  <c r="GZ64" i="2"/>
  <c r="GZ125" i="2"/>
  <c r="GZ157" i="2"/>
  <c r="GZ11" i="2"/>
  <c r="GZ104" i="2"/>
  <c r="GZ136" i="2"/>
  <c r="GZ197" i="2"/>
  <c r="GZ83" i="2"/>
  <c r="GZ155" i="2"/>
  <c r="GZ176" i="2"/>
  <c r="GZ38" i="2"/>
  <c r="GZ70" i="2"/>
  <c r="GZ98" i="2"/>
  <c r="GZ45" i="2"/>
  <c r="GZ135" i="2"/>
  <c r="GZ61" i="2"/>
  <c r="GZ151" i="2"/>
  <c r="GZ114" i="2"/>
  <c r="GZ40" i="2"/>
  <c r="GZ73" i="2"/>
  <c r="GZ182" i="2"/>
  <c r="GZ52" i="2"/>
  <c r="GZ36" i="2"/>
  <c r="GZ161" i="2"/>
  <c r="GZ96" i="2"/>
  <c r="GZ7" i="2"/>
  <c r="GZ124" i="2"/>
  <c r="GZ188" i="2"/>
  <c r="GZ185" i="2"/>
  <c r="GZ95" i="2"/>
  <c r="GZ23" i="2"/>
  <c r="GZ148" i="2"/>
  <c r="GZ88" i="2"/>
  <c r="GZ201" i="2"/>
  <c r="GZ119" i="2"/>
  <c r="GZ134" i="2"/>
  <c r="GZ164" i="2"/>
  <c r="GZ187" i="2"/>
  <c r="GZ102" i="2"/>
  <c r="GZ28" i="2"/>
  <c r="GZ118" i="2"/>
  <c r="GZ22" i="2"/>
  <c r="GZ198" i="2"/>
  <c r="GZ35" i="2"/>
  <c r="GZ130" i="2"/>
  <c r="GZ77" i="2"/>
  <c r="GZ67" i="2"/>
  <c r="GZ93" i="2"/>
  <c r="GZ56" i="2"/>
  <c r="GZ173" i="2"/>
  <c r="GZ72" i="2"/>
  <c r="GZ195" i="2"/>
  <c r="GZ152" i="2"/>
  <c r="GZ75" i="2"/>
  <c r="GZ189" i="2"/>
  <c r="GZ115" i="2"/>
  <c r="GZ6" i="2"/>
  <c r="GZ168" i="2"/>
  <c r="GZ86" i="2"/>
  <c r="GZ184" i="2"/>
  <c r="GZ171" i="2"/>
  <c r="GZ65" i="2"/>
  <c r="GZ156" i="2"/>
  <c r="GZ57" i="2"/>
  <c r="GZ66" i="2"/>
  <c r="GZ127" i="2"/>
  <c r="GZ26" i="2"/>
  <c r="GZ29" i="2"/>
  <c r="GZ97" i="2"/>
  <c r="GZ190" i="2"/>
  <c r="GZ177" i="2"/>
  <c r="GZ60" i="2"/>
  <c r="GZ82" i="2"/>
  <c r="GZ140" i="2"/>
  <c r="GZ129" i="2"/>
  <c r="GZ81" i="2"/>
  <c r="GZ111" i="2"/>
  <c r="GZ203" i="2"/>
  <c r="GZ44" i="2"/>
  <c r="GZ90" i="2"/>
  <c r="GZ20" i="2"/>
  <c r="GZ15" i="2"/>
  <c r="GZ53" i="2"/>
  <c r="GZ103" i="2"/>
  <c r="GZ193" i="2"/>
  <c r="GZ32" i="2"/>
  <c r="GZ87" i="2"/>
  <c r="GZ43" i="2"/>
  <c r="GZ33" i="2"/>
  <c r="GZ17" i="2"/>
  <c r="GZ126" i="2"/>
  <c r="GZ163" i="2"/>
  <c r="GZ107" i="2"/>
  <c r="GZ106" i="2"/>
  <c r="GZ138" i="2"/>
  <c r="GZ199" i="2"/>
  <c r="GZ69" i="2"/>
  <c r="GZ101" i="2"/>
  <c r="GZ178" i="2"/>
  <c r="GZ166" i="2"/>
  <c r="GZ68" i="2"/>
  <c r="GZ3" i="2"/>
  <c r="C15" i="4" s="1"/>
  <c r="E15" i="4" s="1"/>
  <c r="F15" i="4" s="1"/>
  <c r="G15" i="4" s="1"/>
  <c r="L15" i="4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CD135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02" i="2" l="1"/>
  <c r="CD170" i="2"/>
  <c r="CD74" i="2"/>
  <c r="CD93" i="2"/>
  <c r="CD194" i="2"/>
  <c r="CD107" i="2"/>
  <c r="CD19" i="2"/>
  <c r="CD180" i="2"/>
  <c r="CD158" i="2"/>
  <c r="CD29" i="2"/>
  <c r="CD125" i="2"/>
  <c r="CD110" i="2"/>
  <c r="CD116" i="2"/>
  <c r="CD51" i="2"/>
  <c r="CD46" i="2"/>
  <c r="CD77" i="2"/>
  <c r="CD72" i="2"/>
  <c r="CD55" i="2"/>
  <c r="CD149" i="2"/>
  <c r="CD176" i="2"/>
  <c r="CD118" i="2"/>
  <c r="CD57" i="2"/>
  <c r="CD161" i="2"/>
  <c r="CD28" i="2"/>
  <c r="CD16" i="2"/>
  <c r="CD97" i="2"/>
  <c r="CD10" i="2"/>
  <c r="CD113" i="2"/>
  <c r="CD4" i="2"/>
  <c r="CD141" i="2"/>
  <c r="CD201" i="2"/>
  <c r="CD172" i="2"/>
  <c r="CD200" i="2"/>
  <c r="CD114" i="2"/>
  <c r="CD168" i="2"/>
  <c r="CD32" i="2"/>
  <c r="CD177" i="2"/>
  <c r="CD127" i="2"/>
  <c r="CD133" i="2"/>
  <c r="CD49" i="2"/>
  <c r="CD94" i="2"/>
  <c r="CD175" i="2"/>
  <c r="CD68" i="2"/>
  <c r="CD202" i="2"/>
  <c r="CD131" i="2"/>
  <c r="CD188" i="2"/>
  <c r="CD148" i="2"/>
  <c r="CD37" i="2"/>
  <c r="CD144" i="2"/>
  <c r="CD79" i="2"/>
  <c r="CD17" i="2"/>
  <c r="CD196" i="2"/>
  <c r="CD23" i="2"/>
  <c r="CD112" i="2"/>
  <c r="CD185" i="2"/>
  <c r="CD174" i="2"/>
  <c r="CD80" i="2"/>
  <c r="CD54" i="2"/>
  <c r="CD98" i="2"/>
  <c r="CD18" i="2"/>
  <c r="CD130" i="2"/>
  <c r="CD146" i="2"/>
  <c r="CD66" i="2"/>
  <c r="CD192" i="2"/>
  <c r="CD70" i="2"/>
  <c r="CD183" i="2"/>
  <c r="CD73" i="2"/>
  <c r="CD56" i="2"/>
  <c r="CD178" i="2"/>
  <c r="CD154" i="2"/>
  <c r="CD90" i="2"/>
  <c r="CD123" i="2"/>
  <c r="CD96" i="2"/>
  <c r="CD124" i="2"/>
  <c r="CD184" i="2"/>
  <c r="CD153" i="2"/>
  <c r="CD162" i="2"/>
  <c r="CD189" i="2"/>
  <c r="CD26" i="2"/>
  <c r="CD27" i="2"/>
  <c r="CD39" i="2"/>
  <c r="CD20" i="2"/>
  <c r="CD182" i="2"/>
  <c r="CD136" i="2"/>
  <c r="CD61" i="2"/>
  <c r="CD195" i="2"/>
  <c r="CD67" i="2"/>
  <c r="CD160" i="2"/>
  <c r="CD171" i="2"/>
  <c r="CD15" i="2"/>
  <c r="CD190" i="2"/>
  <c r="CD11" i="2"/>
  <c r="CD31" i="2"/>
  <c r="CD132" i="2"/>
  <c r="CD186" i="2"/>
  <c r="CD3" i="2"/>
  <c r="C9" i="4" s="1"/>
  <c r="E9" i="4" s="1"/>
  <c r="F9" i="4" s="1"/>
  <c r="G9" i="4" s="1"/>
  <c r="L9" i="4" s="1"/>
  <c r="CD30" i="2"/>
  <c r="CD120" i="2"/>
  <c r="CD81" i="2"/>
  <c r="CD95" i="2"/>
  <c r="CD91" i="2"/>
  <c r="CD12" i="2"/>
  <c r="CD142" i="2"/>
  <c r="CD163" i="2"/>
  <c r="CD103" i="2"/>
  <c r="CD59" i="2"/>
  <c r="CD8" i="2"/>
  <c r="CD187" i="2"/>
  <c r="CD108" i="2"/>
  <c r="CD87" i="2"/>
  <c r="CD5" i="2"/>
  <c r="CD145" i="2"/>
  <c r="CD134" i="2"/>
  <c r="CD60" i="2"/>
  <c r="CD89" i="2"/>
  <c r="CD36" i="2"/>
  <c r="CD92" i="2"/>
  <c r="CD173" i="2"/>
  <c r="CD122" i="2"/>
  <c r="CD78" i="2"/>
  <c r="CD58" i="2"/>
  <c r="CD143" i="2"/>
  <c r="CD101" i="2"/>
  <c r="CD121" i="2"/>
  <c r="CD115" i="2"/>
  <c r="CD84" i="2"/>
  <c r="CD7" i="2"/>
  <c r="CD40" i="2"/>
  <c r="CD104" i="2"/>
  <c r="CD191" i="2"/>
  <c r="CD53" i="2"/>
  <c r="CD159" i="2"/>
  <c r="CD105" i="2"/>
  <c r="CD137" i="2"/>
  <c r="CD126" i="2"/>
  <c r="CD82" i="2"/>
  <c r="CD41" i="2"/>
  <c r="CD147" i="2"/>
  <c r="CD166" i="2"/>
  <c r="CD35" i="2"/>
  <c r="CD25" i="2"/>
  <c r="CD42" i="2"/>
  <c r="CD140" i="2"/>
  <c r="CD38" i="2"/>
  <c r="CD165" i="2"/>
  <c r="CD156" i="2"/>
  <c r="CD21" i="2"/>
  <c r="CD199" i="2"/>
  <c r="CD75" i="2"/>
  <c r="CD203" i="2"/>
  <c r="CD62" i="2"/>
  <c r="CD150" i="2"/>
  <c r="CD43" i="2"/>
  <c r="CD50" i="2"/>
  <c r="CD164" i="2"/>
  <c r="CD69" i="2"/>
  <c r="CD34" i="2"/>
  <c r="CD76" i="2"/>
  <c r="CD193" i="2"/>
  <c r="CD6" i="2"/>
  <c r="CD197" i="2"/>
  <c r="CD14" i="2"/>
  <c r="CD13" i="2"/>
  <c r="CD100" i="2"/>
  <c r="CD198" i="2"/>
  <c r="CD83" i="2"/>
  <c r="CD88" i="2"/>
  <c r="CD155" i="2"/>
  <c r="CD117" i="2"/>
  <c r="CD119" i="2"/>
  <c r="CD138" i="2"/>
  <c r="CD9" i="2"/>
  <c r="CD152" i="2"/>
  <c r="CD24" i="2"/>
  <c r="CD45" i="2"/>
  <c r="CD33" i="2"/>
  <c r="CD109" i="2"/>
  <c r="CD47" i="2"/>
  <c r="CD86" i="2"/>
  <c r="CD63" i="2"/>
  <c r="CD64" i="2"/>
  <c r="CD48" i="2"/>
  <c r="CD65" i="2"/>
  <c r="CD139" i="2"/>
  <c r="CD181" i="2"/>
  <c r="CD129" i="2"/>
  <c r="CD128" i="2"/>
  <c r="CD85" i="2"/>
  <c r="CD157" i="2"/>
  <c r="CD99" i="2"/>
  <c r="CD169" i="2"/>
  <c r="CD52" i="2"/>
  <c r="CD44" i="2"/>
  <c r="CD71" i="2"/>
  <c r="CD167" i="2"/>
  <c r="CD106" i="2"/>
  <c r="CD22" i="2"/>
  <c r="CD111" i="2"/>
  <c r="CD151" i="2"/>
  <c r="CD17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<sst xmlns="http://schemas.openxmlformats.org/spreadsheetml/2006/main" count="1179" uniqueCount="324">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</sst>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205.57216811118852</c:v>
                </c:pt>
                <c:pt idx="23">
                  <c:v>228.48746894478305</c:v>
                </c:pt>
                <c:pt idx="24">
                  <c:v>251.35018250509077</c:v>
                </c:pt>
                <c:pt idx="25">
                  <c:v>274.16576374261041</c:v>
                </c:pt>
                <c:pt idx="26">
                  <c:v>296.93868498913014</c:v>
                </c:pt>
                <c:pt idx="27">
                  <c:v>319.67267638199866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7726416"/>
        <c:axId val="-1227725872"/>
      </c:scatterChart>
      <c:valAx>
        <c:axId val="-1227726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7725872"/>
        <c:crosses val="autoZero"/>
        <c:crossBetween val="midCat"/>
      </c:valAx>
      <c:valAx>
        <c:axId val="-122772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7726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1.4775924250496777</c:v>
                </c:pt>
                <c:pt idx="2">
                  <c:v>1.7354690987486172</c:v>
                </c:pt>
                <c:pt idx="3">
                  <c:v>2.0385212836323032</c:v>
                </c:pt>
                <c:pt idx="4">
                  <c:v>2.3946911181848285</c:v>
                </c:pt>
                <c:pt idx="5">
                  <c:v>2.8133216811602098</c:v>
                </c:pt>
                <c:pt idx="6">
                  <c:v>3.3054048769467799</c:v>
                </c:pt>
                <c:pt idx="7">
                  <c:v>3.8838733086580817</c:v>
                </c:pt>
                <c:pt idx="8">
                  <c:v>4.5639439653586393</c:v>
                </c:pt>
                <c:pt idx="9">
                  <c:v>5.3635229457097742</c:v>
                </c:pt>
                <c:pt idx="10">
                  <c:v>6.3036820857098164</c:v>
                </c:pt>
                <c:pt idx="11">
                  <c:v>7.4092202977942643</c:v>
                </c:pt>
                <c:pt idx="12">
                  <c:v>8.7093247150634436</c:v>
                </c:pt>
                <c:pt idx="13">
                  <c:v>10.238349429986657</c:v>
                </c:pt>
                <c:pt idx="14">
                  <c:v>12.036732794922001</c:v>
                </c:pt>
                <c:pt idx="15">
                  <c:v>14.152077998686858</c:v>
                </c:pt>
                <c:pt idx="16">
                  <c:v>16.640426051247726</c:v>
                </c:pt>
                <c:pt idx="17">
                  <c:v>19.567755517731879</c:v>
                </c:pt>
                <c:pt idx="18">
                  <c:v>23.011749485388322</c:v>
                </c:pt>
                <c:pt idx="19">
                  <c:v>27.063877490351445</c:v>
                </c:pt>
                <c:pt idx="20">
                  <c:v>31.831848672713509</c:v>
                </c:pt>
                <c:pt idx="21">
                  <c:v>37.442502501650075</c:v>
                </c:pt>
                <c:pt idx="22">
                  <c:v>44.045215292260423</c:v>
                </c:pt>
                <c:pt idx="23">
                  <c:v>51.815914746962143</c:v>
                </c:pt>
                <c:pt idx="24">
                  <c:v>60.961811279696327</c:v>
                </c:pt>
                <c:pt idx="25">
                  <c:v>71.726974372759472</c:v>
                </c:pt>
                <c:pt idx="26">
                  <c:v>84.398905207026857</c:v>
                </c:pt>
                <c:pt idx="27">
                  <c:v>99.316283925916835</c:v>
                </c:pt>
                <c:pt idx="28">
                  <c:v>116.87810188422613</c:v>
                </c:pt>
                <c:pt idx="29">
                  <c:v>137.55442697123911</c:v>
                </c:pt>
                <c:pt idx="30">
                  <c:v>161.89909461743403</c:v>
                </c:pt>
                <c:pt idx="31">
                  <c:v>176.92952685826774</c:v>
                </c:pt>
                <c:pt idx="32">
                  <c:v>191.93000399038419</c:v>
                </c:pt>
                <c:pt idx="33">
                  <c:v>206.90319784075567</c:v>
                </c:pt>
                <c:pt idx="34">
                  <c:v>221.85136152421862</c:v>
                </c:pt>
                <c:pt idx="35">
                  <c:v>236.77641947163178</c:v>
                </c:pt>
                <c:pt idx="36">
                  <c:v>251.68003352413817</c:v>
                </c:pt>
                <c:pt idx="37">
                  <c:v>266.56365252655002</c:v>
                </c:pt>
                <c:pt idx="38">
                  <c:v>281.42855024986017</c:v>
                </c:pt>
                <c:pt idx="39">
                  <c:v>296.2758548734829</c:v>
                </c:pt>
                <c:pt idx="40">
                  <c:v>311.10657224324103</c:v>
                </c:pt>
                <c:pt idx="41">
                  <c:v>231.59661757682645</c:v>
                </c:pt>
                <c:pt idx="42">
                  <c:v>247.12833600901297</c:v>
                </c:pt>
                <c:pt idx="43">
                  <c:v>262.63789848834455</c:v>
                </c:pt>
                <c:pt idx="44">
                  <c:v>278.12679769794886</c:v>
                </c:pt>
                <c:pt idx="45">
                  <c:v>293.59634643573321</c:v>
                </c:pt>
                <c:pt idx="46">
                  <c:v>309.04770782958457</c:v>
                </c:pt>
                <c:pt idx="47">
                  <c:v>324.48191918902688</c:v>
                </c:pt>
                <c:pt idx="48">
                  <c:v>339.89991107863034</c:v>
                </c:pt>
                <c:pt idx="49">
                  <c:v>355.30252274811801</c:v>
                </c:pt>
                <c:pt idx="50">
                  <c:v>370.69051474605106</c:v>
                </c:pt>
                <c:pt idx="51">
                  <c:v>307.09150441191474</c:v>
                </c:pt>
                <c:pt idx="52">
                  <c:v>323.65917853100467</c:v>
                </c:pt>
                <c:pt idx="53">
                  <c:v>340.2081113818154</c:v>
                </c:pt>
                <c:pt idx="54">
                  <c:v>356.73934276155018</c:v>
                </c:pt>
                <c:pt idx="55">
                  <c:v>373.25380824404095</c:v>
                </c:pt>
                <c:pt idx="56">
                  <c:v>389.75235387171801</c:v>
                </c:pt>
                <c:pt idx="57">
                  <c:v>406.2357482295584</c:v>
                </c:pt>
                <c:pt idx="58">
                  <c:v>422.70469245694858</c:v>
                </c:pt>
                <c:pt idx="59">
                  <c:v>439.15982861786227</c:v>
                </c:pt>
                <c:pt idx="60">
                  <c:v>455.60174675120055</c:v>
                </c:pt>
                <c:pt idx="61">
                  <c:v>407.77072204944676</c:v>
                </c:pt>
                <c:pt idx="62">
                  <c:v>426.38527869284889</c:v>
                </c:pt>
                <c:pt idx="63">
                  <c:v>444.98236282800468</c:v>
                </c:pt>
                <c:pt idx="64">
                  <c:v>463.5628070514835</c:v>
                </c:pt>
                <c:pt idx="65">
                  <c:v>482.12737180697371</c:v>
                </c:pt>
                <c:pt idx="66">
                  <c:v>500.67675423246709</c:v>
                </c:pt>
                <c:pt idx="67">
                  <c:v>519.2115956284598</c:v>
                </c:pt>
                <c:pt idx="68">
                  <c:v>537.73248780463518</c:v>
                </c:pt>
                <c:pt idx="69">
                  <c:v>556.23997850702733</c:v>
                </c:pt>
                <c:pt idx="70">
                  <c:v>574.73457608565934</c:v>
                </c:pt>
                <c:pt idx="71">
                  <c:v>543.22509591168205</c:v>
                </c:pt>
                <c:pt idx="72">
                  <c:v>565.59047695853826</c:v>
                </c:pt>
                <c:pt idx="73">
                  <c:v>587.93737247742183</c:v>
                </c:pt>
                <c:pt idx="74">
                  <c:v>610.26658322144317</c:v>
                </c:pt>
                <c:pt idx="75">
                  <c:v>632.57884662880997</c:v>
                </c:pt>
                <c:pt idx="76">
                  <c:v>654.87484393050215</c:v>
                </c:pt>
                <c:pt idx="77">
                  <c:v>677.15520624046167</c:v>
                </c:pt>
                <c:pt idx="78">
                  <c:v>699.42051980328995</c:v>
                </c:pt>
                <c:pt idx="79">
                  <c:v>721.67133053962118</c:v>
                </c:pt>
                <c:pt idx="80">
                  <c:v>743.90814800234284</c:v>
                </c:pt>
                <c:pt idx="81">
                  <c:v>725.71541469625208</c:v>
                </c:pt>
                <c:pt idx="82">
                  <c:v>753.00110606045882</c:v>
                </c:pt>
                <c:pt idx="83">
                  <c:v>780.26671736267065</c:v>
                </c:pt>
                <c:pt idx="84">
                  <c:v>807.51304790733877</c:v>
                </c:pt>
                <c:pt idx="85">
                  <c:v>834.74083874799305</c:v>
                </c:pt>
                <c:pt idx="86">
                  <c:v>861.95077873119817</c:v>
                </c:pt>
                <c:pt idx="87">
                  <c:v>889.14350973873968</c:v>
                </c:pt>
                <c:pt idx="88">
                  <c:v>916.31963125612492</c:v>
                </c:pt>
                <c:pt idx="89">
                  <c:v>943.47970437177185</c:v>
                </c:pt>
                <c:pt idx="90">
                  <c:v>970.62425529248264</c:v>
                </c:pt>
                <c:pt idx="91">
                  <c:v>970.82526937761452</c:v>
                </c:pt>
                <c:pt idx="92">
                  <c:v>1005.1867158577934</c:v>
                </c:pt>
                <c:pt idx="93">
                  <c:v>1039.5249927746324</c:v>
                </c:pt>
                <c:pt idx="94">
                  <c:v>1073.8409715171144</c:v>
                </c:pt>
                <c:pt idx="95">
                  <c:v>1108.1354633613917</c:v>
                </c:pt>
                <c:pt idx="96">
                  <c:v>1142.409225385253</c:v>
                </c:pt>
                <c:pt idx="97">
                  <c:v>1176.6629656373523</c:v>
                </c:pt>
                <c:pt idx="98">
                  <c:v>1210.8973476744666</c:v>
                </c:pt>
                <c:pt idx="99">
                  <c:v>1245.1129945600592</c:v>
                </c:pt>
                <c:pt idx="100">
                  <c:v>1279.3104924014149</c:v>
                </c:pt>
                <c:pt idx="101">
                  <c:v>8.0472891597182151E-12</c:v>
                </c:pt>
                <c:pt idx="102">
                  <c:v>8.0472891597182151E-12</c:v>
                </c:pt>
                <c:pt idx="103">
                  <c:v>8.0472891597182151E-12</c:v>
                </c:pt>
                <c:pt idx="104">
                  <c:v>8.0472891597182151E-12</c:v>
                </c:pt>
                <c:pt idx="105">
                  <c:v>8.0472891597182151E-12</c:v>
                </c:pt>
                <c:pt idx="106">
                  <c:v>8.0472891597182151E-12</c:v>
                </c:pt>
                <c:pt idx="107">
                  <c:v>8.0472891597182151E-12</c:v>
                </c:pt>
                <c:pt idx="108">
                  <c:v>8.0472891597182151E-12</c:v>
                </c:pt>
                <c:pt idx="109">
                  <c:v>8.0472891597182151E-12</c:v>
                </c:pt>
                <c:pt idx="110">
                  <c:v>8.0472891597182151E-12</c:v>
                </c:pt>
                <c:pt idx="111">
                  <c:v>8.0472891597182151E-12</c:v>
                </c:pt>
                <c:pt idx="112">
                  <c:v>8.0472891597182151E-12</c:v>
                </c:pt>
                <c:pt idx="113">
                  <c:v>8.0472891597182151E-12</c:v>
                </c:pt>
                <c:pt idx="114">
                  <c:v>8.0472891597182151E-12</c:v>
                </c:pt>
                <c:pt idx="115">
                  <c:v>8.0472891597182151E-12</c:v>
                </c:pt>
                <c:pt idx="116">
                  <c:v>8.0472891597182151E-12</c:v>
                </c:pt>
                <c:pt idx="117">
                  <c:v>8.0472891597182151E-12</c:v>
                </c:pt>
                <c:pt idx="118">
                  <c:v>8.0472891597182151E-12</c:v>
                </c:pt>
                <c:pt idx="119">
                  <c:v>8.0472891597182151E-12</c:v>
                </c:pt>
                <c:pt idx="120">
                  <c:v>8.0472891597182151E-12</c:v>
                </c:pt>
                <c:pt idx="121">
                  <c:v>8.0472891597182151E-12</c:v>
                </c:pt>
                <c:pt idx="122">
                  <c:v>8.0472891597182151E-12</c:v>
                </c:pt>
                <c:pt idx="123">
                  <c:v>8.0472891597182151E-12</c:v>
                </c:pt>
                <c:pt idx="124">
                  <c:v>8.0472891597182151E-12</c:v>
                </c:pt>
                <c:pt idx="125">
                  <c:v>8.0472891597182151E-12</c:v>
                </c:pt>
                <c:pt idx="126">
                  <c:v>8.0472891597182151E-12</c:v>
                </c:pt>
                <c:pt idx="127">
                  <c:v>8.0472891597182151E-12</c:v>
                </c:pt>
                <c:pt idx="128">
                  <c:v>8.0472891597182151E-12</c:v>
                </c:pt>
                <c:pt idx="129">
                  <c:v>8.0472891597182151E-12</c:v>
                </c:pt>
                <c:pt idx="130">
                  <c:v>8.0472891597182151E-12</c:v>
                </c:pt>
                <c:pt idx="131">
                  <c:v>8.0472891597182151E-12</c:v>
                </c:pt>
                <c:pt idx="132">
                  <c:v>8.0472891597182151E-12</c:v>
                </c:pt>
                <c:pt idx="133">
                  <c:v>8.0472891597182151E-12</c:v>
                </c:pt>
                <c:pt idx="134">
                  <c:v>8.0472891597182151E-12</c:v>
                </c:pt>
                <c:pt idx="135">
                  <c:v>8.0472891597182151E-12</c:v>
                </c:pt>
                <c:pt idx="136">
                  <c:v>8.0472891597182151E-12</c:v>
                </c:pt>
                <c:pt idx="137">
                  <c:v>8.0472891597182151E-12</c:v>
                </c:pt>
                <c:pt idx="138">
                  <c:v>8.0472891597182151E-12</c:v>
                </c:pt>
                <c:pt idx="139">
                  <c:v>8.0472891597182151E-12</c:v>
                </c:pt>
                <c:pt idx="140">
                  <c:v>8.0472891597182151E-12</c:v>
                </c:pt>
                <c:pt idx="141">
                  <c:v>8.0472891597182151E-12</c:v>
                </c:pt>
                <c:pt idx="142">
                  <c:v>8.0472891597182151E-12</c:v>
                </c:pt>
                <c:pt idx="143">
                  <c:v>8.0472891597182151E-12</c:v>
                </c:pt>
                <c:pt idx="144">
                  <c:v>8.0472891597182151E-12</c:v>
                </c:pt>
                <c:pt idx="145">
                  <c:v>8.0472891597182151E-12</c:v>
                </c:pt>
                <c:pt idx="146">
                  <c:v>8.0472891597182151E-12</c:v>
                </c:pt>
                <c:pt idx="147">
                  <c:v>8.0472891597182151E-12</c:v>
                </c:pt>
                <c:pt idx="148">
                  <c:v>8.0472891597182151E-12</c:v>
                </c:pt>
                <c:pt idx="149">
                  <c:v>8.0472891597182151E-12</c:v>
                </c:pt>
                <c:pt idx="150">
                  <c:v>8.0472891597182151E-12</c:v>
                </c:pt>
                <c:pt idx="151">
                  <c:v>8.0472891597182151E-12</c:v>
                </c:pt>
                <c:pt idx="152">
                  <c:v>8.0472891597182151E-12</c:v>
                </c:pt>
                <c:pt idx="153">
                  <c:v>8.0472891597182151E-12</c:v>
                </c:pt>
                <c:pt idx="154">
                  <c:v>8.0472891597182151E-12</c:v>
                </c:pt>
                <c:pt idx="155">
                  <c:v>8.0472891597182151E-12</c:v>
                </c:pt>
                <c:pt idx="156">
                  <c:v>8.0472891597182151E-12</c:v>
                </c:pt>
                <c:pt idx="157">
                  <c:v>8.0472891597182151E-12</c:v>
                </c:pt>
                <c:pt idx="158">
                  <c:v>8.0472891597182151E-12</c:v>
                </c:pt>
                <c:pt idx="159">
                  <c:v>8.0472891597182151E-12</c:v>
                </c:pt>
                <c:pt idx="160">
                  <c:v>8.0472891597182151E-12</c:v>
                </c:pt>
                <c:pt idx="161">
                  <c:v>8.0472891597182151E-12</c:v>
                </c:pt>
                <c:pt idx="162">
                  <c:v>8.0472891597182151E-12</c:v>
                </c:pt>
                <c:pt idx="163">
                  <c:v>8.0472891597182151E-12</c:v>
                </c:pt>
                <c:pt idx="164">
                  <c:v>8.0472891597182151E-12</c:v>
                </c:pt>
                <c:pt idx="165">
                  <c:v>8.0472891597182151E-12</c:v>
                </c:pt>
                <c:pt idx="166">
                  <c:v>8.0472891597182151E-12</c:v>
                </c:pt>
                <c:pt idx="167">
                  <c:v>8.0472891597182151E-12</c:v>
                </c:pt>
                <c:pt idx="168">
                  <c:v>8.0472891597182151E-12</c:v>
                </c:pt>
                <c:pt idx="169">
                  <c:v>8.0472891597182151E-12</c:v>
                </c:pt>
                <c:pt idx="170">
                  <c:v>8.0472891597182151E-12</c:v>
                </c:pt>
                <c:pt idx="171">
                  <c:v>8.0472891597182151E-12</c:v>
                </c:pt>
                <c:pt idx="172">
                  <c:v>8.0472891597182151E-12</c:v>
                </c:pt>
                <c:pt idx="173">
                  <c:v>8.0472891597182151E-12</c:v>
                </c:pt>
                <c:pt idx="174">
                  <c:v>8.0472891597182151E-12</c:v>
                </c:pt>
                <c:pt idx="175">
                  <c:v>8.0472891597182151E-12</c:v>
                </c:pt>
                <c:pt idx="176">
                  <c:v>8.0472891597182151E-12</c:v>
                </c:pt>
                <c:pt idx="177">
                  <c:v>8.0472891597182151E-12</c:v>
                </c:pt>
                <c:pt idx="178">
                  <c:v>8.0472891597182151E-12</c:v>
                </c:pt>
                <c:pt idx="179">
                  <c:v>8.0472891597182151E-12</c:v>
                </c:pt>
                <c:pt idx="180">
                  <c:v>8.0472891597182151E-12</c:v>
                </c:pt>
                <c:pt idx="181">
                  <c:v>8.0472891597182151E-12</c:v>
                </c:pt>
                <c:pt idx="182">
                  <c:v>8.0472891597182151E-12</c:v>
                </c:pt>
                <c:pt idx="183">
                  <c:v>8.0472891597182151E-12</c:v>
                </c:pt>
                <c:pt idx="184">
                  <c:v>8.0472891597182151E-12</c:v>
                </c:pt>
                <c:pt idx="185">
                  <c:v>8.0472891597182151E-12</c:v>
                </c:pt>
                <c:pt idx="186">
                  <c:v>8.0472891597182151E-12</c:v>
                </c:pt>
                <c:pt idx="187">
                  <c:v>8.0472891597182151E-12</c:v>
                </c:pt>
                <c:pt idx="188">
                  <c:v>8.0472891597182151E-12</c:v>
                </c:pt>
                <c:pt idx="189">
                  <c:v>8.0472891597182151E-12</c:v>
                </c:pt>
                <c:pt idx="190">
                  <c:v>8.0472891597182151E-12</c:v>
                </c:pt>
                <c:pt idx="191">
                  <c:v>8.0472891597182151E-12</c:v>
                </c:pt>
                <c:pt idx="192">
                  <c:v>8.0472891597182151E-12</c:v>
                </c:pt>
                <c:pt idx="193">
                  <c:v>8.0472891597182151E-12</c:v>
                </c:pt>
                <c:pt idx="194">
                  <c:v>8.0472891597182151E-12</c:v>
                </c:pt>
                <c:pt idx="195">
                  <c:v>8.0472891597182151E-12</c:v>
                </c:pt>
                <c:pt idx="196">
                  <c:v>8.0472891597182151E-12</c:v>
                </c:pt>
                <c:pt idx="197">
                  <c:v>8.0472891597182151E-12</c:v>
                </c:pt>
                <c:pt idx="198">
                  <c:v>8.0472891597182151E-12</c:v>
                </c:pt>
                <c:pt idx="199">
                  <c:v>8.0472891597182151E-12</c:v>
                </c:pt>
                <c:pt idx="200">
                  <c:v>8.0472891597182151E-12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8068640"/>
        <c:axId val="-1128058848"/>
      </c:scatterChart>
      <c:valAx>
        <c:axId val="-1128068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8058848"/>
        <c:crosses val="autoZero"/>
        <c:crossBetween val="midCat"/>
      </c:valAx>
      <c:valAx>
        <c:axId val="-112805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8068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193.4476343470125</c:v>
                </c:pt>
                <c:pt idx="17">
                  <c:v>215.71900389754811</c:v>
                </c:pt>
                <c:pt idx="18">
                  <c:v>237.93745819584922</c:v>
                </c:pt>
                <c:pt idx="19">
                  <c:v>260.10863290775887</c:v>
                </c:pt>
                <c:pt idx="20">
                  <c:v>282.23712370144091</c:v>
                </c:pt>
                <c:pt idx="21">
                  <c:v>192.69166645650384</c:v>
                </c:pt>
                <c:pt idx="22">
                  <c:v>214.21082329400204</c:v>
                </c:pt>
                <c:pt idx="23">
                  <c:v>235.68019914177424</c:v>
                </c:pt>
                <c:pt idx="24">
                  <c:v>257.10496630927099</c:v>
                </c:pt>
                <c:pt idx="25">
                  <c:v>278.48936400091276</c:v>
                </c:pt>
                <c:pt idx="26">
                  <c:v>299.08847869495418</c:v>
                </c:pt>
                <c:pt idx="27">
                  <c:v>319.65599415471291</c:v>
                </c:pt>
                <c:pt idx="28">
                  <c:v>340.19422861744891</c:v>
                </c:pt>
                <c:pt idx="29">
                  <c:v>360.70519760433922</c:v>
                </c:pt>
                <c:pt idx="30">
                  <c:v>381.19066877305704</c:v>
                </c:pt>
                <c:pt idx="31">
                  <c:v>282.98654127638628</c:v>
                </c:pt>
                <c:pt idx="32">
                  <c:v>302.45616879398904</c:v>
                </c:pt>
                <c:pt idx="33">
                  <c:v>321.89791317588958</c:v>
                </c:pt>
                <c:pt idx="34">
                  <c:v>341.31369475960304</c:v>
                </c:pt>
                <c:pt idx="35">
                  <c:v>360.70519760433928</c:v>
                </c:pt>
                <c:pt idx="36">
                  <c:v>378.95707974932731</c:v>
                </c:pt>
                <c:pt idx="37">
                  <c:v>397.18983794003816</c:v>
                </c:pt>
                <c:pt idx="38">
                  <c:v>415.40447321133962</c:v>
                </c:pt>
                <c:pt idx="39">
                  <c:v>433.60189168293101</c:v>
                </c:pt>
                <c:pt idx="40">
                  <c:v>451.78291724664086</c:v>
                </c:pt>
                <c:pt idx="41">
                  <c:v>351.01238382795668</c:v>
                </c:pt>
                <c:pt idx="42">
                  <c:v>367.41226056988847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416.5190868923217</c:v>
                </c:pt>
                <c:pt idx="46">
                  <c:v>431.74577653680279</c:v>
                </c:pt>
                <c:pt idx="47">
                  <c:v>446.96093391901201</c:v>
                </c:pt>
                <c:pt idx="48">
                  <c:v>462.16500679362144</c:v>
                </c:pt>
                <c:pt idx="49">
                  <c:v>477.35841106060849</c:v>
                </c:pt>
                <c:pt idx="50">
                  <c:v>492.5415339943101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465.87168360761962</c:v>
                </c:pt>
                <c:pt idx="57">
                  <c:v>478.09928670595019</c:v>
                </c:pt>
                <c:pt idx="58">
                  <c:v>490.32024154627794</c:v>
                </c:pt>
                <c:pt idx="59">
                  <c:v>502.53473717055255</c:v>
                </c:pt>
                <c:pt idx="60">
                  <c:v>514.74295268257515</c:v>
                </c:pt>
                <c:pt idx="61">
                  <c:v>433.23068233058757</c:v>
                </c:pt>
                <c:pt idx="62">
                  <c:v>444.36402075569367</c:v>
                </c:pt>
                <c:pt idx="63">
                  <c:v>455.49138558575578</c:v>
                </c:pt>
                <c:pt idx="64">
                  <c:v>466.61294333655451</c:v>
                </c:pt>
                <c:pt idx="65">
                  <c:v>477.72885193803262</c:v>
                </c:pt>
                <c:pt idx="66">
                  <c:v>487.72846377041816</c:v>
                </c:pt>
                <c:pt idx="67">
                  <c:v>497.72372558122561</c:v>
                </c:pt>
                <c:pt idx="68">
                  <c:v>507.71473705367725</c:v>
                </c:pt>
                <c:pt idx="69">
                  <c:v>517.70159362740139</c:v>
                </c:pt>
                <c:pt idx="70">
                  <c:v>527.68438675921175</c:v>
                </c:pt>
                <c:pt idx="71">
                  <c:v>457.34537744583628</c:v>
                </c:pt>
                <c:pt idx="72">
                  <c:v>466.61294333655428</c:v>
                </c:pt>
                <c:pt idx="73">
                  <c:v>475.87658634735857</c:v>
                </c:pt>
                <c:pt idx="74">
                  <c:v>485.13639362991427</c:v>
                </c:pt>
                <c:pt idx="75">
                  <c:v>494.3924487367965</c:v>
                </c:pt>
                <c:pt idx="76">
                  <c:v>502.53473717055221</c:v>
                </c:pt>
                <c:pt idx="77">
                  <c:v>510.67423463217074</c:v>
                </c:pt>
                <c:pt idx="78">
                  <c:v>518.81099189229928</c:v>
                </c:pt>
                <c:pt idx="79">
                  <c:v>526.9450579987423</c:v>
                </c:pt>
                <c:pt idx="80">
                  <c:v>535.07648036119133</c:v>
                </c:pt>
                <c:pt idx="81">
                  <c:v>475.87658634735823</c:v>
                </c:pt>
                <c:pt idx="82">
                  <c:v>483.28473497109485</c:v>
                </c:pt>
                <c:pt idx="83">
                  <c:v>490.69047175093141</c:v>
                </c:pt>
                <c:pt idx="84">
                  <c:v>498.09383823712534</c:v>
                </c:pt>
                <c:pt idx="85">
                  <c:v>505.49487464351932</c:v>
                </c:pt>
                <c:pt idx="86">
                  <c:v>511.78395268369974</c:v>
                </c:pt>
                <c:pt idx="87">
                  <c:v>518.07139861654366</c:v>
                </c:pt>
                <c:pt idx="88">
                  <c:v>524.35723505320004</c:v>
                </c:pt>
                <c:pt idx="89">
                  <c:v>530.64148401823638</c:v>
                </c:pt>
                <c:pt idx="90">
                  <c:v>536.92416697177464</c:v>
                </c:pt>
                <c:pt idx="91">
                  <c:v>487.35818597735914</c:v>
                </c:pt>
                <c:pt idx="92">
                  <c:v>493.28191755597254</c:v>
                </c:pt>
                <c:pt idx="93">
                  <c:v>499.20414127497378</c:v>
                </c:pt>
                <c:pt idx="94">
                  <c:v>505.12487755644185</c:v>
                </c:pt>
                <c:pt idx="95">
                  <c:v>511.04414630438458</c:v>
                </c:pt>
                <c:pt idx="96">
                  <c:v>516.9619669238615</c:v>
                </c:pt>
                <c:pt idx="97">
                  <c:v>522.87835833918678</c:v>
                </c:pt>
                <c:pt idx="98">
                  <c:v>528.79333901126358</c:v>
                </c:pt>
                <c:pt idx="99">
                  <c:v>534.70692695410298</c:v>
                </c:pt>
                <c:pt idx="100">
                  <c:v>540.6191397505745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7737840"/>
        <c:axId val="-1227725328"/>
      </c:scatterChart>
      <c:valAx>
        <c:axId val="-1227737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7725328"/>
        <c:crosses val="autoZero"/>
        <c:crossBetween val="midCat"/>
      </c:valAx>
      <c:valAx>
        <c:axId val="-122772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7737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211.51703386842772</c:v>
                </c:pt>
                <c:pt idx="32">
                  <c:v>228.30032906802219</c:v>
                </c:pt>
                <c:pt idx="33">
                  <c:v>245.05539887630434</c:v>
                </c:pt>
                <c:pt idx="34">
                  <c:v>261.78444483261882</c:v>
                </c:pt>
                <c:pt idx="35">
                  <c:v>278.48936400091259</c:v>
                </c:pt>
                <c:pt idx="36">
                  <c:v>211.90768212600278</c:v>
                </c:pt>
                <c:pt idx="37">
                  <c:v>227.1303449649258</c:v>
                </c:pt>
                <c:pt idx="38">
                  <c:v>242.32965686946343</c:v>
                </c:pt>
                <c:pt idx="39">
                  <c:v>257.5072889074288</c:v>
                </c:pt>
                <c:pt idx="40">
                  <c:v>272.6646989766358</c:v>
                </c:pt>
                <c:pt idx="41">
                  <c:v>288.96691630985214</c:v>
                </c:pt>
                <c:pt idx="42">
                  <c:v>305.24857979967942</c:v>
                </c:pt>
                <c:pt idx="43">
                  <c:v>321.51093999187799</c:v>
                </c:pt>
                <c:pt idx="44">
                  <c:v>337.75511058999291</c:v>
                </c:pt>
                <c:pt idx="45">
                  <c:v>353.98208942867723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320.34995854628932</c:v>
                </c:pt>
                <c:pt idx="49">
                  <c:v>336.20880231759611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398.33209414857424</c:v>
                </c:pt>
                <c:pt idx="54">
                  <c:v>413.73243167051163</c:v>
                </c:pt>
                <c:pt idx="55">
                  <c:v>429.1204064684805</c:v>
                </c:pt>
                <c:pt idx="56">
                  <c:v>362.86133414806528</c:v>
                </c:pt>
                <c:pt idx="57">
                  <c:v>377.52104986809326</c:v>
                </c:pt>
                <c:pt idx="58">
                  <c:v>392.16837634017276</c:v>
                </c:pt>
                <c:pt idx="59">
                  <c:v>406.80384141548683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476.74981634160099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7736752"/>
        <c:axId val="-1227738928"/>
      </c:scatterChart>
      <c:valAx>
        <c:axId val="-1227736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7738928"/>
        <c:crosses val="autoZero"/>
        <c:crossBetween val="midCat"/>
      </c:valAx>
      <c:valAx>
        <c:axId val="-122773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7736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92.212001931830386</c:v>
                </c:pt>
                <c:pt idx="17">
                  <c:v>105.35503866631923</c:v>
                </c:pt>
                <c:pt idx="18">
                  <c:v>118.45758522816597</c:v>
                </c:pt>
                <c:pt idx="19">
                  <c:v>131.52475843384721</c:v>
                </c:pt>
                <c:pt idx="20">
                  <c:v>144.56057213518989</c:v>
                </c:pt>
                <c:pt idx="21">
                  <c:v>123.52840635605497</c:v>
                </c:pt>
                <c:pt idx="22">
                  <c:v>137.11517211565118</c:v>
                </c:pt>
                <c:pt idx="23">
                  <c:v>150.66954916498568</c:v>
                </c:pt>
                <c:pt idx="24">
                  <c:v>164.19486426810479</c:v>
                </c:pt>
                <c:pt idx="25">
                  <c:v>177.69385032373035</c:v>
                </c:pt>
                <c:pt idx="26">
                  <c:v>191.16879046159409</c:v>
                </c:pt>
                <c:pt idx="27">
                  <c:v>204.62161925684799</c:v>
                </c:pt>
                <c:pt idx="28">
                  <c:v>218.05399586508807</c:v>
                </c:pt>
                <c:pt idx="29">
                  <c:v>231.46735815462407</c:v>
                </c:pt>
                <c:pt idx="30">
                  <c:v>244.86296361177938</c:v>
                </c:pt>
                <c:pt idx="31">
                  <c:v>205.41231020128509</c:v>
                </c:pt>
                <c:pt idx="32">
                  <c:v>218.58035954454417</c:v>
                </c:pt>
                <c:pt idx="33">
                  <c:v>231.73018391404943</c:v>
                </c:pt>
                <c:pt idx="34">
                  <c:v>244.86296361177938</c:v>
                </c:pt>
                <c:pt idx="35">
                  <c:v>257.97974191077316</c:v>
                </c:pt>
                <c:pt idx="36">
                  <c:v>270.03384538640671</c:v>
                </c:pt>
                <c:pt idx="37">
                  <c:v>282.07584211332164</c:v>
                </c:pt>
                <c:pt idx="38">
                  <c:v>294.10632197650165</c:v>
                </c:pt>
                <c:pt idx="39">
                  <c:v>306.12582263909667</c:v>
                </c:pt>
                <c:pt idx="40">
                  <c:v>318.13483607832239</c:v>
                </c:pt>
                <c:pt idx="41">
                  <c:v>271.08144727175642</c:v>
                </c:pt>
                <c:pt idx="42">
                  <c:v>282.86078360632649</c:v>
                </c:pt>
                <c:pt idx="43">
                  <c:v>294.62913355147111</c:v>
                </c:pt>
                <c:pt idx="44">
                  <c:v>306.3869979576524</c:v>
                </c:pt>
                <c:pt idx="45">
                  <c:v>318.13483607832245</c:v>
                </c:pt>
                <c:pt idx="46">
                  <c:v>329.35156958294141</c:v>
                </c:pt>
                <c:pt idx="47">
                  <c:v>340.55987511500985</c:v>
                </c:pt>
                <c:pt idx="48">
                  <c:v>351.76006924925832</c:v>
                </c:pt>
                <c:pt idx="49">
                  <c:v>362.95244674780406</c:v>
                </c:pt>
                <c:pt idx="50">
                  <c:v>374.13728270377402</c:v>
                </c:pt>
                <c:pt idx="51">
                  <c:v>322.30950996229876</c:v>
                </c:pt>
                <c:pt idx="52">
                  <c:v>333.00169481114159</c:v>
                </c:pt>
                <c:pt idx="53">
                  <c:v>343.68631362725654</c:v>
                </c:pt>
                <c:pt idx="54">
                  <c:v>354.36363488362491</c:v>
                </c:pt>
                <c:pt idx="55">
                  <c:v>365.03390954723886</c:v>
                </c:pt>
                <c:pt idx="56">
                  <c:v>374.91734538946031</c:v>
                </c:pt>
                <c:pt idx="57">
                  <c:v>384.79510627137751</c:v>
                </c:pt>
                <c:pt idx="58">
                  <c:v>394.66735847110516</c:v>
                </c:pt>
                <c:pt idx="59">
                  <c:v>404.5342592660088</c:v>
                </c:pt>
                <c:pt idx="60">
                  <c:v>414.39595763230813</c:v>
                </c:pt>
                <c:pt idx="61">
                  <c:v>363.99321066425381</c:v>
                </c:pt>
                <c:pt idx="62">
                  <c:v>373.35718456856483</c:v>
                </c:pt>
                <c:pt idx="63">
                  <c:v>382.71604088568387</c:v>
                </c:pt>
                <c:pt idx="64">
                  <c:v>392.0699224681141</c:v>
                </c:pt>
                <c:pt idx="65">
                  <c:v>401.4189647926537</c:v>
                </c:pt>
                <c:pt idx="66">
                  <c:v>410.2442884418852</c:v>
                </c:pt>
                <c:pt idx="67">
                  <c:v>419.0655135735251</c:v>
                </c:pt>
                <c:pt idx="68">
                  <c:v>427.8827386661892</c:v>
                </c:pt>
                <c:pt idx="69">
                  <c:v>436.69605780694877</c:v>
                </c:pt>
                <c:pt idx="70">
                  <c:v>445.50556097376784</c:v>
                </c:pt>
                <c:pt idx="71">
                  <c:v>395.70622896203434</c:v>
                </c:pt>
                <c:pt idx="72">
                  <c:v>404.27467126938308</c:v>
                </c:pt>
                <c:pt idx="73">
                  <c:v>412.83918737669751</c:v>
                </c:pt>
                <c:pt idx="74">
                  <c:v>421.39987026288964</c:v>
                </c:pt>
                <c:pt idx="75">
                  <c:v>429.95680881908919</c:v>
                </c:pt>
                <c:pt idx="76">
                  <c:v>437.99181019525372</c:v>
                </c:pt>
                <c:pt idx="77">
                  <c:v>446.02365006516737</c:v>
                </c:pt>
                <c:pt idx="78">
                  <c:v>454.05239341686462</c:v>
                </c:pt>
                <c:pt idx="79">
                  <c:v>462.0781027515323</c:v>
                </c:pt>
                <c:pt idx="80">
                  <c:v>470.1008382211549</c:v>
                </c:pt>
                <c:pt idx="81">
                  <c:v>422.17792718748893</c:v>
                </c:pt>
                <c:pt idx="82">
                  <c:v>429.95680881908919</c:v>
                </c:pt>
                <c:pt idx="83">
                  <c:v>437.73266630566582</c:v>
                </c:pt>
                <c:pt idx="84">
                  <c:v>445.50556097376779</c:v>
                </c:pt>
                <c:pt idx="85">
                  <c:v>453.27555183427711</c:v>
                </c:pt>
                <c:pt idx="86">
                  <c:v>460.52497358173349</c:v>
                </c:pt>
                <c:pt idx="87">
                  <c:v>467.77195987462483</c:v>
                </c:pt>
                <c:pt idx="88">
                  <c:v>475.01655378575668</c:v>
                </c:pt>
                <c:pt idx="89">
                  <c:v>482.25879696627726</c:v>
                </c:pt>
                <c:pt idx="90">
                  <c:v>489.49872971371423</c:v>
                </c:pt>
                <c:pt idx="91">
                  <c:v>444.98745897736353</c:v>
                </c:pt>
                <c:pt idx="92">
                  <c:v>452.23971876405511</c:v>
                </c:pt>
                <c:pt idx="93">
                  <c:v>459.489492035924</c:v>
                </c:pt>
                <c:pt idx="94">
                  <c:v>466.73682357974229</c:v>
                </c:pt>
                <c:pt idx="95">
                  <c:v>473.98175667722558</c:v>
                </c:pt>
                <c:pt idx="96">
                  <c:v>480.70708356712709</c:v>
                </c:pt>
                <c:pt idx="97">
                  <c:v>487.4304109605867</c:v>
                </c:pt>
                <c:pt idx="98">
                  <c:v>494.15177034208205</c:v>
                </c:pt>
                <c:pt idx="99">
                  <c:v>500.87119226930128</c:v>
                </c:pt>
                <c:pt idx="100">
                  <c:v>507.58870641276644</c:v>
                </c:pt>
                <c:pt idx="101">
                  <c:v>465.96043924488595</c:v>
                </c:pt>
                <c:pt idx="102">
                  <c:v>472.17074594472138</c:v>
                </c:pt>
                <c:pt idx="103">
                  <c:v>478.37931369911365</c:v>
                </c:pt>
                <c:pt idx="104">
                  <c:v>484.58616827417546</c:v>
                </c:pt>
                <c:pt idx="105">
                  <c:v>490.79133472172845</c:v>
                </c:pt>
                <c:pt idx="106">
                  <c:v>496.99483740808415</c:v>
                </c:pt>
                <c:pt idx="107">
                  <c:v>503.19670004131422</c:v>
                </c:pt>
                <c:pt idx="108">
                  <c:v>509.39694569710491</c:v>
                </c:pt>
                <c:pt idx="109">
                  <c:v>515.59559684328622</c:v>
                </c:pt>
                <c:pt idx="110">
                  <c:v>521.79267536312125</c:v>
                </c:pt>
                <c:pt idx="111">
                  <c:v>527.60102717911309</c:v>
                </c:pt>
                <c:pt idx="112">
                  <c:v>533.40803268292484</c:v>
                </c:pt>
                <c:pt idx="113">
                  <c:v>539.21370860599507</c:v>
                </c:pt>
                <c:pt idx="114">
                  <c:v>545.0180712899114</c:v>
                </c:pt>
                <c:pt idx="115">
                  <c:v>550.82113669964031</c:v>
                </c:pt>
                <c:pt idx="116">
                  <c:v>556.6229204361706</c:v>
                </c:pt>
                <c:pt idx="117">
                  <c:v>562.42343774860331</c:v>
                </c:pt>
                <c:pt idx="118">
                  <c:v>568.22270354571481</c:v>
                </c:pt>
                <c:pt idx="119">
                  <c:v>574.02073240702464</c:v>
                </c:pt>
                <c:pt idx="120">
                  <c:v>579.81753859339335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7738384"/>
        <c:axId val="-1227734576"/>
      </c:scatterChart>
      <c:valAx>
        <c:axId val="-1227738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7734576"/>
        <c:crosses val="autoZero"/>
        <c:crossBetween val="midCat"/>
      </c:valAx>
      <c:valAx>
        <c:axId val="-122773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7738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2.0163255466281131</c:v>
                </c:pt>
                <c:pt idx="2">
                  <c:v>2.621673140601819</c:v>
                </c:pt>
                <c:pt idx="3">
                  <c:v>3.4095004707059817</c:v>
                </c:pt>
                <c:pt idx="4">
                  <c:v>4.4350258947343066</c:v>
                </c:pt>
                <c:pt idx="5">
                  <c:v>5.770236466654187</c:v>
                </c:pt>
                <c:pt idx="6">
                  <c:v>7.5089970713214749</c:v>
                </c:pt>
                <c:pt idx="7">
                  <c:v>9.7737209540079721</c:v>
                </c:pt>
                <c:pt idx="8">
                  <c:v>12.724080145238965</c:v>
                </c:pt>
                <c:pt idx="9">
                  <c:v>16.568381291448102</c:v>
                </c:pt>
                <c:pt idx="10">
                  <c:v>21.578424681057971</c:v>
                </c:pt>
                <c:pt idx="11">
                  <c:v>28.108915772242117</c:v>
                </c:pt>
                <c:pt idx="12">
                  <c:v>36.6228275693935</c:v>
                </c:pt>
                <c:pt idx="13">
                  <c:v>47.724542701983104</c:v>
                </c:pt>
                <c:pt idx="14">
                  <c:v>62.203167380699057</c:v>
                </c:pt>
                <c:pt idx="15">
                  <c:v>81.089146592114631</c:v>
                </c:pt>
                <c:pt idx="16">
                  <c:v>105.72827470437562</c:v>
                </c:pt>
                <c:pt idx="17">
                  <c:v>137.8784585019167</c:v>
                </c:pt>
                <c:pt idx="18">
                  <c:v>133.09494877113312</c:v>
                </c:pt>
                <c:pt idx="19">
                  <c:v>147.8676295244816</c:v>
                </c:pt>
                <c:pt idx="20">
                  <c:v>162.60506557753638</c:v>
                </c:pt>
                <c:pt idx="21">
                  <c:v>158.96711933407138</c:v>
                </c:pt>
                <c:pt idx="22">
                  <c:v>174.80435986940384</c:v>
                </c:pt>
                <c:pt idx="23">
                  <c:v>190.60789667260715</c:v>
                </c:pt>
                <c:pt idx="24">
                  <c:v>206.38091870707342</c:v>
                </c:pt>
                <c:pt idx="25">
                  <c:v>222.12608711761609</c:v>
                </c:pt>
                <c:pt idx="26">
                  <c:v>193.7131067470614</c:v>
                </c:pt>
                <c:pt idx="27">
                  <c:v>211.80440891545254</c:v>
                </c:pt>
                <c:pt idx="28">
                  <c:v>229.86009453547459</c:v>
                </c:pt>
                <c:pt idx="29">
                  <c:v>247.88335510881768</c:v>
                </c:pt>
                <c:pt idx="30">
                  <c:v>265.87687983783059</c:v>
                </c:pt>
                <c:pt idx="31">
                  <c:v>221.094424049145</c:v>
                </c:pt>
                <c:pt idx="32">
                  <c:v>245.82510561630218</c:v>
                </c:pt>
                <c:pt idx="33">
                  <c:v>270.49926667643871</c:v>
                </c:pt>
                <c:pt idx="34">
                  <c:v>295.12278580201036</c:v>
                </c:pt>
                <c:pt idx="35">
                  <c:v>319.70048005131156</c:v>
                </c:pt>
                <c:pt idx="36">
                  <c:v>276.65969017765576</c:v>
                </c:pt>
                <c:pt idx="37">
                  <c:v>300.24677381248517</c:v>
                </c:pt>
                <c:pt idx="38">
                  <c:v>323.79259907322461</c:v>
                </c:pt>
                <c:pt idx="39">
                  <c:v>347.30058618137645</c:v>
                </c:pt>
                <c:pt idx="40">
                  <c:v>370.77365464076269</c:v>
                </c:pt>
                <c:pt idx="41">
                  <c:v>332.7401462206351</c:v>
                </c:pt>
                <c:pt idx="42">
                  <c:v>355.97934182146497</c:v>
                </c:pt>
                <c:pt idx="43">
                  <c:v>379.18532666257607</c:v>
                </c:pt>
                <c:pt idx="44">
                  <c:v>402.36041748843604</c:v>
                </c:pt>
                <c:pt idx="45">
                  <c:v>425.50664252865255</c:v>
                </c:pt>
                <c:pt idx="46">
                  <c:v>377.65623675733673</c:v>
                </c:pt>
                <c:pt idx="47">
                  <c:v>402.36041748843598</c:v>
                </c:pt>
                <c:pt idx="48">
                  <c:v>427.03179740518721</c:v>
                </c:pt>
                <c:pt idx="49">
                  <c:v>451.6725362162706</c:v>
                </c:pt>
                <c:pt idx="50">
                  <c:v>476.28453894255682</c:v>
                </c:pt>
                <c:pt idx="51">
                  <c:v>440.75297566986848</c:v>
                </c:pt>
                <c:pt idx="52">
                  <c:v>464.87006056330688</c:v>
                </c:pt>
                <c:pt idx="53">
                  <c:v>488.96047611898672</c:v>
                </c:pt>
                <c:pt idx="54">
                  <c:v>513.02571977154412</c:v>
                </c:pt>
                <c:pt idx="55">
                  <c:v>537.06713714333102</c:v>
                </c:pt>
                <c:pt idx="56">
                  <c:v>502.89596414017177</c:v>
                </c:pt>
                <c:pt idx="57">
                  <c:v>528.21246537398554</c:v>
                </c:pt>
                <c:pt idx="58">
                  <c:v>553.50343115388421</c:v>
                </c:pt>
                <c:pt idx="59">
                  <c:v>578.77019099216147</c:v>
                </c:pt>
                <c:pt idx="60">
                  <c:v>604.01394898353021</c:v>
                </c:pt>
                <c:pt idx="61">
                  <c:v>586.59816285328338</c:v>
                </c:pt>
                <c:pt idx="62">
                  <c:v>609.56459959541507</c:v>
                </c:pt>
                <c:pt idx="63">
                  <c:v>632.51308531631423</c:v>
                </c:pt>
                <c:pt idx="64">
                  <c:v>655.44436221136868</c:v>
                </c:pt>
                <c:pt idx="65">
                  <c:v>678.35911636872561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3497072"/>
        <c:axId val="-1283492176"/>
      </c:scatterChart>
      <c:valAx>
        <c:axId val="-1283497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3492176"/>
        <c:crosses val="autoZero"/>
        <c:crossBetween val="midCat"/>
      </c:valAx>
      <c:valAx>
        <c:axId val="-128349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3497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2.6675870368221255</c:v>
                </c:pt>
                <c:pt idx="2">
                  <c:v>3.4865199985962576</c:v>
                </c:pt>
                <c:pt idx="3">
                  <c:v>4.5578745696878658</c:v>
                </c:pt>
                <c:pt idx="4">
                  <c:v>5.9597495133562974</c:v>
                </c:pt>
                <c:pt idx="5">
                  <c:v>7.7944922384473658</c:v>
                </c:pt>
                <c:pt idx="6">
                  <c:v>10.196252168906899</c:v>
                </c:pt>
                <c:pt idx="7">
                  <c:v>13.340893985352116</c:v>
                </c:pt>
                <c:pt idx="8">
                  <c:v>17.459010033441576</c:v>
                </c:pt>
                <c:pt idx="9">
                  <c:v>22.853003370773624</c:v>
                </c:pt>
                <c:pt idx="10">
                  <c:v>29.91951817948755</c:v>
                </c:pt>
                <c:pt idx="11">
                  <c:v>39.178895653498444</c:v>
                </c:pt>
                <c:pt idx="12">
                  <c:v>51.313861307240579</c:v>
                </c:pt>
                <c:pt idx="13">
                  <c:v>67.220343863279695</c:v>
                </c:pt>
                <c:pt idx="14">
                  <c:v>88.074238996781745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145.0249982538752</c:v>
                </c:pt>
                <c:pt idx="22">
                  <c:v>170.51654323504027</c:v>
                </c:pt>
                <c:pt idx="23">
                  <c:v>195.91822647250351</c:v>
                </c:pt>
                <c:pt idx="24">
                  <c:v>221.24334918385946</c:v>
                </c:pt>
                <c:pt idx="25">
                  <c:v>246.5019100362974</c:v>
                </c:pt>
                <c:pt idx="26">
                  <c:v>270.88192908271884</c:v>
                </c:pt>
                <c:pt idx="27">
                  <c:v>295.21258396391971</c:v>
                </c:pt>
                <c:pt idx="28">
                  <c:v>319.49851297916712</c:v>
                </c:pt>
                <c:pt idx="29">
                  <c:v>343.7435916472391</c:v>
                </c:pt>
                <c:pt idx="30">
                  <c:v>367.95110424042514</c:v>
                </c:pt>
                <c:pt idx="31">
                  <c:v>270.81361334976526</c:v>
                </c:pt>
                <c:pt idx="32">
                  <c:v>292.86002684671388</c:v>
                </c:pt>
                <c:pt idx="33">
                  <c:v>314.86939629706029</c:v>
                </c:pt>
                <c:pt idx="34">
                  <c:v>336.84467386393629</c:v>
                </c:pt>
                <c:pt idx="35">
                  <c:v>358.78839513118515</c:v>
                </c:pt>
                <c:pt idx="36">
                  <c:v>378.02433866846064</c:v>
                </c:pt>
                <c:pt idx="37">
                  <c:v>397.23898298464991</c:v>
                </c:pt>
                <c:pt idx="38">
                  <c:v>416.43350276675238</c:v>
                </c:pt>
                <c:pt idx="39">
                  <c:v>435.60895562573</c:v>
                </c:pt>
                <c:pt idx="40">
                  <c:v>454.7662985108031</c:v>
                </c:pt>
                <c:pt idx="41">
                  <c:v>352.88083208106292</c:v>
                </c:pt>
                <c:pt idx="42">
                  <c:v>369.54558155288436</c:v>
                </c:pt>
                <c:pt idx="43">
                  <c:v>386.19394120407043</c:v>
                </c:pt>
                <c:pt idx="44">
                  <c:v>402.82671684246179</c:v>
                </c:pt>
                <c:pt idx="45">
                  <c:v>419.44464231919113</c:v>
                </c:pt>
                <c:pt idx="46">
                  <c:v>433.88493422762093</c:v>
                </c:pt>
                <c:pt idx="47">
                  <c:v>448.31491037156951</c:v>
                </c:pt>
                <c:pt idx="48">
                  <c:v>462.73494948769138</c:v>
                </c:pt>
                <c:pt idx="49">
                  <c:v>477.14540478752315</c:v>
                </c:pt>
                <c:pt idx="50">
                  <c:v>491.5466064127836</c:v>
                </c:pt>
                <c:pt idx="51">
                  <c:v>431.21410057407803</c:v>
                </c:pt>
                <c:pt idx="52">
                  <c:v>443.65246288624508</c:v>
                </c:pt>
                <c:pt idx="53">
                  <c:v>456.08335619265745</c:v>
                </c:pt>
                <c:pt idx="54">
                  <c:v>468.50701274734303</c:v>
                </c:pt>
                <c:pt idx="55">
                  <c:v>480.92365148260507</c:v>
                </c:pt>
                <c:pt idx="56">
                  <c:v>491.51289051119289</c:v>
                </c:pt>
                <c:pt idx="57">
                  <c:v>502.09729276427265</c:v>
                </c:pt>
                <c:pt idx="58">
                  <c:v>512.67697458119881</c:v>
                </c:pt>
                <c:pt idx="59">
                  <c:v>523.25204710797016</c:v>
                </c:pt>
                <c:pt idx="60">
                  <c:v>533.8226166315709</c:v>
                </c:pt>
                <c:pt idx="61">
                  <c:v>491.78261635079099</c:v>
                </c:pt>
                <c:pt idx="62">
                  <c:v>500.61441511086258</c:v>
                </c:pt>
                <c:pt idx="63">
                  <c:v>509.44291639898364</c:v>
                </c:pt>
                <c:pt idx="64">
                  <c:v>518.2681854294982</c:v>
                </c:pt>
                <c:pt idx="65">
                  <c:v>527.09028501417185</c:v>
                </c:pt>
                <c:pt idx="66">
                  <c:v>534.66403201436515</c:v>
                </c:pt>
                <c:pt idx="67">
                  <c:v>542.23552329497863</c:v>
                </c:pt>
                <c:pt idx="68">
                  <c:v>549.80479480408326</c:v>
                </c:pt>
                <c:pt idx="69">
                  <c:v>557.37188141896718</c:v>
                </c:pt>
                <c:pt idx="70">
                  <c:v>564.93681699244883</c:v>
                </c:pt>
                <c:pt idx="71">
                  <c:v>528.40323103965056</c:v>
                </c:pt>
                <c:pt idx="72">
                  <c:v>535.43810957066455</c:v>
                </c:pt>
                <c:pt idx="73">
                  <c:v>542.47104501409672</c:v>
                </c:pt>
                <c:pt idx="74">
                  <c:v>549.50206612243039</c:v>
                </c:pt>
                <c:pt idx="75">
                  <c:v>556.53120085211901</c:v>
                </c:pt>
                <c:pt idx="76">
                  <c:v>562.51626962014586</c:v>
                </c:pt>
                <c:pt idx="77">
                  <c:v>568.50000621784136</c:v>
                </c:pt>
                <c:pt idx="78">
                  <c:v>574.48242664981956</c:v>
                </c:pt>
                <c:pt idx="79">
                  <c:v>580.46354656005849</c:v>
                </c:pt>
                <c:pt idx="80">
                  <c:v>586.44338124374281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3491632"/>
        <c:axId val="-1283495440"/>
      </c:scatterChart>
      <c:valAx>
        <c:axId val="-128349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3495440"/>
        <c:crosses val="autoZero"/>
        <c:crossBetween val="midCat"/>
      </c:valAx>
      <c:valAx>
        <c:axId val="-128349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349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3494896"/>
        <c:axId val="-1283491088"/>
      </c:scatterChart>
      <c:valAx>
        <c:axId val="-1283494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3491088"/>
        <c:crosses val="autoZero"/>
        <c:crossBetween val="midCat"/>
      </c:valAx>
      <c:valAx>
        <c:axId val="-128349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3494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3503056"/>
        <c:axId val="-1283490544"/>
      </c:scatterChart>
      <c:valAx>
        <c:axId val="-128350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3490544"/>
        <c:crosses val="autoZero"/>
        <c:crossBetween val="midCat"/>
      </c:valAx>
      <c:valAx>
        <c:axId val="-128349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350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2.4657438754184393</c:v>
                </c:pt>
                <c:pt idx="2">
                  <c:v>3.2224996565293975</c:v>
                </c:pt>
                <c:pt idx="3">
                  <c:v>4.2124503558453714</c:v>
                </c:pt>
                <c:pt idx="4">
                  <c:v>5.507728212298729</c:v>
                </c:pt>
                <c:pt idx="5">
                  <c:v>7.2028564514503337</c:v>
                </c:pt>
                <c:pt idx="6">
                  <c:v>9.4217225286011494</c:v>
                </c:pt>
                <c:pt idx="7">
                  <c:v>12.32672957621949</c:v>
                </c:pt>
                <c:pt idx="8">
                  <c:v>16.130808318003449</c:v>
                </c:pt>
                <c:pt idx="9">
                  <c:v>21.113185943618571</c:v>
                </c:pt>
                <c:pt idx="10">
                  <c:v>27.640090090317361</c:v>
                </c:pt>
                <c:pt idx="11">
                  <c:v>36.191936410926061</c:v>
                </c:pt>
                <c:pt idx="12">
                  <c:v>47.399035199319286</c:v>
                </c:pt>
                <c:pt idx="13">
                  <c:v>62.088493013620557</c:v>
                </c:pt>
                <c:pt idx="14">
                  <c:v>81.345827643747455</c:v>
                </c:pt>
                <c:pt idx="15">
                  <c:v>106.595922899923</c:v>
                </c:pt>
                <c:pt idx="16">
                  <c:v>128.68204943403745</c:v>
                </c:pt>
                <c:pt idx="17">
                  <c:v>150.67621656079791</c:v>
                </c:pt>
                <c:pt idx="18">
                  <c:v>172.59376735487015</c:v>
                </c:pt>
                <c:pt idx="19">
                  <c:v>194.44581168538045</c:v>
                </c:pt>
                <c:pt idx="20">
                  <c:v>216.24075084880474</c:v>
                </c:pt>
                <c:pt idx="21">
                  <c:v>133.93252826541888</c:v>
                </c:pt>
                <c:pt idx="22">
                  <c:v>157.46934134660478</c:v>
                </c:pt>
                <c:pt idx="23">
                  <c:v>180.92254957217764</c:v>
                </c:pt>
                <c:pt idx="24">
                  <c:v>204.3045280233529</c:v>
                </c:pt>
                <c:pt idx="25">
                  <c:v>227.62457918072189</c:v>
                </c:pt>
                <c:pt idx="26">
                  <c:v>250.13311494134999</c:v>
                </c:pt>
                <c:pt idx="27">
                  <c:v>272.59572366188627</c:v>
                </c:pt>
                <c:pt idx="28">
                  <c:v>295.01672068637509</c:v>
                </c:pt>
                <c:pt idx="29">
                  <c:v>317.39971168920596</c:v>
                </c:pt>
                <c:pt idx="30">
                  <c:v>339.74775226555522</c:v>
                </c:pt>
                <c:pt idx="31">
                  <c:v>250.07004383824537</c:v>
                </c:pt>
                <c:pt idx="32">
                  <c:v>270.42380439071962</c:v>
                </c:pt>
                <c:pt idx="33">
                  <c:v>290.74310019724186</c:v>
                </c:pt>
                <c:pt idx="34">
                  <c:v>311.03067786790672</c:v>
                </c:pt>
                <c:pt idx="35">
                  <c:v>331.28889643907786</c:v>
                </c:pt>
                <c:pt idx="36">
                  <c:v>349.04714813629499</c:v>
                </c:pt>
                <c:pt idx="37">
                  <c:v>366.78558363331143</c:v>
                </c:pt>
                <c:pt idx="38">
                  <c:v>384.50529582609062</c:v>
                </c:pt>
                <c:pt idx="39">
                  <c:v>402.20726868632238</c:v>
                </c:pt>
                <c:pt idx="40">
                  <c:v>419.89239253282386</c:v>
                </c:pt>
                <c:pt idx="41">
                  <c:v>325.83511614471871</c:v>
                </c:pt>
                <c:pt idx="42">
                  <c:v>341.21974267416618</c:v>
                </c:pt>
                <c:pt idx="43">
                  <c:v>356.58912057242401</c:v>
                </c:pt>
                <c:pt idx="44">
                  <c:v>371.94399954059327</c:v>
                </c:pt>
                <c:pt idx="45">
                  <c:v>387.28506233326408</c:v>
                </c:pt>
                <c:pt idx="46">
                  <c:v>400.61572997207281</c:v>
                </c:pt>
                <c:pt idx="47">
                  <c:v>413.9368001118296</c:v>
                </c:pt>
                <c:pt idx="48">
                  <c:v>427.24862511853593</c:v>
                </c:pt>
                <c:pt idx="49">
                  <c:v>440.55153361033672</c:v>
                </c:pt>
                <c:pt idx="50">
                  <c:v>453.84583274186275</c:v>
                </c:pt>
                <c:pt idx="51">
                  <c:v>398.15013483461621</c:v>
                </c:pt>
                <c:pt idx="52">
                  <c:v>409.63265752074312</c:v>
                </c:pt>
                <c:pt idx="53">
                  <c:v>421.10823125259907</c:v>
                </c:pt>
                <c:pt idx="54">
                  <c:v>432.57707211284247</c:v>
                </c:pt>
                <c:pt idx="55">
                  <c:v>444.03938378997123</c:v>
                </c:pt>
                <c:pt idx="56">
                  <c:v>453.81470838209202</c:v>
                </c:pt>
                <c:pt idx="57">
                  <c:v>463.58553297341928</c:v>
                </c:pt>
                <c:pt idx="58">
                  <c:v>473.35196580283736</c:v>
                </c:pt>
                <c:pt idx="59">
                  <c:v>483.1141102774788</c:v>
                </c:pt>
                <c:pt idx="60">
                  <c:v>492.8720652837838</c:v>
                </c:pt>
                <c:pt idx="61">
                  <c:v>454.06370198273868</c:v>
                </c:pt>
                <c:pt idx="62">
                  <c:v>462.21663985035343</c:v>
                </c:pt>
                <c:pt idx="63">
                  <c:v>470.36650984219659</c:v>
                </c:pt>
                <c:pt idx="64">
                  <c:v>478.51337263187162</c:v>
                </c:pt>
                <c:pt idx="65">
                  <c:v>486.65728665769001</c:v>
                </c:pt>
                <c:pt idx="66">
                  <c:v>493.64879532061622</c:v>
                </c:pt>
                <c:pt idx="67">
                  <c:v>500.63820532506929</c:v>
                </c:pt>
                <c:pt idx="68">
                  <c:v>507.62555011613114</c:v>
                </c:pt>
                <c:pt idx="69">
                  <c:v>514.61086214265538</c:v>
                </c:pt>
                <c:pt idx="70">
                  <c:v>521.59417290035935</c:v>
                </c:pt>
                <c:pt idx="71">
                  <c:v>487.8693000072526</c:v>
                </c:pt>
                <c:pt idx="72">
                  <c:v>494.36336407119035</c:v>
                </c:pt>
                <c:pt idx="73">
                  <c:v>500.85562034073132</c:v>
                </c:pt>
                <c:pt idx="74">
                  <c:v>507.34609556638321</c:v>
                </c:pt>
                <c:pt idx="75">
                  <c:v>513.83481575804865</c:v>
                </c:pt>
                <c:pt idx="76">
                  <c:v>519.35972931464255</c:v>
                </c:pt>
                <c:pt idx="77">
                  <c:v>524.88340345718075</c:v>
                </c:pt>
                <c:pt idx="78">
                  <c:v>530.40585307590879</c:v>
                </c:pt>
                <c:pt idx="79">
                  <c:v>535.9270927255476</c:v>
                </c:pt>
                <c:pt idx="80">
                  <c:v>541.44713663630864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82192048"/>
        <c:axId val="-1128067552"/>
      </c:scatterChart>
      <c:valAx>
        <c:axId val="-1482192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8067552"/>
        <c:crosses val="autoZero"/>
        <c:crossBetween val="midCat"/>
      </c:valAx>
      <c:valAx>
        <c:axId val="-112806755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192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20" zoomScale="85" zoomScaleNormal="85" workbookViewId="0">
      <selection activeCell="A244" sqref="A244:H25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17.5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0.51200000000000001</v>
      </c>
      <c r="D9" s="36">
        <f t="shared" ref="D9:D18" si="0">C9*$C$5</f>
        <v>8.9600000000000009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0.1008</v>
      </c>
      <c r="D10" s="36">
        <f t="shared" si="0"/>
        <v>1.764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8.43E-2</v>
      </c>
      <c r="D11" s="36">
        <f t="shared" si="0"/>
        <v>1.47525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6</v>
      </c>
      <c r="C12" s="35">
        <v>7.2900000000000006E-2</v>
      </c>
      <c r="D12" s="36">
        <f t="shared" si="0"/>
        <v>1.2757500000000002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35</v>
      </c>
      <c r="C13" s="35">
        <v>6.13E-2</v>
      </c>
      <c r="D13" s="36">
        <f t="shared" si="0"/>
        <v>1.0727500000000001</v>
      </c>
      <c r="E13" s="37">
        <v>65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23</v>
      </c>
      <c r="C14" s="35">
        <v>5.1200000000000002E-2</v>
      </c>
      <c r="D14" s="36">
        <f t="shared" si="0"/>
        <v>0.89600000000000002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27</v>
      </c>
      <c r="C15" s="35">
        <v>4.8000000000000001E-2</v>
      </c>
      <c r="D15" s="36">
        <f t="shared" si="0"/>
        <v>0.84</v>
      </c>
      <c r="E15" s="37">
        <v>60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164</v>
      </c>
      <c r="C16" s="35">
        <v>3.4299999999999997E-2</v>
      </c>
      <c r="D16" s="36">
        <f t="shared" si="0"/>
        <v>0.60024999999999995</v>
      </c>
      <c r="E16" s="37">
        <v>100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8</v>
      </c>
      <c r="C17" s="35">
        <v>2.29E-2</v>
      </c>
      <c r="D17" s="36">
        <f t="shared" si="0"/>
        <v>0.40075</v>
      </c>
      <c r="E17" s="37">
        <v>80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47</v>
      </c>
      <c r="C18" s="35">
        <v>1.03E-2</v>
      </c>
      <c r="D18" s="36">
        <f t="shared" si="0"/>
        <v>0.18024999999999999</v>
      </c>
      <c r="E18" s="37">
        <v>100</v>
      </c>
      <c r="F18" s="38" t="str">
        <f t="array" ref="F18">IF(E18="","",IF(INDEX(A:A,MAX(IF(ISNUMBER($A$270:$A$289),ROW($A$270:$A$289),"")))&lt;&gt;E18,"Corrigez : révolution incorrecte","OK"))</f>
        <v>OK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0.99800000000000011</v>
      </c>
      <c r="D19" s="41">
        <f>SUM(D9:D18)</f>
        <v>17.465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21</v>
      </c>
      <c r="B36" s="63">
        <v>210</v>
      </c>
      <c r="C36" s="63">
        <v>1</v>
      </c>
      <c r="D36" s="63">
        <f>210-147</f>
        <v>63</v>
      </c>
      <c r="E36" s="54"/>
      <c r="F36" s="54"/>
      <c r="G36" s="54">
        <v>0.5</v>
      </c>
      <c r="H36" s="54">
        <v>0.5</v>
      </c>
      <c r="I36" s="52">
        <f>IFERROR(B36/A36,"")</f>
        <v>10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28</v>
      </c>
      <c r="B37" s="63">
        <v>280</v>
      </c>
      <c r="C37" s="63">
        <v>2</v>
      </c>
      <c r="D37" s="63">
        <v>64</v>
      </c>
      <c r="E37" s="54"/>
      <c r="F37" s="54">
        <v>0.3</v>
      </c>
      <c r="G37" s="54">
        <v>0.4</v>
      </c>
      <c r="H37" s="54">
        <v>0.3</v>
      </c>
      <c r="I37" s="56">
        <f t="shared" ref="I37:I55" si="1">IF(A37&lt;&gt;0,(B37-(B36-D36))/(A37-A36),"")</f>
        <v>19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355</v>
      </c>
      <c r="C38" s="63">
        <v>3</v>
      </c>
      <c r="D38" s="63">
        <v>73</v>
      </c>
      <c r="E38" s="54"/>
      <c r="F38" s="54"/>
      <c r="G38" s="54"/>
      <c r="H38" s="54"/>
      <c r="I38" s="56">
        <f t="shared" si="1"/>
        <v>19.857142857142858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42</v>
      </c>
      <c r="B39" s="63">
        <v>419</v>
      </c>
      <c r="C39" s="63">
        <v>4</v>
      </c>
      <c r="D39" s="63">
        <v>77</v>
      </c>
      <c r="E39" s="54"/>
      <c r="F39" s="54"/>
      <c r="G39" s="54"/>
      <c r="H39" s="54"/>
      <c r="I39" s="52">
        <f t="shared" si="1"/>
        <v>19.571428571428573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49</v>
      </c>
      <c r="B40" s="63">
        <v>473</v>
      </c>
      <c r="C40" s="63">
        <v>5</v>
      </c>
      <c r="D40" s="63">
        <v>80</v>
      </c>
      <c r="E40" s="54"/>
      <c r="F40" s="54"/>
      <c r="G40" s="54"/>
      <c r="H40" s="54"/>
      <c r="I40" s="52">
        <f t="shared" si="1"/>
        <v>18.714285714285715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56</v>
      </c>
      <c r="B41" s="63">
        <v>514</v>
      </c>
      <c r="C41" s="63">
        <v>6</v>
      </c>
      <c r="D41" s="63">
        <v>85</v>
      </c>
      <c r="E41" s="54"/>
      <c r="F41" s="54"/>
      <c r="G41" s="54"/>
      <c r="H41" s="54"/>
      <c r="I41" s="56">
        <f t="shared" si="1"/>
        <v>17.285714285714285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63</v>
      </c>
      <c r="B42" s="63">
        <v>538</v>
      </c>
      <c r="C42" s="63">
        <v>7</v>
      </c>
      <c r="D42" s="63">
        <v>84</v>
      </c>
      <c r="E42" s="54"/>
      <c r="F42" s="54"/>
      <c r="G42" s="54"/>
      <c r="H42" s="54"/>
      <c r="I42" s="56">
        <f t="shared" si="1"/>
        <v>15.571428571428571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70</v>
      </c>
      <c r="B43" s="63">
        <v>551</v>
      </c>
      <c r="C43" s="63">
        <v>8</v>
      </c>
      <c r="D43" s="63">
        <f>B43</f>
        <v>551</v>
      </c>
      <c r="E43" s="54"/>
      <c r="F43" s="54"/>
      <c r="G43" s="54"/>
      <c r="H43" s="54"/>
      <c r="I43" s="52">
        <f t="shared" si="1"/>
        <v>13.857142857142858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35</v>
      </c>
      <c r="C62" s="63"/>
      <c r="D62" s="63"/>
      <c r="E62" s="54"/>
      <c r="F62" s="54"/>
      <c r="G62" s="54"/>
      <c r="H62" s="54"/>
      <c r="I62" s="56">
        <f>IFERROR(B62/A62,"")</f>
        <v>3.5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f>58+30</f>
        <v>88</v>
      </c>
      <c r="C63" s="63"/>
      <c r="D63" s="63"/>
      <c r="E63" s="54"/>
      <c r="F63" s="54"/>
      <c r="G63" s="54"/>
      <c r="H63" s="54"/>
      <c r="I63" s="52">
        <f>IF(A63&lt;&gt;0,(B63-(B62-D62))/(A63-A62),"")</f>
        <v>10.6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f>88+30+29</f>
        <v>147</v>
      </c>
      <c r="C64" s="63">
        <v>1</v>
      </c>
      <c r="D64" s="63">
        <f>30+29</f>
        <v>59</v>
      </c>
      <c r="E64" s="54"/>
      <c r="F64" s="54"/>
      <c r="G64" s="54"/>
      <c r="H64" s="54">
        <v>1</v>
      </c>
      <c r="I64" s="52">
        <f>IF(A64&lt;&gt;0,(B64-(B63-D63))/(A64-A63),"")</f>
        <v>11.8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f>114+31</f>
        <v>145</v>
      </c>
      <c r="C65" s="63"/>
      <c r="D65" s="63"/>
      <c r="E65" s="54"/>
      <c r="F65" s="54"/>
      <c r="G65" s="54"/>
      <c r="H65" s="54"/>
      <c r="I65" s="52">
        <f>IF(A65&lt;&gt;0,(B65-(B64-D64))/(A65-A64),"")</f>
        <v>11.4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f>137+31+32</f>
        <v>200</v>
      </c>
      <c r="C66" s="63">
        <v>2</v>
      </c>
      <c r="D66" s="63">
        <f>31+32</f>
        <v>63</v>
      </c>
      <c r="E66" s="54"/>
      <c r="F66" s="54"/>
      <c r="G66" s="54"/>
      <c r="H66" s="54">
        <v>1</v>
      </c>
      <c r="I66" s="52">
        <f t="shared" ref="I66:I81" si="2">IF(A66&lt;&gt;0,(B66-(B65-D65))/(A66-A65),"")</f>
        <v>11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f>157+32</f>
        <v>189</v>
      </c>
      <c r="C67" s="63"/>
      <c r="D67" s="63"/>
      <c r="E67" s="54"/>
      <c r="F67" s="54"/>
      <c r="G67" s="54"/>
      <c r="H67" s="54"/>
      <c r="I67" s="52">
        <f t="shared" si="2"/>
        <v>10.4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f>175+32+31</f>
        <v>238</v>
      </c>
      <c r="C68" s="63">
        <v>3</v>
      </c>
      <c r="D68" s="63">
        <f>32+31</f>
        <v>63</v>
      </c>
      <c r="E68" s="54"/>
      <c r="F68" s="54"/>
      <c r="G68" s="54"/>
      <c r="H68" s="54"/>
      <c r="I68" s="52">
        <f t="shared" si="2"/>
        <v>9.8000000000000007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3">
        <v>45</v>
      </c>
      <c r="B69" s="63">
        <f>189+30</f>
        <v>219</v>
      </c>
      <c r="C69" s="63"/>
      <c r="D69" s="63"/>
      <c r="E69" s="54"/>
      <c r="F69" s="54"/>
      <c r="G69" s="54"/>
      <c r="H69" s="54"/>
      <c r="I69" s="52">
        <f t="shared" si="2"/>
        <v>8.8000000000000007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3">
        <v>50</v>
      </c>
      <c r="B70" s="63">
        <f>202+30+28</f>
        <v>260</v>
      </c>
      <c r="C70" s="63">
        <v>4</v>
      </c>
      <c r="D70" s="63">
        <f>30+28</f>
        <v>58</v>
      </c>
      <c r="E70" s="54"/>
      <c r="F70" s="54"/>
      <c r="G70" s="54"/>
      <c r="H70" s="54"/>
      <c r="I70" s="52">
        <f t="shared" si="2"/>
        <v>8.1999999999999993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3">
        <v>55</v>
      </c>
      <c r="B71" s="63">
        <f>213+26</f>
        <v>239</v>
      </c>
      <c r="C71" s="63"/>
      <c r="D71" s="63"/>
      <c r="E71" s="54"/>
      <c r="F71" s="54"/>
      <c r="G71" s="54"/>
      <c r="H71" s="54"/>
      <c r="I71" s="52">
        <f t="shared" si="2"/>
        <v>7.4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3">
        <v>60</v>
      </c>
      <c r="B72" s="63">
        <f>222+26+24</f>
        <v>272</v>
      </c>
      <c r="C72" s="63">
        <v>5</v>
      </c>
      <c r="D72" s="63">
        <f>26+24</f>
        <v>50</v>
      </c>
      <c r="E72" s="54"/>
      <c r="F72" s="54"/>
      <c r="G72" s="54"/>
      <c r="H72" s="54"/>
      <c r="I72" s="52">
        <f t="shared" si="2"/>
        <v>6.6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3">
        <v>65</v>
      </c>
      <c r="B73" s="63">
        <f>230+22</f>
        <v>252</v>
      </c>
      <c r="C73" s="63"/>
      <c r="D73" s="63"/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3">
        <v>70</v>
      </c>
      <c r="B74" s="63">
        <f>236+22+21</f>
        <v>279</v>
      </c>
      <c r="C74" s="63">
        <v>6</v>
      </c>
      <c r="D74" s="63">
        <f>22+21</f>
        <v>43</v>
      </c>
      <c r="E74" s="54"/>
      <c r="F74" s="54"/>
      <c r="G74" s="54"/>
      <c r="H74" s="54"/>
      <c r="I74" s="52">
        <f t="shared" si="2"/>
        <v>5.4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3">
        <v>75</v>
      </c>
      <c r="B75" s="63">
        <f>242+19</f>
        <v>261</v>
      </c>
      <c r="C75" s="63"/>
      <c r="D75" s="63"/>
      <c r="E75" s="54"/>
      <c r="F75" s="54"/>
      <c r="G75" s="54"/>
      <c r="H75" s="54"/>
      <c r="I75" s="52">
        <f t="shared" si="2"/>
        <v>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3">
        <v>80</v>
      </c>
      <c r="B76" s="53">
        <v>283</v>
      </c>
      <c r="C76" s="53">
        <v>7</v>
      </c>
      <c r="D76" s="53">
        <v>36</v>
      </c>
      <c r="E76" s="54"/>
      <c r="F76" s="54"/>
      <c r="G76" s="54"/>
      <c r="H76" s="54"/>
      <c r="I76" s="52">
        <f t="shared" si="2"/>
        <v>4.4000000000000004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3">
        <v>85</v>
      </c>
      <c r="B77" s="53">
        <v>267</v>
      </c>
      <c r="C77" s="53"/>
      <c r="D77" s="53"/>
      <c r="E77" s="54"/>
      <c r="F77" s="54"/>
      <c r="G77" s="54"/>
      <c r="H77" s="54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3">
        <v>90</v>
      </c>
      <c r="B78" s="53">
        <v>284</v>
      </c>
      <c r="C78" s="53">
        <v>8</v>
      </c>
      <c r="D78" s="53">
        <v>30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3">
        <v>95</v>
      </c>
      <c r="B79" s="53">
        <v>270</v>
      </c>
      <c r="C79" s="53"/>
      <c r="D79" s="53"/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3">
        <v>100</v>
      </c>
      <c r="B80" s="53">
        <v>286</v>
      </c>
      <c r="C80" s="53">
        <v>9</v>
      </c>
      <c r="D80" s="53">
        <v>286</v>
      </c>
      <c r="E80" s="54"/>
      <c r="F80" s="54"/>
      <c r="G80" s="54"/>
      <c r="H80" s="54"/>
      <c r="I80" s="52">
        <f t="shared" si="2"/>
        <v>3.2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53">
        <v>42</v>
      </c>
      <c r="C88" s="53"/>
      <c r="D88" s="5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53">
        <v>70</v>
      </c>
      <c r="C89" s="53">
        <v>1</v>
      </c>
      <c r="D89" s="53">
        <v>8</v>
      </c>
      <c r="E89" s="54"/>
      <c r="F89" s="54"/>
      <c r="G89" s="54"/>
      <c r="H89" s="54">
        <v>1</v>
      </c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53">
        <v>97</v>
      </c>
      <c r="C90" s="53"/>
      <c r="D90" s="53"/>
      <c r="E90" s="54"/>
      <c r="F90" s="54"/>
      <c r="G90" s="54"/>
      <c r="H90" s="54"/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53">
        <v>140</v>
      </c>
      <c r="C91" s="53">
        <v>2</v>
      </c>
      <c r="D91" s="53">
        <v>42</v>
      </c>
      <c r="E91" s="54"/>
      <c r="F91" s="54"/>
      <c r="G91" s="54"/>
      <c r="H91" s="54"/>
      <c r="I91" s="56">
        <f t="shared" si="3"/>
        <v>8.6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53">
        <v>137</v>
      </c>
      <c r="C92" s="53"/>
      <c r="D92" s="53"/>
      <c r="E92" s="54"/>
      <c r="F92" s="54"/>
      <c r="G92" s="54"/>
      <c r="H92" s="54"/>
      <c r="I92" s="56">
        <f t="shared" si="3"/>
        <v>7.8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53">
        <v>179</v>
      </c>
      <c r="C93" s="53">
        <v>3</v>
      </c>
      <c r="D93" s="53">
        <v>42</v>
      </c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53">
        <v>178</v>
      </c>
      <c r="C94" s="53"/>
      <c r="D94" s="53"/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53">
        <v>218</v>
      </c>
      <c r="C95" s="53">
        <v>4</v>
      </c>
      <c r="D95" s="53">
        <v>42</v>
      </c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53">
        <v>214</v>
      </c>
      <c r="C96" s="53"/>
      <c r="D96" s="53"/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53">
        <v>250</v>
      </c>
      <c r="C97" s="53">
        <v>5</v>
      </c>
      <c r="D97" s="53">
        <v>42</v>
      </c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53">
        <v>242</v>
      </c>
      <c r="C98" s="53"/>
      <c r="D98" s="53"/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53">
        <v>273</v>
      </c>
      <c r="C99" s="53">
        <v>6</v>
      </c>
      <c r="D99" s="53">
        <v>42</v>
      </c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85</v>
      </c>
      <c r="B100" s="53">
        <v>290</v>
      </c>
      <c r="C100" s="53">
        <v>7</v>
      </c>
      <c r="D100" s="53">
        <v>42</v>
      </c>
      <c r="E100" s="54"/>
      <c r="F100" s="54"/>
      <c r="G100" s="54"/>
      <c r="H100" s="54"/>
      <c r="I100" s="56">
        <f t="shared" si="3"/>
        <v>5.9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95</v>
      </c>
      <c r="B101" s="53">
        <v>300</v>
      </c>
      <c r="C101" s="53">
        <v>8</v>
      </c>
      <c r="D101" s="53">
        <v>42</v>
      </c>
      <c r="E101" s="54"/>
      <c r="F101" s="54"/>
      <c r="G101" s="54"/>
      <c r="H101" s="54"/>
      <c r="I101" s="56">
        <f t="shared" si="3"/>
        <v>5.2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105</v>
      </c>
      <c r="B102" s="53">
        <v>305</v>
      </c>
      <c r="C102" s="53">
        <v>9</v>
      </c>
      <c r="D102" s="53">
        <v>41</v>
      </c>
      <c r="E102" s="54"/>
      <c r="F102" s="54"/>
      <c r="G102" s="54"/>
      <c r="H102" s="54"/>
      <c r="I102" s="56">
        <f t="shared" si="3"/>
        <v>4.7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115</v>
      </c>
      <c r="B103" s="53">
        <v>304</v>
      </c>
      <c r="C103" s="53">
        <v>10</v>
      </c>
      <c r="D103" s="53">
        <v>37</v>
      </c>
      <c r="E103" s="54"/>
      <c r="F103" s="54"/>
      <c r="G103" s="54"/>
      <c r="H103" s="54"/>
      <c r="I103" s="56">
        <f t="shared" si="3"/>
        <v>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125</v>
      </c>
      <c r="B104" s="53">
        <v>301</v>
      </c>
      <c r="C104" s="53">
        <v>11</v>
      </c>
      <c r="D104" s="53">
        <v>33</v>
      </c>
      <c r="E104" s="54"/>
      <c r="F104" s="54"/>
      <c r="G104" s="54"/>
      <c r="H104" s="54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135</v>
      </c>
      <c r="B105" s="53">
        <v>298</v>
      </c>
      <c r="C105" s="53">
        <v>12</v>
      </c>
      <c r="D105" s="53">
        <v>29</v>
      </c>
      <c r="E105" s="54"/>
      <c r="F105" s="54"/>
      <c r="G105" s="54"/>
      <c r="H105" s="54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145</v>
      </c>
      <c r="B106" s="53">
        <v>295</v>
      </c>
      <c r="C106" s="53"/>
      <c r="D106" s="53"/>
      <c r="E106" s="54"/>
      <c r="F106" s="54"/>
      <c r="G106" s="54"/>
      <c r="H106" s="54"/>
      <c r="I106" s="56">
        <f t="shared" si="3"/>
        <v>2.6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150</v>
      </c>
      <c r="B107" s="53">
        <v>306</v>
      </c>
      <c r="C107" s="53">
        <v>13</v>
      </c>
      <c r="D107" s="53">
        <v>306</v>
      </c>
      <c r="E107" s="54"/>
      <c r="F107" s="54"/>
      <c r="G107" s="54"/>
      <c r="H107" s="54"/>
      <c r="I107" s="56">
        <f t="shared" si="3"/>
        <v>2.2000000000000002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Charme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f>57/1.56</f>
        <v>36.53846153846154</v>
      </c>
      <c r="C114" s="53"/>
      <c r="D114" s="63"/>
      <c r="E114" s="54"/>
      <c r="F114" s="54"/>
      <c r="G114" s="54"/>
      <c r="H114" s="54"/>
      <c r="I114" s="56">
        <f>IFERROR(B114/A114,"")</f>
        <v>2.4358974358974361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f>(95+11)/1.56</f>
        <v>67.948717948717942</v>
      </c>
      <c r="C115" s="53">
        <v>1</v>
      </c>
      <c r="D115" s="63">
        <f>(11+15)/1.56</f>
        <v>16.666666666666668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6.2820512820512802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f>131/1.56</f>
        <v>83.974358974358978</v>
      </c>
      <c r="C116" s="53"/>
      <c r="D116" s="63"/>
      <c r="E116" s="54"/>
      <c r="F116" s="54"/>
      <c r="G116" s="54"/>
      <c r="H116" s="54"/>
      <c r="I116" s="56">
        <f t="shared" si="4"/>
        <v>6.5384615384615419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f>(163+19)/1.56</f>
        <v>116.66666666666666</v>
      </c>
      <c r="C117" s="53">
        <v>2</v>
      </c>
      <c r="D117" s="63">
        <f>(19+21)/1.56</f>
        <v>25.641025641025639</v>
      </c>
      <c r="E117" s="54"/>
      <c r="F117" s="54"/>
      <c r="G117" s="54"/>
      <c r="H117" s="54">
        <v>1</v>
      </c>
      <c r="I117" s="56">
        <f t="shared" si="4"/>
        <v>6.5384615384615357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f>192/1.56</f>
        <v>123.07692307692307</v>
      </c>
      <c r="C118" s="53"/>
      <c r="D118" s="63"/>
      <c r="E118" s="54"/>
      <c r="F118" s="54"/>
      <c r="G118" s="54"/>
      <c r="H118" s="54"/>
      <c r="I118" s="56">
        <f t="shared" si="4"/>
        <v>6.4102564102564088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f>(216+22)/1.56</f>
        <v>152.56410256410257</v>
      </c>
      <c r="C119" s="53">
        <v>3</v>
      </c>
      <c r="D119" s="63">
        <f>(22+23)/1.56</f>
        <v>28.846153846153847</v>
      </c>
      <c r="E119" s="54"/>
      <c r="F119" s="54"/>
      <c r="G119" s="54"/>
      <c r="H119" s="54"/>
      <c r="I119" s="56">
        <f t="shared" si="4"/>
        <v>5.8974358974359005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f>238/1.56</f>
        <v>152.56410256410257</v>
      </c>
      <c r="C120" s="63"/>
      <c r="D120" s="63"/>
      <c r="E120" s="93"/>
      <c r="F120" s="93"/>
      <c r="G120" s="93"/>
      <c r="H120" s="93"/>
      <c r="I120" s="56">
        <f t="shared" si="4"/>
        <v>5.7692307692307683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f>(257+24)/1.56</f>
        <v>180.12820512820511</v>
      </c>
      <c r="C121" s="63">
        <v>4</v>
      </c>
      <c r="D121" s="63">
        <f>(24+24)/1.56</f>
        <v>30.769230769230766</v>
      </c>
      <c r="E121" s="93"/>
      <c r="F121" s="93"/>
      <c r="G121" s="93"/>
      <c r="H121" s="93"/>
      <c r="I121" s="56">
        <f t="shared" si="4"/>
        <v>5.5128205128205083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f>274/1.56</f>
        <v>175.64102564102564</v>
      </c>
      <c r="C122" s="63"/>
      <c r="D122" s="63"/>
      <c r="E122" s="93"/>
      <c r="F122" s="93"/>
      <c r="G122" s="93"/>
      <c r="H122" s="93"/>
      <c r="I122" s="56">
        <f t="shared" si="4"/>
        <v>5.2564102564102599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f>(289+23)/1.56</f>
        <v>200</v>
      </c>
      <c r="C123" s="63">
        <v>5</v>
      </c>
      <c r="D123" s="63">
        <f>(23+23)/1.56</f>
        <v>29.487179487179485</v>
      </c>
      <c r="E123" s="93"/>
      <c r="F123" s="93"/>
      <c r="G123" s="93"/>
      <c r="H123" s="93"/>
      <c r="I123" s="56">
        <f t="shared" si="4"/>
        <v>4.8717948717948731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f>302/1.56</f>
        <v>193.58974358974359</v>
      </c>
      <c r="C124" s="63"/>
      <c r="D124" s="63"/>
      <c r="E124" s="93"/>
      <c r="F124" s="93"/>
      <c r="G124" s="93"/>
      <c r="H124" s="93"/>
      <c r="I124" s="56">
        <f t="shared" si="4"/>
        <v>4.6153846153846132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f>(313+23)/1.56</f>
        <v>215.38461538461539</v>
      </c>
      <c r="C125" s="63">
        <v>6</v>
      </c>
      <c r="D125" s="63">
        <f>(23+22)/1.56</f>
        <v>28.846153846153847</v>
      </c>
      <c r="E125" s="93"/>
      <c r="F125" s="93"/>
      <c r="G125" s="93"/>
      <c r="H125" s="93"/>
      <c r="I125" s="56">
        <f t="shared" si="4"/>
        <v>4.3589743589743595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f>324/1.56</f>
        <v>207.69230769230768</v>
      </c>
      <c r="C126" s="63"/>
      <c r="D126" s="63"/>
      <c r="E126" s="68"/>
      <c r="F126" s="68"/>
      <c r="G126" s="68"/>
      <c r="H126" s="68"/>
      <c r="I126" s="56">
        <f t="shared" si="4"/>
        <v>4.2307692307692264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f>(333+22)/1.56</f>
        <v>227.56410256410257</v>
      </c>
      <c r="C127" s="63">
        <v>7</v>
      </c>
      <c r="D127" s="63">
        <f>(22+21)/1.56</f>
        <v>27.564102564102562</v>
      </c>
      <c r="E127" s="68"/>
      <c r="F127" s="68"/>
      <c r="G127" s="68"/>
      <c r="H127" s="68"/>
      <c r="I127" s="56">
        <f t="shared" si="4"/>
        <v>3.974358974358978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85</v>
      </c>
      <c r="B128" s="53">
        <f>342/1.56</f>
        <v>219.23076923076923</v>
      </c>
      <c r="C128" s="53"/>
      <c r="D128" s="53"/>
      <c r="E128" s="57"/>
      <c r="F128" s="57"/>
      <c r="G128" s="57"/>
      <c r="H128" s="57"/>
      <c r="I128" s="56">
        <f t="shared" si="4"/>
        <v>3.8461538461538454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90</v>
      </c>
      <c r="B129" s="53">
        <f>(350+20)/1.56</f>
        <v>237.17948717948718</v>
      </c>
      <c r="C129" s="53">
        <v>8</v>
      </c>
      <c r="D129" s="53">
        <f>(20+20)/1.56</f>
        <v>25.641025641025639</v>
      </c>
      <c r="E129" s="57"/>
      <c r="F129" s="57"/>
      <c r="G129" s="57"/>
      <c r="H129" s="57"/>
      <c r="I129" s="56">
        <f t="shared" si="4"/>
        <v>3.5897435897435912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95</v>
      </c>
      <c r="B130" s="53">
        <f>358/1.56</f>
        <v>229.48717948717947</v>
      </c>
      <c r="C130" s="53"/>
      <c r="D130" s="53"/>
      <c r="E130" s="57"/>
      <c r="F130" s="57"/>
      <c r="G130" s="57"/>
      <c r="H130" s="57"/>
      <c r="I130" s="56">
        <f t="shared" si="4"/>
        <v>3.5897435897435854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100</v>
      </c>
      <c r="B131" s="53">
        <f>(365+19)/1.56</f>
        <v>246.15384615384613</v>
      </c>
      <c r="C131" s="53">
        <v>9</v>
      </c>
      <c r="D131" s="53">
        <f>(19+18)/1.56</f>
        <v>23.717948717948715</v>
      </c>
      <c r="E131" s="57"/>
      <c r="F131" s="57"/>
      <c r="G131" s="57"/>
      <c r="H131" s="57"/>
      <c r="I131" s="56">
        <f t="shared" si="4"/>
        <v>3.3333333333333313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f>(377+18)/1.56</f>
        <v>253.2051282051282</v>
      </c>
      <c r="C132" s="53"/>
      <c r="D132" s="53"/>
      <c r="E132" s="57"/>
      <c r="F132" s="57"/>
      <c r="G132" s="57"/>
      <c r="H132" s="57"/>
      <c r="I132" s="56">
        <f t="shared" si="4"/>
        <v>3.0769230769230802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f>(388+18+17+17)/1.56</f>
        <v>282.05128205128204</v>
      </c>
      <c r="C133" s="53">
        <v>10</v>
      </c>
      <c r="D133" s="53">
        <f>B133</f>
        <v>282.05128205128204</v>
      </c>
      <c r="E133" s="57"/>
      <c r="F133" s="57"/>
      <c r="G133" s="57"/>
      <c r="H133" s="57"/>
      <c r="I133" s="56">
        <f t="shared" si="4"/>
        <v>2.8846153846153841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laricio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17</v>
      </c>
      <c r="B140" s="63">
        <v>103</v>
      </c>
      <c r="C140" s="53">
        <v>1</v>
      </c>
      <c r="D140" s="63">
        <v>15</v>
      </c>
      <c r="E140" s="54"/>
      <c r="F140" s="54"/>
      <c r="G140" s="54"/>
      <c r="H140" s="54">
        <v>1</v>
      </c>
      <c r="I140" s="60">
        <f>IFERROR(B140/A140,"")</f>
        <v>6.0588235294117645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v>122</v>
      </c>
      <c r="C141" s="53">
        <v>2</v>
      </c>
      <c r="D141" s="63">
        <v>15</v>
      </c>
      <c r="E141" s="54"/>
      <c r="F141" s="54"/>
      <c r="G141" s="54">
        <v>0.2</v>
      </c>
      <c r="H141" s="54">
        <v>0.8</v>
      </c>
      <c r="I141" s="60">
        <f t="shared" ref="I141:I159" si="5">IF(A141&lt;&gt;0,(B141-(B140-D140))/(A141-A140),"")</f>
        <v>11.333333333333334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168</v>
      </c>
      <c r="C142" s="53">
        <v>3</v>
      </c>
      <c r="D142" s="63">
        <v>36</v>
      </c>
      <c r="E142" s="54"/>
      <c r="F142" s="54"/>
      <c r="G142" s="54">
        <v>0.6</v>
      </c>
      <c r="H142" s="54">
        <v>0.4</v>
      </c>
      <c r="I142" s="60">
        <f t="shared" si="5"/>
        <v>12.2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v>202</v>
      </c>
      <c r="C143" s="53">
        <v>4</v>
      </c>
      <c r="D143" s="63">
        <v>54</v>
      </c>
      <c r="E143" s="54"/>
      <c r="F143" s="54">
        <v>0.2</v>
      </c>
      <c r="G143" s="54">
        <v>0.4</v>
      </c>
      <c r="H143" s="54">
        <v>0.4</v>
      </c>
      <c r="I143" s="60">
        <f t="shared" si="5"/>
        <v>14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v>244</v>
      </c>
      <c r="C144" s="53">
        <v>5</v>
      </c>
      <c r="D144" s="63">
        <v>52</v>
      </c>
      <c r="E144" s="54"/>
      <c r="F144" s="54"/>
      <c r="G144" s="54"/>
      <c r="H144" s="54"/>
      <c r="I144" s="60">
        <f t="shared" si="5"/>
        <v>19.2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v>284</v>
      </c>
      <c r="C145" s="53">
        <v>6</v>
      </c>
      <c r="D145" s="63">
        <v>48</v>
      </c>
      <c r="E145" s="54"/>
      <c r="F145" s="54"/>
      <c r="G145" s="54"/>
      <c r="H145" s="54"/>
      <c r="I145" s="60">
        <f t="shared" si="5"/>
        <v>18.399999999999999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v>327</v>
      </c>
      <c r="C146" s="53">
        <v>7</v>
      </c>
      <c r="D146" s="63">
        <v>57</v>
      </c>
      <c r="E146" s="54"/>
      <c r="F146" s="54"/>
      <c r="G146" s="54"/>
      <c r="H146" s="54"/>
      <c r="I146" s="60">
        <f t="shared" si="5"/>
        <v>18.2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v>367</v>
      </c>
      <c r="C147" s="53">
        <v>8</v>
      </c>
      <c r="D147" s="63">
        <v>47</v>
      </c>
      <c r="E147" s="54"/>
      <c r="F147" s="54"/>
      <c r="G147" s="54"/>
      <c r="H147" s="54"/>
      <c r="I147" s="60">
        <f>IF(A147&lt;&gt;0,(B147-(B146-D146))/(A147-A146),"")</f>
        <v>19.399999999999999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v>415</v>
      </c>
      <c r="C148" s="53">
        <v>9</v>
      </c>
      <c r="D148" s="63">
        <v>47</v>
      </c>
      <c r="E148" s="54"/>
      <c r="F148" s="54"/>
      <c r="G148" s="54"/>
      <c r="H148" s="54"/>
      <c r="I148" s="60">
        <f t="shared" si="5"/>
        <v>19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v>468</v>
      </c>
      <c r="C149" s="53">
        <v>10</v>
      </c>
      <c r="D149" s="63">
        <v>32</v>
      </c>
      <c r="E149" s="54"/>
      <c r="F149" s="54"/>
      <c r="G149" s="54"/>
      <c r="H149" s="54"/>
      <c r="I149" s="60">
        <f t="shared" si="5"/>
        <v>20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v>527</v>
      </c>
      <c r="C150" s="53">
        <v>11</v>
      </c>
      <c r="D150" s="63">
        <f>B150</f>
        <v>527</v>
      </c>
      <c r="E150" s="54"/>
      <c r="F150" s="54"/>
      <c r="G150" s="54"/>
      <c r="H150" s="54"/>
      <c r="I150" s="60">
        <f t="shared" si="5"/>
        <v>18.2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Erable sycomore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3">
        <f>33+31.5</f>
        <v>64.5</v>
      </c>
      <c r="C166" s="63"/>
      <c r="D166" s="63"/>
      <c r="E166" s="54"/>
      <c r="F166" s="54"/>
      <c r="G166" s="54"/>
      <c r="H166" s="54"/>
      <c r="I166" s="52">
        <f>IFERROR(B166/A166,"")</f>
        <v>4.3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3">
        <f>66.8+31.5+35</f>
        <v>133.30000000000001</v>
      </c>
      <c r="C167" s="63">
        <v>1</v>
      </c>
      <c r="D167" s="63">
        <f>31.5+35</f>
        <v>66.5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13.760000000000002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3">
        <f>105.5+35</f>
        <v>140.5</v>
      </c>
      <c r="C168" s="63"/>
      <c r="D168" s="63"/>
      <c r="E168" s="54"/>
      <c r="F168" s="54"/>
      <c r="G168" s="54"/>
      <c r="H168" s="54"/>
      <c r="I168" s="52">
        <f t="shared" si="6"/>
        <v>14.739999999999998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3">
        <f>141.8+35+35</f>
        <v>211.8</v>
      </c>
      <c r="C169" s="63">
        <v>2</v>
      </c>
      <c r="D169" s="63">
        <f>35+35</f>
        <v>70</v>
      </c>
      <c r="E169" s="54"/>
      <c r="F169" s="54"/>
      <c r="G169" s="54"/>
      <c r="H169" s="54">
        <v>1</v>
      </c>
      <c r="I169" s="52">
        <f t="shared" si="6"/>
        <v>14.260000000000002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35</v>
      </c>
      <c r="B170" s="63">
        <f>171.4+35</f>
        <v>206.4</v>
      </c>
      <c r="C170" s="63"/>
      <c r="D170" s="63"/>
      <c r="E170" s="54"/>
      <c r="F170" s="54"/>
      <c r="G170" s="54"/>
      <c r="H170" s="54"/>
      <c r="I170" s="52">
        <f t="shared" si="6"/>
        <v>12.919999999999998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40</v>
      </c>
      <c r="B171" s="63">
        <f>193.1+35+35</f>
        <v>263.10000000000002</v>
      </c>
      <c r="C171" s="63">
        <v>3</v>
      </c>
      <c r="D171" s="63">
        <f>35+35</f>
        <v>70</v>
      </c>
      <c r="E171" s="54"/>
      <c r="F171" s="54"/>
      <c r="G171" s="54"/>
      <c r="H171" s="54"/>
      <c r="I171" s="52">
        <f t="shared" si="6"/>
        <v>11.340000000000003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45</v>
      </c>
      <c r="B172" s="63">
        <f>218+24.2</f>
        <v>242.2</v>
      </c>
      <c r="C172" s="63"/>
      <c r="D172" s="63"/>
      <c r="E172" s="54"/>
      <c r="F172" s="54"/>
      <c r="G172" s="54"/>
      <c r="H172" s="54"/>
      <c r="I172" s="52">
        <f t="shared" si="6"/>
        <v>9.8199999999999932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50</v>
      </c>
      <c r="B173" s="53">
        <f>241.8+24.2+18.9</f>
        <v>284.89999999999998</v>
      </c>
      <c r="C173" s="53">
        <v>4</v>
      </c>
      <c r="D173" s="53">
        <f>24.2+18.9</f>
        <v>43.099999999999994</v>
      </c>
      <c r="E173" s="54"/>
      <c r="F173" s="54"/>
      <c r="G173" s="54"/>
      <c r="H173" s="54"/>
      <c r="I173" s="52">
        <f t="shared" si="6"/>
        <v>8.5399999999999974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55</v>
      </c>
      <c r="B174" s="53">
        <f>262.6+16</f>
        <v>278.60000000000002</v>
      </c>
      <c r="C174" s="53"/>
      <c r="D174" s="53"/>
      <c r="E174" s="54"/>
      <c r="F174" s="54"/>
      <c r="G174" s="54"/>
      <c r="H174" s="54"/>
      <c r="I174" s="52">
        <f t="shared" si="6"/>
        <v>7.3600000000000083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60</v>
      </c>
      <c r="B175" s="53">
        <f>279.8+16+14.2</f>
        <v>310</v>
      </c>
      <c r="C175" s="53">
        <v>5</v>
      </c>
      <c r="D175" s="53">
        <f>16+14.2</f>
        <v>30.2</v>
      </c>
      <c r="E175" s="54"/>
      <c r="F175" s="54"/>
      <c r="G175" s="54"/>
      <c r="H175" s="54"/>
      <c r="I175" s="52">
        <f t="shared" si="6"/>
        <v>6.2799999999999958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65</v>
      </c>
      <c r="B176" s="53">
        <f>292.6+13.4</f>
        <v>306</v>
      </c>
      <c r="C176" s="53"/>
      <c r="D176" s="53"/>
      <c r="E176" s="54"/>
      <c r="F176" s="54"/>
      <c r="G176" s="54"/>
      <c r="H176" s="54"/>
      <c r="I176" s="52">
        <f t="shared" si="6"/>
        <v>5.2399999999999975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70</v>
      </c>
      <c r="B177" s="53">
        <f>302.6+13.4+12.5</f>
        <v>328.5</v>
      </c>
      <c r="C177" s="53">
        <v>6</v>
      </c>
      <c r="D177" s="53">
        <f>13.4+12.5</f>
        <v>25.9</v>
      </c>
      <c r="E177" s="54"/>
      <c r="F177" s="54"/>
      <c r="G177" s="54"/>
      <c r="H177" s="54"/>
      <c r="I177" s="52">
        <f t="shared" si="6"/>
        <v>4.5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75</v>
      </c>
      <c r="B178" s="53">
        <f>311.9+11.6</f>
        <v>323.5</v>
      </c>
      <c r="C178" s="53"/>
      <c r="D178" s="53"/>
      <c r="E178" s="54"/>
      <c r="F178" s="54"/>
      <c r="G178" s="54"/>
      <c r="H178" s="54"/>
      <c r="I178" s="52">
        <f t="shared" si="6"/>
        <v>4.1799999999999953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80</v>
      </c>
      <c r="B179" s="53">
        <f>319+11.6+10.7</f>
        <v>341.3</v>
      </c>
      <c r="C179" s="53">
        <v>7</v>
      </c>
      <c r="D179" s="53">
        <f>B179</f>
        <v>341.3</v>
      </c>
      <c r="E179" s="54"/>
      <c r="F179" s="54"/>
      <c r="G179" s="54"/>
      <c r="H179" s="54"/>
      <c r="I179" s="52">
        <f t="shared" si="6"/>
        <v>3.5600000000000023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Mélèze d'Europe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18</v>
      </c>
      <c r="B192" s="63">
        <v>112</v>
      </c>
      <c r="C192" s="63">
        <v>1</v>
      </c>
      <c r="D192" s="63">
        <v>20</v>
      </c>
      <c r="E192" s="54"/>
      <c r="F192" s="54"/>
      <c r="G192" s="54">
        <v>0.5</v>
      </c>
      <c r="H192" s="54">
        <v>0.5</v>
      </c>
      <c r="I192" s="52">
        <f>IFERROR(B192/A192,"")</f>
        <v>6.2222222222222223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21</v>
      </c>
      <c r="B193" s="63">
        <v>146</v>
      </c>
      <c r="C193" s="63">
        <v>2</v>
      </c>
      <c r="D193" s="63">
        <v>26</v>
      </c>
      <c r="E193" s="54"/>
      <c r="F193" s="54"/>
      <c r="G193" s="54">
        <v>0.5</v>
      </c>
      <c r="H193" s="54">
        <v>0.5</v>
      </c>
      <c r="I193" s="52">
        <f t="shared" ref="I193:I211" si="7">IF(A193&lt;&gt;0,(B193-(B192-D192))/(A193-A192),"")</f>
        <v>18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24</v>
      </c>
      <c r="B194" s="63">
        <v>168</v>
      </c>
      <c r="C194" s="63">
        <v>3</v>
      </c>
      <c r="D194" s="63">
        <v>29</v>
      </c>
      <c r="E194" s="54"/>
      <c r="F194" s="54">
        <v>0.2</v>
      </c>
      <c r="G194" s="54">
        <v>0.4</v>
      </c>
      <c r="H194" s="54">
        <v>0.4</v>
      </c>
      <c r="I194" s="52">
        <f t="shared" si="7"/>
        <v>16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3">
        <v>224</v>
      </c>
      <c r="C195" s="63">
        <v>4</v>
      </c>
      <c r="D195" s="63">
        <v>53</v>
      </c>
      <c r="E195" s="54"/>
      <c r="F195" s="54">
        <v>0.3</v>
      </c>
      <c r="G195" s="54">
        <v>0.4</v>
      </c>
      <c r="H195" s="54">
        <v>0.3</v>
      </c>
      <c r="I195" s="52">
        <f t="shared" si="7"/>
        <v>14.166666666666666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36</v>
      </c>
      <c r="B196" s="63">
        <v>248</v>
      </c>
      <c r="C196" s="63">
        <v>5</v>
      </c>
      <c r="D196" s="63">
        <v>62</v>
      </c>
      <c r="E196" s="54"/>
      <c r="F196" s="54"/>
      <c r="G196" s="54"/>
      <c r="H196" s="54"/>
      <c r="I196" s="52">
        <f t="shared" si="7"/>
        <v>12.833333333333334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42</v>
      </c>
      <c r="B197" s="63">
        <v>255</v>
      </c>
      <c r="C197" s="63">
        <v>6</v>
      </c>
      <c r="D197" s="63">
        <v>67</v>
      </c>
      <c r="E197" s="54"/>
      <c r="F197" s="54"/>
      <c r="G197" s="54"/>
      <c r="H197" s="54"/>
      <c r="I197" s="52">
        <f t="shared" si="7"/>
        <v>11.5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48</v>
      </c>
      <c r="B198" s="63">
        <v>252</v>
      </c>
      <c r="C198" s="63">
        <v>7</v>
      </c>
      <c r="D198" s="63">
        <v>65</v>
      </c>
      <c r="E198" s="54"/>
      <c r="F198" s="54"/>
      <c r="G198" s="54"/>
      <c r="H198" s="54"/>
      <c r="I198" s="52">
        <f t="shared" si="7"/>
        <v>10.666666666666666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60</v>
      </c>
      <c r="B199" s="53">
        <v>304</v>
      </c>
      <c r="C199" s="53">
        <v>8</v>
      </c>
      <c r="D199" s="53">
        <f>B199</f>
        <v>304</v>
      </c>
      <c r="E199" s="54"/>
      <c r="F199" s="54"/>
      <c r="G199" s="54"/>
      <c r="H199" s="54"/>
      <c r="I199" s="52">
        <f t="shared" si="7"/>
        <v>9.75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Cèdre de l'Atlas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20</v>
      </c>
      <c r="B218" s="63">
        <v>28</v>
      </c>
      <c r="C218" s="53"/>
      <c r="D218" s="63"/>
      <c r="E218" s="66"/>
      <c r="F218" s="66"/>
      <c r="G218" s="66"/>
      <c r="H218" s="66"/>
      <c r="I218" s="56">
        <f>IFERROR(B218/A218,"")</f>
        <v>1.4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30</v>
      </c>
      <c r="B219" s="63">
        <v>121</v>
      </c>
      <c r="C219" s="53"/>
      <c r="D219" s="63"/>
      <c r="E219" s="66"/>
      <c r="F219" s="66"/>
      <c r="G219" s="66"/>
      <c r="H219" s="66"/>
      <c r="I219" s="56">
        <f t="shared" ref="I219:I237" si="8">IF(A219&lt;&gt;0,(B219-(B218-D218))/(A219-A218),"")</f>
        <v>9.3000000000000007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40</v>
      </c>
      <c r="B220" s="63">
        <v>267</v>
      </c>
      <c r="C220" s="53">
        <v>1</v>
      </c>
      <c r="D220" s="63">
        <v>91</v>
      </c>
      <c r="E220" s="66"/>
      <c r="F220" s="66"/>
      <c r="G220" s="66"/>
      <c r="H220" s="66"/>
      <c r="I220" s="56">
        <f t="shared" si="8"/>
        <v>14.6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50</v>
      </c>
      <c r="B221" s="58">
        <v>380</v>
      </c>
      <c r="C221" s="58">
        <v>2</v>
      </c>
      <c r="D221" s="58">
        <v>91</v>
      </c>
      <c r="E221" s="66"/>
      <c r="F221" s="66"/>
      <c r="G221" s="66"/>
      <c r="H221" s="66"/>
      <c r="I221" s="56">
        <f t="shared" si="8"/>
        <v>20.399999999999999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60</v>
      </c>
      <c r="B222" s="58">
        <v>516</v>
      </c>
      <c r="C222" s="58">
        <v>3</v>
      </c>
      <c r="D222" s="58">
        <v>112</v>
      </c>
      <c r="E222" s="66"/>
      <c r="F222" s="66"/>
      <c r="G222" s="66"/>
      <c r="H222" s="66"/>
      <c r="I222" s="56">
        <f t="shared" si="8"/>
        <v>22.7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70</v>
      </c>
      <c r="B223" s="58">
        <v>631</v>
      </c>
      <c r="C223" s="58">
        <v>4</v>
      </c>
      <c r="D223" s="58">
        <v>109</v>
      </c>
      <c r="E223" s="66"/>
      <c r="F223" s="66"/>
      <c r="G223" s="66"/>
      <c r="H223" s="66"/>
      <c r="I223" s="56">
        <f t="shared" si="8"/>
        <v>22.7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80</v>
      </c>
      <c r="B224" s="58">
        <v>734</v>
      </c>
      <c r="C224" s="58">
        <v>5</v>
      </c>
      <c r="D224" s="58">
        <v>110</v>
      </c>
      <c r="E224" s="66"/>
      <c r="F224" s="66"/>
      <c r="G224" s="66"/>
      <c r="H224" s="66"/>
      <c r="I224" s="56">
        <f t="shared" si="8"/>
        <v>21.2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90</v>
      </c>
      <c r="B225" s="58">
        <v>802</v>
      </c>
      <c r="C225" s="58">
        <v>6</v>
      </c>
      <c r="D225" s="58">
        <v>97</v>
      </c>
      <c r="E225" s="66"/>
      <c r="F225" s="66"/>
      <c r="G225" s="66"/>
      <c r="H225" s="66"/>
      <c r="I225" s="56">
        <f t="shared" si="8"/>
        <v>17.8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100</v>
      </c>
      <c r="B226" s="58">
        <v>855</v>
      </c>
      <c r="C226" s="58">
        <v>7</v>
      </c>
      <c r="D226" s="58">
        <f>B226</f>
        <v>855</v>
      </c>
      <c r="E226" s="66"/>
      <c r="F226" s="66"/>
      <c r="G226" s="66"/>
      <c r="H226" s="66"/>
      <c r="I226" s="56">
        <f t="shared" si="8"/>
        <v>15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Châtaignier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15</v>
      </c>
      <c r="B244" s="63">
        <f>33+31.5</f>
        <v>64.5</v>
      </c>
      <c r="C244" s="63"/>
      <c r="D244" s="63"/>
      <c r="E244" s="54"/>
      <c r="F244" s="54"/>
      <c r="G244" s="54"/>
      <c r="H244" s="54"/>
      <c r="I244" s="56">
        <f>IFERROR(B244/A244,"")</f>
        <v>4.3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20</v>
      </c>
      <c r="B245" s="63">
        <f>66.8+31.5+35</f>
        <v>133.30000000000001</v>
      </c>
      <c r="C245" s="63">
        <v>1</v>
      </c>
      <c r="D245" s="63">
        <f>31.5+35</f>
        <v>66.5</v>
      </c>
      <c r="E245" s="54"/>
      <c r="F245" s="54"/>
      <c r="G245" s="54"/>
      <c r="H245" s="54">
        <v>1</v>
      </c>
      <c r="I245" s="56">
        <f>IF(A245&lt;&gt;0,(B245-(B244-D244))/(A245-A244),"")</f>
        <v>13.760000000000002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25</v>
      </c>
      <c r="B246" s="63">
        <f>105.5+35</f>
        <v>140.5</v>
      </c>
      <c r="C246" s="63"/>
      <c r="D246" s="63"/>
      <c r="E246" s="54"/>
      <c r="F246" s="54"/>
      <c r="G246" s="54"/>
      <c r="H246" s="54"/>
      <c r="I246" s="56">
        <f>IF(A246&lt;&gt;0,(B246-(B245-D245))/(A246-A245),"")</f>
        <v>14.739999999999998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30</v>
      </c>
      <c r="B247" s="63">
        <f>141.8+35+35</f>
        <v>211.8</v>
      </c>
      <c r="C247" s="63">
        <v>2</v>
      </c>
      <c r="D247" s="63">
        <f>35+35</f>
        <v>70</v>
      </c>
      <c r="E247" s="54"/>
      <c r="F247" s="54"/>
      <c r="G247" s="54"/>
      <c r="H247" s="54">
        <v>1</v>
      </c>
      <c r="I247" s="56">
        <f t="shared" ref="I247:I263" si="9">IF(A247&lt;&gt;0,(B247-(B246-D246))/(A247-A246),"")</f>
        <v>14.260000000000002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35</v>
      </c>
      <c r="B248" s="63">
        <f>171.4+35</f>
        <v>206.4</v>
      </c>
      <c r="C248" s="63"/>
      <c r="D248" s="63"/>
      <c r="E248" s="54"/>
      <c r="F248" s="54"/>
      <c r="G248" s="54"/>
      <c r="H248" s="54"/>
      <c r="I248" s="56">
        <f t="shared" si="9"/>
        <v>12.919999999999998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40</v>
      </c>
      <c r="B249" s="63">
        <f>193.1+35+35</f>
        <v>263.10000000000002</v>
      </c>
      <c r="C249" s="63">
        <v>3</v>
      </c>
      <c r="D249" s="63">
        <f>35+35</f>
        <v>70</v>
      </c>
      <c r="E249" s="54"/>
      <c r="F249" s="54"/>
      <c r="G249" s="54"/>
      <c r="H249" s="54"/>
      <c r="I249" s="56">
        <f t="shared" si="9"/>
        <v>11.340000000000003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45</v>
      </c>
      <c r="B250" s="63">
        <f>218+24.2</f>
        <v>242.2</v>
      </c>
      <c r="C250" s="63"/>
      <c r="D250" s="63"/>
      <c r="E250" s="54"/>
      <c r="F250" s="54"/>
      <c r="G250" s="54"/>
      <c r="H250" s="54"/>
      <c r="I250" s="56">
        <f t="shared" si="9"/>
        <v>9.8199999999999932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3">
        <v>50</v>
      </c>
      <c r="B251" s="53">
        <v>284.89999999999998</v>
      </c>
      <c r="C251" s="53">
        <v>4</v>
      </c>
      <c r="D251" s="53">
        <v>43.099999999999994</v>
      </c>
      <c r="E251" s="54"/>
      <c r="F251" s="54"/>
      <c r="G251" s="54"/>
      <c r="H251" s="54"/>
      <c r="I251" s="56">
        <f t="shared" si="9"/>
        <v>8.5399999999999974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3">
        <v>55</v>
      </c>
      <c r="B252" s="53">
        <v>278.60000000000002</v>
      </c>
      <c r="C252" s="53"/>
      <c r="D252" s="53"/>
      <c r="E252" s="54"/>
      <c r="F252" s="54"/>
      <c r="G252" s="54"/>
      <c r="H252" s="54"/>
      <c r="I252" s="56">
        <f t="shared" si="9"/>
        <v>7.3600000000000083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3">
        <v>60</v>
      </c>
      <c r="B253" s="53">
        <v>310</v>
      </c>
      <c r="C253" s="53">
        <v>5</v>
      </c>
      <c r="D253" s="53">
        <v>30.2</v>
      </c>
      <c r="E253" s="54"/>
      <c r="F253" s="54"/>
      <c r="G253" s="54"/>
      <c r="H253" s="54"/>
      <c r="I253" s="56">
        <f t="shared" si="9"/>
        <v>6.2799999999999958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3">
        <v>65</v>
      </c>
      <c r="B254" s="53">
        <v>306</v>
      </c>
      <c r="C254" s="53"/>
      <c r="D254" s="53"/>
      <c r="E254" s="54"/>
      <c r="F254" s="54"/>
      <c r="G254" s="54"/>
      <c r="H254" s="54"/>
      <c r="I254" s="56">
        <f t="shared" si="9"/>
        <v>5.2399999999999975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3">
        <v>70</v>
      </c>
      <c r="B255" s="53">
        <v>328.5</v>
      </c>
      <c r="C255" s="53">
        <v>6</v>
      </c>
      <c r="D255" s="53">
        <v>25.9</v>
      </c>
      <c r="E255" s="54"/>
      <c r="F255" s="54"/>
      <c r="G255" s="54"/>
      <c r="H255" s="54"/>
      <c r="I255" s="56">
        <f t="shared" si="9"/>
        <v>4.5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3">
        <v>75</v>
      </c>
      <c r="B256" s="53">
        <v>323.5</v>
      </c>
      <c r="C256" s="53"/>
      <c r="D256" s="53"/>
      <c r="E256" s="54"/>
      <c r="F256" s="54"/>
      <c r="G256" s="54"/>
      <c r="H256" s="54"/>
      <c r="I256" s="56">
        <f t="shared" si="9"/>
        <v>4.1799999999999953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53">
        <v>80</v>
      </c>
      <c r="B257" s="53">
        <v>341.3</v>
      </c>
      <c r="C257" s="53">
        <v>7</v>
      </c>
      <c r="D257" s="53">
        <v>341.3</v>
      </c>
      <c r="E257" s="54"/>
      <c r="F257" s="54"/>
      <c r="G257" s="54"/>
      <c r="H257" s="54"/>
      <c r="I257" s="56">
        <f t="shared" si="9"/>
        <v>3.5600000000000023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4"/>
      <c r="F258" s="54"/>
      <c r="G258" s="54"/>
      <c r="H258" s="54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Sapin méditerranéen</v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30</v>
      </c>
      <c r="B270" s="63">
        <v>151</v>
      </c>
      <c r="C270" s="53"/>
      <c r="D270" s="63"/>
      <c r="E270" s="54"/>
      <c r="F270" s="54"/>
      <c r="G270" s="54"/>
      <c r="H270" s="54"/>
      <c r="I270" s="56">
        <f>IFERROR(B270/A270,"")</f>
        <v>5.0333333333333332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40</v>
      </c>
      <c r="B271" s="63">
        <f>203+92</f>
        <v>295</v>
      </c>
      <c r="C271" s="53">
        <v>1</v>
      </c>
      <c r="D271" s="63">
        <v>92</v>
      </c>
      <c r="E271" s="54"/>
      <c r="F271" s="54"/>
      <c r="G271" s="54"/>
      <c r="H271" s="54"/>
      <c r="I271" s="56">
        <f>IF(A271&lt;&gt;0,(B271-(B270-D270))/(A271-A270),"")</f>
        <v>14.4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50</v>
      </c>
      <c r="B272" s="63">
        <f>275+78</f>
        <v>353</v>
      </c>
      <c r="C272" s="53">
        <v>2</v>
      </c>
      <c r="D272" s="63">
        <v>78</v>
      </c>
      <c r="E272" s="54"/>
      <c r="F272" s="54"/>
      <c r="G272" s="54"/>
      <c r="H272" s="54"/>
      <c r="I272" s="56">
        <f t="shared" ref="I272:I289" si="10">IF(A272&lt;&gt;0,(B272-(B271-D271))/(A272-A271),"")</f>
        <v>15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60</v>
      </c>
      <c r="B273" s="63">
        <f>371+65</f>
        <v>436</v>
      </c>
      <c r="C273" s="53">
        <v>3</v>
      </c>
      <c r="D273" s="63">
        <v>65</v>
      </c>
      <c r="E273" s="54"/>
      <c r="F273" s="54"/>
      <c r="G273" s="54"/>
      <c r="H273" s="54"/>
      <c r="I273" s="56">
        <f t="shared" si="10"/>
        <v>16.100000000000001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70</v>
      </c>
      <c r="B274" s="63">
        <f>500+53</f>
        <v>553</v>
      </c>
      <c r="C274" s="53">
        <v>4</v>
      </c>
      <c r="D274" s="63">
        <v>53</v>
      </c>
      <c r="E274" s="54"/>
      <c r="F274" s="54"/>
      <c r="G274" s="54"/>
      <c r="H274" s="54"/>
      <c r="I274" s="56">
        <f t="shared" si="10"/>
        <v>18.2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80</v>
      </c>
      <c r="B275" s="63">
        <f>675+45</f>
        <v>720</v>
      </c>
      <c r="C275" s="53">
        <v>5</v>
      </c>
      <c r="D275" s="63">
        <v>45</v>
      </c>
      <c r="E275" s="66"/>
      <c r="F275" s="66"/>
      <c r="G275" s="66"/>
      <c r="H275" s="66"/>
      <c r="I275" s="56">
        <f t="shared" si="10"/>
        <v>22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90</v>
      </c>
      <c r="B276" s="63">
        <f>911+34</f>
        <v>945</v>
      </c>
      <c r="C276" s="53">
        <v>6</v>
      </c>
      <c r="D276" s="63">
        <v>34</v>
      </c>
      <c r="E276" s="66"/>
      <c r="F276" s="66"/>
      <c r="G276" s="66"/>
      <c r="H276" s="66"/>
      <c r="I276" s="56">
        <f t="shared" si="10"/>
        <v>27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>
        <v>100</v>
      </c>
      <c r="B277" s="58">
        <f>1230+23</f>
        <v>1253</v>
      </c>
      <c r="C277" s="58">
        <v>7</v>
      </c>
      <c r="D277" s="58">
        <f>B277</f>
        <v>1253</v>
      </c>
      <c r="E277" s="66"/>
      <c r="F277" s="66"/>
      <c r="G277" s="66"/>
      <c r="H277" s="66"/>
      <c r="I277" s="56">
        <f t="shared" si="10"/>
        <v>34.200000000000003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Charme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Pin laricio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Erable sycomore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Mélèze d'Europe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Cèdre de l'Atlas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Châtaignier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>Sapin méditerranéen</v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374.79806286316051</v>
      </c>
      <c r="T3" s="62">
        <f>IF('Données projet'!E9&gt;30,$R$33-$H$33,LOOKUP('Données projet'!$E$9,$A$3:$A$203,R3:R203)-LOOKUP('Données projet'!$E$9,$A$3:$A$203,$H$3:$H$203))</f>
        <v>350.01856672839466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401.89597032936751</v>
      </c>
      <c r="AO3" s="62">
        <f>IF('Données projet'!E10&gt;30,$AM$33-$H$33,LOOKUP('Données projet'!$E$10,$A$3:$A$203,AM3:AM203)-LOOKUP('Données projet'!$E$10,$A$3:$A$203,$H$3:$H$203))</f>
        <v>417.85733543972361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430.40491895612814</v>
      </c>
      <c r="BJ3" s="62">
        <f>IF('Données projet'!E11&gt;30,$BH$33-$H$33,LOOKUP('Données projet'!$E$11,$A$3:$A$203,BH3:BH203)-LOOKUP('Données projet'!$E$11,$A$3:$A$203,$H$3:$H$203))</f>
        <v>231.36959598460686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367.11183928586667</v>
      </c>
      <c r="CE3" s="62">
        <f>IF('Données projet'!E12&gt;30,$CC$33-$H$33,LOOKUP('Données projet'!$E$12,$A$3:$A$203,CC3:CC203)-LOOKUP('Données projet'!$E$12,$A$3:$A$203,$H$3:$H$203))</f>
        <v>281.52963027844595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308.47522272937135</v>
      </c>
      <c r="CZ3" s="62">
        <f>IF('Données projet'!E13&gt;30,$CX$33-$H$33,LOOKUP('Données projet'!$E$13,$A$3:$A$203,CX3:CX203)-LOOKUP('Données projet'!$E$13,$A$3:$A$203,$H$3:$H$203))</f>
        <v>302.54354650449721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370.58277541710277</v>
      </c>
      <c r="DU3" s="62">
        <f>IF('Données projet'!E14&gt;30,$DS$33-$H$33,LOOKUP('Données projet'!$E$14,$A$3:$A$203,DS3:DS203)-LOOKUP('Données projet'!$E$14,$A$3:$A$203,$H$3:$H$203))</f>
        <v>404.61777090709171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240.22884864766218</v>
      </c>
      <c r="EP3" s="62">
        <f>IF('Données projet'!E15&gt;30,$EN$33-$H$33,LOOKUP('Données projet'!$E$15,$A$3:$A$203,EN3:EN203)-LOOKUP('Données projet'!$E$15,$A$3:$A$203,$H$3:$H$203))</f>
        <v>343.23776884143166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399.92909819003523</v>
      </c>
      <c r="FK3" s="62">
        <f>IF('Données projet'!E16&gt;30,$FI$33-$H$33,LOOKUP('Données projet'!$E$16,$A$3:$A$203,FI3:FI203)-LOOKUP('Données projet'!$E$16,$A$3:$A$203,$H$3:$H$203))</f>
        <v>163.7053537268381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344.4426665022238</v>
      </c>
      <c r="GF3" s="62">
        <f>IF('Données projet'!E17&gt;30,$GD$33-$H$33,LOOKUP('Données projet'!$E$17,$A$3:$A$203,GD3:GD203)-LOOKUP('Données projet'!$E$17,$A$3:$A$203,$H$3:$H$203))</f>
        <v>376.41441893222185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441.17479680509746</v>
      </c>
      <c r="HA3" s="62">
        <f>IF('Données projet'!E18&gt;30,$GY$33-$H$33,LOOKUP('Données projet'!$E$18,$A$3:$A$203,GY3:GY203)-LOOKUP('Données projet'!$E$18,$A$3:$A$203,$H$3:$H$203))</f>
        <v>198.56576128410069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</v>
      </c>
      <c r="N4" s="14">
        <f>IF('Données projet'!$A$36&gt;35,N3+M4-V3,IF(A4&lt;'Données projet'!$A$36,$K$205^A4,IF(A4='Données projet'!$A$36,'Données projet'!$B$36,N3+M4-V3)))</f>
        <v>1.289976715395158</v>
      </c>
      <c r="O4" s="14">
        <f>N4*VLOOKUP('Données projet'!$B$9,Paramètres!$A$1:$I$89,3,0)*VLOOKUP('Données projet'!$B$9,Paramètres!$A$1:$I$89,5,0)</f>
        <v>0.72109698390589339</v>
      </c>
      <c r="P4" s="14">
        <f>EXP(-1.0587+0.8836*LN(O4)+0.284)</f>
        <v>0.34520357101002697</v>
      </c>
      <c r="Q4" s="22">
        <f t="shared" ref="Q4:Q34" si="2">(O4+P4)*0.475*44/12</f>
        <v>1.8571401331452277</v>
      </c>
      <c r="R4" s="62">
        <f t="shared" si="0"/>
        <v>259.74602902203407</v>
      </c>
      <c r="S4" s="62">
        <f ca="1">AVERAGE(OFFSET($R$3,0,0,'Données projet'!$E$9+1,1))-AVERAGE(OFFSET($H$3,0,0,'Données projet'!$E$9+1,1))</f>
        <v>374.79806286316051</v>
      </c>
      <c r="T4" s="62">
        <f>$T$3</f>
        <v>350.01856672839466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3.5</v>
      </c>
      <c r="AI4" s="14">
        <f>IF('Données projet'!$A$62&gt;35,AI3+AH4-AQ3,IF(A4&lt;'Données projet'!$A$62,$AF$205^A4,IF(A4='Données projet'!$A$62,'Données projet'!$B$62,AI3+AH4-AQ3)))</f>
        <v>1.4269435884576509</v>
      </c>
      <c r="AJ4" s="14">
        <f>AI4*VLOOKUP('Données projet'!$B$10,Paramètres!$A$1:$I$89,3,0)*VLOOKUP('Données projet'!$B$10,Paramètres!$A$1:$I$89,5,0)</f>
        <v>1.246577918876604</v>
      </c>
      <c r="AK4" s="14">
        <f>EXP(-1.0587+0.8836*LN(AJ4)+0.284)</f>
        <v>0.55992486380829476</v>
      </c>
      <c r="AL4" s="22">
        <f t="shared" ref="AL4:AL67" si="4">(AJ4+AK4)*0.475*44/12</f>
        <v>3.1463256798428652</v>
      </c>
      <c r="AM4" s="62">
        <f t="shared" ref="AM4:AM67" si="5">AL4+(AD4+AE4)*44/12</f>
        <v>261.0352145687317</v>
      </c>
      <c r="AN4" s="62">
        <f ca="1">AVERAGE(OFFSET($AM$3,0,0,'Données projet'!$E$10+1,1))-AVERAGE(OFFSET($H$3,0,0,'Données projet'!$E$10+1,1))</f>
        <v>401.89597032936751</v>
      </c>
      <c r="AO4" s="62">
        <f>$AO$3</f>
        <v>417.85733543972361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1.0907244698905405</v>
      </c>
      <c r="BF4" s="14">
        <f>EXP(-1.0587+0.8836*LN(BE4)+0.284)</f>
        <v>0.49759623852608204</v>
      </c>
      <c r="BG4" s="22">
        <f t="shared" ref="BG4:BG67" si="7">(BE4+BF4)*0.475*44/12</f>
        <v>2.7663252338256172</v>
      </c>
      <c r="BH4" s="62">
        <f t="shared" ref="BH4:BH67" si="8">BG4+(AY4+AZ4)*44/12</f>
        <v>260.65521412271448</v>
      </c>
      <c r="BI4" s="62">
        <f ca="1">AVERAGE(OFFSET($BH$3,0,0,'Données projet'!$E$11+1,1))-AVERAGE(OFFSET($H$3,0,0,'Données projet'!$E$11+1,1))</f>
        <v>430.40491895612814</v>
      </c>
      <c r="BJ4" s="62">
        <f>$BJ$3</f>
        <v>231.36959598460686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2.4358974358974361</v>
      </c>
      <c r="BY4" s="13">
        <f>IF('Données projet'!$A$114&gt;35,BY3+BX4-CG3,IF(A4&lt;'Données projet'!$A$114,$BV$205^A4,IF(A4='Données projet'!$A$114,'Données projet'!$B$114,BY3+BX4-CG3)))</f>
        <v>1.2711106295585217</v>
      </c>
      <c r="BZ4" s="14">
        <f>BY4*VLOOKUP('Données projet'!$B$12,Paramètres!$A$1:$I$89,3,0)*VLOOKUP('Données projet'!$B$12,Paramètres!$A$1:$I$89,5,0)</f>
        <v>1.2095888750878894</v>
      </c>
      <c r="CA4" s="14">
        <f>EXP(-1.0587+0.8836*LN(BZ4)+0.284)</f>
        <v>0.5452187850680178</v>
      </c>
      <c r="CB4" s="22">
        <f t="shared" ref="CB4:CB67" si="10">(BZ4+CA4)*0.475*44/12</f>
        <v>3.0562900081048716</v>
      </c>
      <c r="CC4" s="62">
        <f t="shared" ref="CC4:CC67" si="11">CB4+(BT4+BU4)*44/12</f>
        <v>260.94517889699375</v>
      </c>
      <c r="CD4" s="62">
        <f ca="1">AVERAGE(OFFSET($CC$3,0,0,'Données projet'!$E$12+1,1))-AVERAGE(OFFSET($H$3,0,0,'Données projet'!$E$12+1,1))</f>
        <v>367.11183928586667</v>
      </c>
      <c r="CE4" s="62">
        <f>$CE$3</f>
        <v>281.52963027844595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6.0588235294117645</v>
      </c>
      <c r="CT4" s="13">
        <f>IF('Données projet'!$A$140&gt;35,CT3+CS4-DB3,IF(A4&lt;'Données projet'!$A$140,$CQ$205^A4,IF(A4='Données projet'!$A$140,'Données projet'!$B$140,CT3+CS4-DB3)))</f>
        <v>1.3134156586844881</v>
      </c>
      <c r="CU4" s="18">
        <f>CT4*VLOOKUP('Données projet'!$B$13,Paramètres!$A$1:$I$89,3,0)*VLOOKUP('Données projet'!$B$13,Paramètres!$A$1:$I$89,5,0)</f>
        <v>0.78542256389332388</v>
      </c>
      <c r="CV4" s="14">
        <f>EXP(-1.0587+0.8836*LN(CU4)+0.284)</f>
        <v>0.3722763145534399</v>
      </c>
      <c r="CW4" s="22">
        <f t="shared" ref="CW4:CW67" si="13">(CU4+CV4)*0.475*44/12</f>
        <v>2.0163255466281131</v>
      </c>
      <c r="CX4" s="62">
        <f t="shared" ref="CX4:CX67" si="14">CW4+(CO4+CP4)*44/12</f>
        <v>259.905214435517</v>
      </c>
      <c r="CY4" s="62">
        <f ca="1">AVERAGE(OFFSET($CX$3,0,0,'Données projet'!$E$13+1,1))-AVERAGE(OFFSET($H$3,0,0,'Données projet'!$E$13+1,1))</f>
        <v>308.47522272937135</v>
      </c>
      <c r="CZ4" s="62">
        <f>$CZ$3</f>
        <v>302.54354650449721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4.3</v>
      </c>
      <c r="DO4" s="13">
        <f>IF('Données projet'!$A$166&gt;35,DO3+DN4-DW3,IF(A4&lt;'Données projet'!$A$166,$DL$205^A4,IF(A4='Données projet'!$A$166,'Données projet'!$B$166,DO3+DN4-DW3)))</f>
        <v>1.3201926614434671</v>
      </c>
      <c r="DP4" s="18">
        <f>DO4*VLOOKUP('Données projet'!$B$14,Paramètres!$A$1:$I$89,3,0)*VLOOKUP('Données projet'!$B$14,Paramètres!$A$1:$I$89,5,0)</f>
        <v>1.0503452814444225</v>
      </c>
      <c r="DQ4" s="14">
        <f>EXP(-1.0587+0.8836*LN(DP4)+0.284)</f>
        <v>0.48128363921899908</v>
      </c>
      <c r="DR4" s="22">
        <f t="shared" ref="DR4:DR67" si="16">(DP4+DQ4)*0.475*44/12</f>
        <v>2.6675870368221255</v>
      </c>
      <c r="DS4" s="62">
        <f t="shared" ref="DS4:DS67" si="17">DR4+(DJ4+DK4)*44/12</f>
        <v>260.55647592571097</v>
      </c>
      <c r="DT4" s="62">
        <f ca="1">AVERAGE(OFFSET($DS$3,0,0,'Données projet'!$E$14+1,1))-AVERAGE(OFFSET($H$3,0,0,'Données projet'!$E$14+1,1))</f>
        <v>370.58277541710277</v>
      </c>
      <c r="DU4" s="62">
        <f>$DU$3</f>
        <v>404.61777090709171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6.2222222222222223</v>
      </c>
      <c r="EJ4" s="13">
        <f>IF('Données projet'!$A$192&gt;35,EJ3+EI4-ER3,IF(A4&lt;'Données projet'!$A$192,$EG$205^A4,IF(A4='Données projet'!$A$192,'Données projet'!$B$192,EJ3+EI4-ER3)))</f>
        <v>1.2997069632623315</v>
      </c>
      <c r="EK4" s="18">
        <f>EJ4*VLOOKUP('Données projet'!$B$15,Paramètres!$A$1:$I$89,3,0)*VLOOKUP('Données projet'!$B$15,Paramètres!$A$1:$I$89,5,0)</f>
        <v>0.81101714507569489</v>
      </c>
      <c r="EL4" s="14">
        <f>EXP(-1.0587+0.8836*LN(EK4)+0.284)</f>
        <v>0.38297551084354686</v>
      </c>
      <c r="EM4" s="22">
        <f t="shared" ref="EM4:EM67" si="19">(EK4+EL4)*0.475*44/12</f>
        <v>2.0795372090593456</v>
      </c>
      <c r="EN4" s="62">
        <f t="shared" ref="EN4:EN67" si="20">EM4+(EE4+EF4)*44/12</f>
        <v>259.96842609794822</v>
      </c>
      <c r="EO4" s="62">
        <f ca="1">AVERAGE(OFFSET($EN$3,0,0,'Données projet'!$E$15+1,1))-AVERAGE(OFFSET($H$3,0,0,'Données projet'!$E$15+1,1))</f>
        <v>240.22884864766218</v>
      </c>
      <c r="EP4" s="62">
        <f>$EP$3</f>
        <v>343.23776884143166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1.4</v>
      </c>
      <c r="FE4" s="13">
        <f>IF('Données projet'!$A$218&gt;35,FE3+FD4-FM3,IF(A4&lt;'Données projet'!$A$218,$FB$205^A4,IF(A4='Données projet'!$A$218,'Données projet'!$B$218,FE3+FD4-FM3)))</f>
        <v>1.1812937373976771</v>
      </c>
      <c r="FF4" s="18">
        <f>FE4*VLOOKUP('Données projet'!$B$16,Paramètres!$A$1:$I$89,3,0)*VLOOKUP('Données projet'!$B$16,Paramètres!$A$1:$I$89,5,0)</f>
        <v>0.55284546910211285</v>
      </c>
      <c r="FG4" s="14">
        <f>EXP(-1.0587+0.8836*LN(FF4)+0.284)</f>
        <v>0.27297114564908254</v>
      </c>
      <c r="FH4" s="22">
        <f t="shared" ref="FH4:FH67" si="22">(FF4+FG4)*0.475*44/12</f>
        <v>1.4382972706916652</v>
      </c>
      <c r="FI4" s="62">
        <f t="shared" ref="FI4:FI67" si="23">FH4+(EZ4+FA4)*44/12</f>
        <v>259.32718615958055</v>
      </c>
      <c r="FJ4" s="62">
        <f ca="1">AVERAGE(OFFSET($FI$3,0,0,'Données projet'!$E$16+1,1))-AVERAGE(OFFSET($H$3,0,0,'Données projet'!$E$16+1,1))</f>
        <v>399.92909819003523</v>
      </c>
      <c r="FK4" s="62">
        <f>$FK$3</f>
        <v>163.7053537268381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4.3</v>
      </c>
      <c r="FZ4" s="13">
        <f>IF('Données projet'!$A$244&gt;35,FZ3+FY4-GH3,IF(A4&lt;'Données projet'!$A$244,$FW$205^A4,IF(A4='Données projet'!$A$244,'Données projet'!$B$244,FZ3+FY4-GH3)))</f>
        <v>1.3201926614434671</v>
      </c>
      <c r="GA4" s="18">
        <f>FZ4*VLOOKUP('Données projet'!$B$17,Paramètres!$A$1:$I$89,3,0)*VLOOKUP('Données projet'!$B$17,Paramètres!$A$1:$I$89,5,0)</f>
        <v>0.96796525937035005</v>
      </c>
      <c r="GB4" s="14">
        <f>EXP(-1.0587+0.8836*LN(GA4)+0.284)</f>
        <v>0.44777285091774893</v>
      </c>
      <c r="GC4" s="22">
        <f t="shared" ref="GC4:GC67" si="25">(GA4+GB4)*0.475*44/12</f>
        <v>2.4657438754184393</v>
      </c>
      <c r="GD4" s="62">
        <f t="shared" ref="GD4:GD67" si="26">GC4+(FU4+FV4)*44/12</f>
        <v>260.35463276430727</v>
      </c>
      <c r="GE4" s="62">
        <f ca="1">AVERAGE(OFFSET($GD$3,0,0,'Données projet'!$E$17+1,1))-AVERAGE(OFFSET($H$3,0,0,'Données projet'!$E$17+1,1))</f>
        <v>344.4426665022238</v>
      </c>
      <c r="GF4" s="62">
        <f>$GF$3</f>
        <v>376.41441893222185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5.0333333333333332</v>
      </c>
      <c r="GU4" s="13">
        <f>IF('Données projet'!$A$270&gt;35,GU3+GT4-HC3,IF(A4&lt;'Données projet'!$A$270,$GR$205^A4,IF(A4='Données projet'!$A$270,'Données projet'!$B$270,GU3+GT4-HC3)))</f>
        <v>1.1820410660448897</v>
      </c>
      <c r="GV4" s="18">
        <f>GU4*VLOOKUP('Données projet'!$B$18,Paramètres!$A$1:$I$89,3,0)*VLOOKUP('Données projet'!$B$18,Paramètres!$A$1:$I$89,5,0)</f>
        <v>0.56856175276759202</v>
      </c>
      <c r="GW4" s="14">
        <f>EXP(-1.0587+0.8836*LN(GV4)+0.284)</f>
        <v>0.27981667309825176</v>
      </c>
      <c r="GX4" s="22">
        <f t="shared" ref="GX4:GX67" si="28">(GV4+GW4)*0.475*44/12</f>
        <v>1.4775924250496777</v>
      </c>
      <c r="GY4" s="62">
        <f t="shared" ref="GY4:GY67" si="29">GX4+(GP4+GQ4)*44/12</f>
        <v>259.36648131393855</v>
      </c>
      <c r="GZ4" s="62">
        <f ca="1">AVERAGE(OFFSET($GY$3,0,0,'Données projet'!$E$18+1,1))-AVERAGE(OFFSET($H$3,0,0,'Données projet'!$E$18+1,1))</f>
        <v>441.17479680509746</v>
      </c>
      <c r="HA4" s="62">
        <f>$HA$3</f>
        <v>198.56576128410069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</v>
      </c>
      <c r="N5" s="14">
        <f>IF('Données projet'!$A$36&gt;35,N4+M5-V4,IF(A5&lt;'Données projet'!$A$36,$K$205^A5,IF(A5='Données projet'!$A$36,'Données projet'!$B$36,N4+M5-V4)))</f>
        <v>1.6640399262616805</v>
      </c>
      <c r="O5" s="14">
        <f>N5*VLOOKUP('Données projet'!$B$9,Paramètres!$A$1:$I$89,3,0)*VLOOKUP('Données projet'!$B$9,Paramètres!$A$1:$I$89,5,0)</f>
        <v>0.93019831878027937</v>
      </c>
      <c r="P5" s="14">
        <f t="shared" ref="P5:P68" si="33">EXP(-1.0587+0.8836*LN(O5)+0.284)</f>
        <v>0.43230018467776149</v>
      </c>
      <c r="Q5" s="22">
        <f t="shared" si="2"/>
        <v>2.3730182268560873</v>
      </c>
      <c r="R5" s="62">
        <f t="shared" si="0"/>
        <v>261.4841293379672</v>
      </c>
      <c r="S5" s="62">
        <f ca="1">AVERAGE(OFFSET($R$3,0,0,'Données projet'!$E$9+1,1))-AVERAGE(OFFSET($H$3,0,0,'Données projet'!$E$9+1,1))</f>
        <v>374.79806286316051</v>
      </c>
      <c r="T5" s="62">
        <f t="shared" ref="T5:T68" si="34">$T$3</f>
        <v>350.01856672839466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3.5</v>
      </c>
      <c r="AI5" s="14">
        <f>IF('Données projet'!$A$62&gt;35,AI4+AH5-AQ4,IF(A5&lt;'Données projet'!$A$62,$AF$205^A5,IF(A5='Données projet'!$A$62,'Données projet'!$B$62,AI4+AH5-AQ4)))</f>
        <v>2.0361680046403978</v>
      </c>
      <c r="AJ5" s="14">
        <f>AI5*VLOOKUP('Données projet'!$B$10,Paramètres!$A$1:$I$89,3,0)*VLOOKUP('Données projet'!$B$10,Paramètres!$A$1:$I$89,5,0)</f>
        <v>1.7787963688538517</v>
      </c>
      <c r="AK5" s="14">
        <f t="shared" ref="AK5:AK68" si="35">EXP(-1.0587+0.8836*LN(AJ5)+0.284)</f>
        <v>0.76659080447596062</v>
      </c>
      <c r="AL5" s="22">
        <f t="shared" si="4"/>
        <v>4.4332159935494238</v>
      </c>
      <c r="AM5" s="62">
        <f t="shared" si="5"/>
        <v>263.54432710466057</v>
      </c>
      <c r="AN5" s="62">
        <f ca="1">AVERAGE(OFFSET($AM$3,0,0,'Données projet'!$E$10+1,1))-AVERAGE(OFFSET($H$3,0,0,'Données projet'!$E$10+1,1))</f>
        <v>401.89597032936751</v>
      </c>
      <c r="AO5" s="62">
        <f t="shared" ref="AO5:AO68" si="36">$AO$3</f>
        <v>417.85733543972361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1.3148539668633961</v>
      </c>
      <c r="BF5" s="14">
        <f t="shared" ref="BF5:BF68" si="37">EXP(-1.0587+0.8836*LN(BE5)+0.284)</f>
        <v>0.58693801963664449</v>
      </c>
      <c r="BG5" s="22">
        <f t="shared" si="7"/>
        <v>3.3122877098209038</v>
      </c>
      <c r="BH5" s="62">
        <f t="shared" si="8"/>
        <v>262.42339882093205</v>
      </c>
      <c r="BI5" s="62">
        <f ca="1">AVERAGE(OFFSET($BH$3,0,0,'Données projet'!$E$11+1,1))-AVERAGE(OFFSET($H$3,0,0,'Données projet'!$E$11+1,1))</f>
        <v>430.40491895612814</v>
      </c>
      <c r="BJ5" s="62">
        <f t="shared" ref="BJ5:BJ68" si="38">$BJ$3</f>
        <v>231.36959598460686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2.4358974358974361</v>
      </c>
      <c r="BY5" s="13">
        <f>IF('Données projet'!$A$114&gt;35,BY4+BX5-CG4,IF(A5&lt;'Données projet'!$A$114,$BV$205^A5,IF(A5='Données projet'!$A$114,'Données projet'!$B$114,BY4+BX5-CG4)))</f>
        <v>1.6157222325766614</v>
      </c>
      <c r="BZ5" s="14">
        <f>BY5*VLOOKUP('Données projet'!$B$12,Paramètres!$A$1:$I$89,3,0)*VLOOKUP('Données projet'!$B$12,Paramètres!$A$1:$I$89,5,0)</f>
        <v>1.5375212765199511</v>
      </c>
      <c r="CA5" s="14">
        <f t="shared" ref="CA5:CA68" si="39">EXP(-1.0587+0.8836*LN(BZ5)+0.284)</f>
        <v>0.67394928852564717</v>
      </c>
      <c r="CB5" s="22">
        <f t="shared" si="10"/>
        <v>3.8516445674544162</v>
      </c>
      <c r="CC5" s="62">
        <f t="shared" si="11"/>
        <v>262.96275567856554</v>
      </c>
      <c r="CD5" s="62">
        <f ca="1">AVERAGE(OFFSET($CC$3,0,0,'Données projet'!$E$12+1,1))-AVERAGE(OFFSET($H$3,0,0,'Données projet'!$E$12+1,1))</f>
        <v>367.11183928586667</v>
      </c>
      <c r="CE5" s="62">
        <f t="shared" ref="CE5:CE68" si="40">$CE$3</f>
        <v>281.52963027844595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6.0588235294117645</v>
      </c>
      <c r="CT5" s="13">
        <f>IF('Données projet'!$A$140&gt;35,CT4+CS5-DB4,IF(A5&lt;'Données projet'!$A$140,$CQ$205^A5,IF(A5='Données projet'!$A$140,'Données projet'!$B$140,CT4+CS5-DB4)))</f>
        <v>1.7250606924776077</v>
      </c>
      <c r="CU5" s="18">
        <f>CT5*VLOOKUP('Données projet'!$B$13,Paramètres!$A$1:$I$89,3,0)*VLOOKUP('Données projet'!$B$13,Paramètres!$A$1:$I$89,5,0)</f>
        <v>1.0315862941016096</v>
      </c>
      <c r="CV5" s="14">
        <f t="shared" ref="CV5:CV68" si="41">EXP(-1.0587+0.8836*LN(CU5)+0.284)</f>
        <v>0.47368058088508075</v>
      </c>
      <c r="CW5" s="22">
        <f t="shared" si="13"/>
        <v>2.621673140601819</v>
      </c>
      <c r="CX5" s="62">
        <f t="shared" si="14"/>
        <v>261.73278425171299</v>
      </c>
      <c r="CY5" s="62">
        <f ca="1">AVERAGE(OFFSET($CX$3,0,0,'Données projet'!$E$13+1,1))-AVERAGE(OFFSET($H$3,0,0,'Données projet'!$E$13+1,1))</f>
        <v>308.47522272937135</v>
      </c>
      <c r="CZ5" s="62">
        <f t="shared" ref="CZ5:CZ68" si="42">$CZ$3</f>
        <v>302.54354650449721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4.3</v>
      </c>
      <c r="DO5" s="13">
        <f>IF('Données projet'!$A$166&gt;35,DO4+DN5-DW4,IF(A5&lt;'Données projet'!$A$166,$DL$205^A5,IF(A5='Données projet'!$A$166,'Données projet'!$B$166,DO4+DN5-DW4)))</f>
        <v>1.742908663329185</v>
      </c>
      <c r="DP5" s="18">
        <f>DO5*VLOOKUP('Données projet'!$B$14,Paramètres!$A$1:$I$89,3,0)*VLOOKUP('Données projet'!$B$14,Paramètres!$A$1:$I$89,5,0)</f>
        <v>1.3866581325446998</v>
      </c>
      <c r="DQ5" s="14">
        <f t="shared" ref="DQ5:DQ68" si="43">EXP(-1.0587+0.8836*LN(DP5)+0.284)</f>
        <v>0.61517153172109396</v>
      </c>
      <c r="DR5" s="22">
        <f t="shared" si="16"/>
        <v>3.4865199985962576</v>
      </c>
      <c r="DS5" s="62">
        <f t="shared" si="17"/>
        <v>262.59763110970738</v>
      </c>
      <c r="DT5" s="62">
        <f ca="1">AVERAGE(OFFSET($DS$3,0,0,'Données projet'!$E$14+1,1))-AVERAGE(OFFSET($H$3,0,0,'Données projet'!$E$14+1,1))</f>
        <v>370.58277541710277</v>
      </c>
      <c r="DU5" s="62">
        <f t="shared" ref="DU5:DU68" si="44">$DU$3</f>
        <v>404.61777090709171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6.2222222222222223</v>
      </c>
      <c r="EJ5" s="13">
        <f>IF('Données projet'!$A$192&gt;35,EJ4+EI5-ER4,IF(A5&lt;'Données projet'!$A$192,$EG$205^A5,IF(A5='Données projet'!$A$192,'Données projet'!$B$192,EJ4+EI5-ER4)))</f>
        <v>1.6892381903525915</v>
      </c>
      <c r="EK5" s="18">
        <f>EJ5*VLOOKUP('Données projet'!$B$15,Paramètres!$A$1:$I$89,3,0)*VLOOKUP('Données projet'!$B$15,Paramètres!$A$1:$I$89,5,0)</f>
        <v>1.0540846307800171</v>
      </c>
      <c r="EL5" s="14">
        <f t="shared" ref="EL5:EL68" si="45">EXP(-1.0587+0.8836*LN(EK5)+0.284)</f>
        <v>0.48279730809434274</v>
      </c>
      <c r="EM5" s="22">
        <f t="shared" si="19"/>
        <v>2.6767360435395098</v>
      </c>
      <c r="EN5" s="62">
        <f t="shared" si="20"/>
        <v>261.78784715465065</v>
      </c>
      <c r="EO5" s="62">
        <f ca="1">AVERAGE(OFFSET($EN$3,0,0,'Données projet'!$E$15+1,1))-AVERAGE(OFFSET($H$3,0,0,'Données projet'!$E$15+1,1))</f>
        <v>240.22884864766218</v>
      </c>
      <c r="EP5" s="62">
        <f t="shared" ref="EP5:EP68" si="46">$EP$3</f>
        <v>343.23776884143166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1.4</v>
      </c>
      <c r="FE5" s="13">
        <f>IF('Données projet'!$A$218&gt;35,FE4+FD5-FM4,IF(A5&lt;'Données projet'!$A$218,$FB$205^A5,IF(A5='Données projet'!$A$218,'Données projet'!$B$218,FE4+FD5-FM4)))</f>
        <v>1.395454894014972</v>
      </c>
      <c r="FF5" s="18">
        <f>FE5*VLOOKUP('Données projet'!$B$16,Paramètres!$A$1:$I$89,3,0)*VLOOKUP('Données projet'!$B$16,Paramètres!$A$1:$I$89,5,0)</f>
        <v>0.65307289039900684</v>
      </c>
      <c r="FG5" s="14">
        <f t="shared" ref="FG5:FG68" si="47">EXP(-1.0587+0.8836*LN(FF5)+0.284)</f>
        <v>0.31626576584246652</v>
      </c>
      <c r="FH5" s="22">
        <f t="shared" si="22"/>
        <v>1.6882648262872328</v>
      </c>
      <c r="FI5" s="62">
        <f t="shared" si="23"/>
        <v>260.79937593739839</v>
      </c>
      <c r="FJ5" s="62">
        <f ca="1">AVERAGE(OFFSET($FI$3,0,0,'Données projet'!$E$16+1,1))-AVERAGE(OFFSET($H$3,0,0,'Données projet'!$E$16+1,1))</f>
        <v>399.92909819003523</v>
      </c>
      <c r="FK5" s="62">
        <f t="shared" ref="FK5:FK68" si="48">$FK$3</f>
        <v>163.7053537268381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4.3</v>
      </c>
      <c r="FZ5" s="13">
        <f>IF('Données projet'!$A$244&gt;35,FZ4+FY5-GH4,IF(A5&lt;'Données projet'!$A$244,$FW$205^A5,IF(A5='Données projet'!$A$244,'Données projet'!$B$244,FZ4+FY5-GH4)))</f>
        <v>1.742908663329185</v>
      </c>
      <c r="GA5" s="18">
        <f>FZ5*VLOOKUP('Données projet'!$B$17,Paramètres!$A$1:$I$89,3,0)*VLOOKUP('Données projet'!$B$17,Paramètres!$A$1:$I$89,5,0)</f>
        <v>1.2779006319529584</v>
      </c>
      <c r="GB5" s="14">
        <f t="shared" ref="GB5:GB68" si="49">EXP(-1.0587+0.8836*LN(GA5)+0.284)</f>
        <v>0.57233840528880131</v>
      </c>
      <c r="GC5" s="22">
        <f t="shared" si="25"/>
        <v>3.2224996565293975</v>
      </c>
      <c r="GD5" s="62">
        <f t="shared" si="26"/>
        <v>262.33361076764055</v>
      </c>
      <c r="GE5" s="62">
        <f ca="1">AVERAGE(OFFSET($GD$3,0,0,'Données projet'!$E$17+1,1))-AVERAGE(OFFSET($H$3,0,0,'Données projet'!$E$17+1,1))</f>
        <v>344.4426665022238</v>
      </c>
      <c r="GF5" s="62">
        <f t="shared" ref="GF5:GF68" si="50">$GF$3</f>
        <v>376.41441893222185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5.0333333333333332</v>
      </c>
      <c r="GU5" s="13">
        <f>IF('Données projet'!$A$270&gt;35,GU4+GT5-HC4,IF(A5&lt;'Données projet'!$A$270,$GR$205^A5,IF(A5='Données projet'!$A$270,'Données projet'!$B$270,GU4+GT5-HC4)))</f>
        <v>1.3972210818165391</v>
      </c>
      <c r="GV5" s="18">
        <f>GU5*VLOOKUP('Données projet'!$B$18,Paramètres!$A$1:$I$89,3,0)*VLOOKUP('Données projet'!$B$18,Paramètres!$A$1:$I$89,5,0)</f>
        <v>0.67206334035375537</v>
      </c>
      <c r="GW5" s="14">
        <f t="shared" ref="GW5:GW68" si="51">EXP(-1.0587+0.8836*LN(GV5)+0.284)</f>
        <v>0.32437824744449378</v>
      </c>
      <c r="GX5" s="22">
        <f t="shared" si="28"/>
        <v>1.7354690987486172</v>
      </c>
      <c r="GY5" s="62">
        <f t="shared" si="29"/>
        <v>260.84658020985978</v>
      </c>
      <c r="GZ5" s="62">
        <f ca="1">AVERAGE(OFFSET($GY$3,0,0,'Données projet'!$E$18+1,1))-AVERAGE(OFFSET($H$3,0,0,'Données projet'!$E$18+1,1))</f>
        <v>441.17479680509746</v>
      </c>
      <c r="HA5" s="62">
        <f t="shared" ref="HA5:HA68" si="52">$HA$3</f>
        <v>198.56576128410069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</v>
      </c>
      <c r="N6" s="14">
        <f>IF('Données projet'!$A$36&gt;35,N5+M6-V5,IF(A6&lt;'Données projet'!$A$36,$K$205^A6,IF(A6='Données projet'!$A$36,'Données projet'!$B$36,N5+M6-V5)))</f>
        <v>2.1465727583654437</v>
      </c>
      <c r="O6" s="14">
        <f>N6*VLOOKUP('Données projet'!$B$9,Paramètres!$A$1:$I$89,3,0)*VLOOKUP('Données projet'!$B$9,Paramètres!$A$1:$I$89,5,0)</f>
        <v>1.199934171926283</v>
      </c>
      <c r="P6" s="14">
        <f t="shared" si="33"/>
        <v>0.54137171618945512</v>
      </c>
      <c r="Q6" s="22">
        <f t="shared" si="2"/>
        <v>3.0327744218015771</v>
      </c>
      <c r="R6" s="62">
        <f t="shared" si="0"/>
        <v>263.36610775513492</v>
      </c>
      <c r="S6" s="62">
        <f ca="1">AVERAGE(OFFSET($R$3,0,0,'Données projet'!$E$9+1,1))-AVERAGE(OFFSET($H$3,0,0,'Données projet'!$E$9+1,1))</f>
        <v>374.79806286316051</v>
      </c>
      <c r="T6" s="62">
        <f t="shared" si="34"/>
        <v>350.01856672839466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3.5</v>
      </c>
      <c r="AI6" s="14">
        <f>IF('Données projet'!$A$62&gt;35,AI5+AH6-AQ5,IF(A6&lt;'Données projet'!$A$62,$AF$205^A6,IF(A6='Données projet'!$A$62,'Données projet'!$B$62,AI5+AH6-AQ5)))</f>
        <v>2.905496879244224</v>
      </c>
      <c r="AJ6" s="14">
        <f>AI6*VLOOKUP('Données projet'!$B$10,Paramètres!$A$1:$I$89,3,0)*VLOOKUP('Données projet'!$B$10,Paramètres!$A$1:$I$89,5,0)</f>
        <v>2.5382420737077545</v>
      </c>
      <c r="AK6" s="14">
        <f t="shared" si="35"/>
        <v>1.049536285118966</v>
      </c>
      <c r="AL6" s="22">
        <f t="shared" si="4"/>
        <v>6.2487139749565381</v>
      </c>
      <c r="AM6" s="62">
        <f t="shared" si="5"/>
        <v>266.58204730828987</v>
      </c>
      <c r="AN6" s="62">
        <f ca="1">AVERAGE(OFFSET($AM$3,0,0,'Données projet'!$E$10+1,1))-AVERAGE(OFFSET($H$3,0,0,'Données projet'!$E$10+1,1))</f>
        <v>401.89597032936751</v>
      </c>
      <c r="AO6" s="62">
        <f t="shared" si="36"/>
        <v>417.85733543972361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1.5850391202371266</v>
      </c>
      <c r="BF6" s="14">
        <f t="shared" si="37"/>
        <v>0.69232082604846479</v>
      </c>
      <c r="BG6" s="22">
        <f t="shared" si="7"/>
        <v>3.966401906447405</v>
      </c>
      <c r="BH6" s="62">
        <f t="shared" si="8"/>
        <v>264.29973523978072</v>
      </c>
      <c r="BI6" s="62">
        <f ca="1">AVERAGE(OFFSET($BH$3,0,0,'Données projet'!$E$11+1,1))-AVERAGE(OFFSET($H$3,0,0,'Données projet'!$E$11+1,1))</f>
        <v>430.40491895612814</v>
      </c>
      <c r="BJ6" s="62">
        <f t="shared" si="38"/>
        <v>231.36959598460686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2.4358974358974361</v>
      </c>
      <c r="BY6" s="13">
        <f>IF('Données projet'!$A$114&gt;35,BY5+BX6-CG5,IF(A6&lt;'Données projet'!$A$114,$BV$205^A6,IF(A6='Données projet'!$A$114,'Données projet'!$B$114,BY5+BX6-CG5)))</f>
        <v>2.0537617042422203</v>
      </c>
      <c r="BZ6" s="14">
        <f>BY6*VLOOKUP('Données projet'!$B$12,Paramètres!$A$1:$I$89,3,0)*VLOOKUP('Données projet'!$B$12,Paramètres!$A$1:$I$89,5,0)</f>
        <v>1.9543596377568968</v>
      </c>
      <c r="CA6" s="14">
        <f t="shared" si="39"/>
        <v>0.83307409051865666</v>
      </c>
      <c r="CB6" s="22">
        <f t="shared" si="10"/>
        <v>4.8547804100799219</v>
      </c>
      <c r="CC6" s="62">
        <f t="shared" si="11"/>
        <v>265.18811374341323</v>
      </c>
      <c r="CD6" s="62">
        <f ca="1">AVERAGE(OFFSET($CC$3,0,0,'Données projet'!$E$12+1,1))-AVERAGE(OFFSET($H$3,0,0,'Données projet'!$E$12+1,1))</f>
        <v>367.11183928586667</v>
      </c>
      <c r="CE6" s="62">
        <f t="shared" si="40"/>
        <v>281.52963027844595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6.0588235294117645</v>
      </c>
      <c r="CT6" s="13">
        <f>IF('Données projet'!$A$140&gt;35,CT5+CS6-DB5,IF(A6&lt;'Données projet'!$A$140,$CQ$205^A6,IF(A6='Données projet'!$A$140,'Données projet'!$B$140,CT5+CS6-DB5)))</f>
        <v>2.2657217256811961</v>
      </c>
      <c r="CU6" s="18">
        <f>CT6*VLOOKUP('Données projet'!$B$13,Paramètres!$A$1:$I$89,3,0)*VLOOKUP('Données projet'!$B$13,Paramètres!$A$1:$I$89,5,0)</f>
        <v>1.3549015919573553</v>
      </c>
      <c r="CV6" s="14">
        <f t="shared" si="41"/>
        <v>0.60270633380684457</v>
      </c>
      <c r="CW6" s="22">
        <f t="shared" si="13"/>
        <v>3.4095004707059817</v>
      </c>
      <c r="CX6" s="62">
        <f t="shared" si="14"/>
        <v>263.74283380403932</v>
      </c>
      <c r="CY6" s="62">
        <f ca="1">AVERAGE(OFFSET($CX$3,0,0,'Données projet'!$E$13+1,1))-AVERAGE(OFFSET($H$3,0,0,'Données projet'!$E$13+1,1))</f>
        <v>308.47522272937135</v>
      </c>
      <c r="CZ6" s="62">
        <f t="shared" si="42"/>
        <v>302.54354650449721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4.3</v>
      </c>
      <c r="DO6" s="13">
        <f>IF('Données projet'!$A$166&gt;35,DO5+DN6-DW5,IF(A6&lt;'Données projet'!$A$166,$DL$205^A6,IF(A6='Données projet'!$A$166,'Données projet'!$B$166,DO5+DN6-DW5)))</f>
        <v>2.3009752268934327</v>
      </c>
      <c r="DP6" s="18">
        <f>DO6*VLOOKUP('Données projet'!$B$14,Paramètres!$A$1:$I$89,3,0)*VLOOKUP('Données projet'!$B$14,Paramètres!$A$1:$I$89,5,0)</f>
        <v>1.8306558905164152</v>
      </c>
      <c r="DQ6" s="14">
        <f t="shared" si="43"/>
        <v>0.78630558490245461</v>
      </c>
      <c r="DR6" s="22">
        <f t="shared" si="16"/>
        <v>4.5578745696878658</v>
      </c>
      <c r="DS6" s="62">
        <f t="shared" si="17"/>
        <v>264.89120790302115</v>
      </c>
      <c r="DT6" s="62">
        <f ca="1">AVERAGE(OFFSET($DS$3,0,0,'Données projet'!$E$14+1,1))-AVERAGE(OFFSET($H$3,0,0,'Données projet'!$E$14+1,1))</f>
        <v>370.58277541710277</v>
      </c>
      <c r="DU6" s="62">
        <f t="shared" si="44"/>
        <v>404.61777090709171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6.2222222222222223</v>
      </c>
      <c r="EJ6" s="13">
        <f>IF('Données projet'!$A$192&gt;35,EJ5+EI6-ER5,IF(A6&lt;'Données projet'!$A$192,$EG$205^A6,IF(A6='Données projet'!$A$192,'Données projet'!$B$192,EJ5+EI6-ER5)))</f>
        <v>2.1955146386099229</v>
      </c>
      <c r="EK6" s="18">
        <f>EJ6*VLOOKUP('Données projet'!$B$15,Paramètres!$A$1:$I$89,3,0)*VLOOKUP('Données projet'!$B$15,Paramètres!$A$1:$I$89,5,0)</f>
        <v>1.3700011344925918</v>
      </c>
      <c r="EL6" s="14">
        <f t="shared" si="45"/>
        <v>0.60863745619068288</v>
      </c>
      <c r="EM6" s="22">
        <f t="shared" si="19"/>
        <v>3.4461288787733699</v>
      </c>
      <c r="EN6" s="62">
        <f t="shared" si="20"/>
        <v>263.77946221210669</v>
      </c>
      <c r="EO6" s="62">
        <f ca="1">AVERAGE(OFFSET($EN$3,0,0,'Données projet'!$E$15+1,1))-AVERAGE(OFFSET($H$3,0,0,'Données projet'!$E$15+1,1))</f>
        <v>240.22884864766218</v>
      </c>
      <c r="EP6" s="62">
        <f t="shared" si="46"/>
        <v>343.23776884143166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1.4</v>
      </c>
      <c r="FE6" s="13">
        <f>IF('Données projet'!$A$218&gt;35,FE5+FD6-FM5,IF(A6&lt;'Données projet'!$A$218,$FB$205^A6,IF(A6='Données projet'!$A$218,'Données projet'!$B$218,FE5+FD6-FM5)))</f>
        <v>1.6484421271208256</v>
      </c>
      <c r="FF6" s="18">
        <f>FE6*VLOOKUP('Données projet'!$B$16,Paramètres!$A$1:$I$89,3,0)*VLOOKUP('Données projet'!$B$16,Paramètres!$A$1:$I$89,5,0)</f>
        <v>0.77147091549254643</v>
      </c>
      <c r="FG6" s="14">
        <f t="shared" si="47"/>
        <v>0.36642713428952517</v>
      </c>
      <c r="FH6" s="22">
        <f t="shared" si="22"/>
        <v>1.9818391033704412</v>
      </c>
      <c r="FI6" s="62">
        <f t="shared" si="23"/>
        <v>262.31517243670373</v>
      </c>
      <c r="FJ6" s="62">
        <f ca="1">AVERAGE(OFFSET($FI$3,0,0,'Données projet'!$E$16+1,1))-AVERAGE(OFFSET($H$3,0,0,'Données projet'!$E$16+1,1))</f>
        <v>399.92909819003523</v>
      </c>
      <c r="FK6" s="62">
        <f t="shared" si="48"/>
        <v>163.7053537268381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4.3</v>
      </c>
      <c r="FZ6" s="13">
        <f>IF('Données projet'!$A$244&gt;35,FZ5+FY6-GH5,IF(A6&lt;'Données projet'!$A$244,$FW$205^A6,IF(A6='Données projet'!$A$244,'Données projet'!$B$244,FZ5+FY6-GH5)))</f>
        <v>2.3009752268934327</v>
      </c>
      <c r="GA6" s="18">
        <f>FZ6*VLOOKUP('Données projet'!$B$17,Paramètres!$A$1:$I$89,3,0)*VLOOKUP('Données projet'!$B$17,Paramètres!$A$1:$I$89,5,0)</f>
        <v>1.6870750363582649</v>
      </c>
      <c r="GB6" s="14">
        <f t="shared" si="49"/>
        <v>0.73155674690223571</v>
      </c>
      <c r="GC6" s="22">
        <f t="shared" si="25"/>
        <v>4.2124503558453714</v>
      </c>
      <c r="GD6" s="62">
        <f t="shared" si="26"/>
        <v>264.54578368917868</v>
      </c>
      <c r="GE6" s="62">
        <f ca="1">AVERAGE(OFFSET($GD$3,0,0,'Données projet'!$E$17+1,1))-AVERAGE(OFFSET($H$3,0,0,'Données projet'!$E$17+1,1))</f>
        <v>344.4426665022238</v>
      </c>
      <c r="GF6" s="62">
        <f t="shared" si="50"/>
        <v>376.41441893222185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5.0333333333333332</v>
      </c>
      <c r="GU6" s="13">
        <f>IF('Données projet'!$A$270&gt;35,GU5+GT6-HC5,IF(A6&lt;'Données projet'!$A$270,$GR$205^A6,IF(A6='Données projet'!$A$270,'Données projet'!$B$270,GU5+GT6-HC5)))</f>
        <v>1.651572697050816</v>
      </c>
      <c r="GV6" s="18">
        <f>GU6*VLOOKUP('Données projet'!$B$18,Paramètres!$A$1:$I$89,3,0)*VLOOKUP('Données projet'!$B$18,Paramètres!$A$1:$I$89,5,0)</f>
        <v>0.7944064672814426</v>
      </c>
      <c r="GW6" s="14">
        <f t="shared" si="51"/>
        <v>0.37603637499547793</v>
      </c>
      <c r="GX6" s="22">
        <f t="shared" si="28"/>
        <v>2.0385212836323032</v>
      </c>
      <c r="GY6" s="62">
        <f t="shared" si="29"/>
        <v>262.37185461696561</v>
      </c>
      <c r="GZ6" s="62">
        <f ca="1">AVERAGE(OFFSET($GY$3,0,0,'Données projet'!$E$18+1,1))-AVERAGE(OFFSET($H$3,0,0,'Données projet'!$E$18+1,1))</f>
        <v>441.17479680509746</v>
      </c>
      <c r="HA6" s="62">
        <f t="shared" si="52"/>
        <v>198.56576128410069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</v>
      </c>
      <c r="N7" s="14">
        <f>IF('Données projet'!$A$36&gt;35,N6+M7-V6,IF(A7&lt;'Données projet'!$A$36,$K$205^A7,IF(A7='Données projet'!$A$36,'Données projet'!$B$36,N6+M7-V6)))</f>
        <v>2.7690288761929791</v>
      </c>
      <c r="O7" s="14">
        <f>N7*VLOOKUP('Données projet'!$B$9,Paramètres!$A$1:$I$89,3,0)*VLOOKUP('Données projet'!$B$9,Paramètres!$A$1:$I$89,5,0)</f>
        <v>1.5478871417918754</v>
      </c>
      <c r="P7" s="14">
        <f t="shared" si="33"/>
        <v>0.67796254889037699</v>
      </c>
      <c r="Q7" s="22">
        <f t="shared" si="2"/>
        <v>3.8766882112715897</v>
      </c>
      <c r="R7" s="62">
        <f t="shared" si="0"/>
        <v>265.43224376682713</v>
      </c>
      <c r="S7" s="62">
        <f ca="1">AVERAGE(OFFSET($R$3,0,0,'Données projet'!$E$9+1,1))-AVERAGE(OFFSET($H$3,0,0,'Données projet'!$E$9+1,1))</f>
        <v>374.79806286316051</v>
      </c>
      <c r="T7" s="62">
        <f t="shared" si="34"/>
        <v>350.01856672839466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3.5</v>
      </c>
      <c r="AI7" s="14">
        <f>IF('Données projet'!$A$62&gt;35,AI6+AH7-AQ6,IF(A7&lt;'Données projet'!$A$62,$AF$205^A7,IF(A7='Données projet'!$A$62,'Données projet'!$B$62,AI6+AH7-AQ6)))</f>
        <v>4.1459801431212595</v>
      </c>
      <c r="AJ7" s="14">
        <f>AI7*VLOOKUP('Données projet'!$B$10,Paramètres!$A$1:$I$89,3,0)*VLOOKUP('Données projet'!$B$10,Paramètres!$A$1:$I$89,5,0)</f>
        <v>3.6219282530307328</v>
      </c>
      <c r="AK7" s="14">
        <f t="shared" si="35"/>
        <v>1.4369157669903438</v>
      </c>
      <c r="AL7" s="22">
        <f t="shared" si="4"/>
        <v>8.8108200015367082</v>
      </c>
      <c r="AM7" s="62">
        <f t="shared" si="5"/>
        <v>270.36637555709223</v>
      </c>
      <c r="AN7" s="62">
        <f ca="1">AVERAGE(OFFSET($AM$3,0,0,'Données projet'!$E$10+1,1))-AVERAGE(OFFSET($H$3,0,0,'Données projet'!$E$10+1,1))</f>
        <v>401.89597032936751</v>
      </c>
      <c r="AO7" s="62">
        <f t="shared" si="36"/>
        <v>417.85733543972361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1.9107437601419195</v>
      </c>
      <c r="BF7" s="14">
        <f t="shared" si="37"/>
        <v>0.81662477151702284</v>
      </c>
      <c r="BG7" s="22">
        <f t="shared" si="7"/>
        <v>4.7501668593059909</v>
      </c>
      <c r="BH7" s="62">
        <f t="shared" si="8"/>
        <v>266.30572241486152</v>
      </c>
      <c r="BI7" s="62">
        <f ca="1">AVERAGE(OFFSET($BH$3,0,0,'Données projet'!$E$11+1,1))-AVERAGE(OFFSET($H$3,0,0,'Données projet'!$E$11+1,1))</f>
        <v>430.40491895612814</v>
      </c>
      <c r="BJ7" s="62">
        <f t="shared" si="38"/>
        <v>231.36959598460686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2.4358974358974361</v>
      </c>
      <c r="BY7" s="13">
        <f>IF('Données projet'!$A$114&gt;35,BY6+BX7-CG6,IF(A7&lt;'Données projet'!$A$114,$BV$205^A7,IF(A7='Données projet'!$A$114,'Données projet'!$B$114,BY6+BX7-CG6)))</f>
        <v>2.610558332842511</v>
      </c>
      <c r="BZ7" s="14">
        <f>BY7*VLOOKUP('Données projet'!$B$12,Paramètres!$A$1:$I$89,3,0)*VLOOKUP('Données projet'!$B$12,Paramètres!$A$1:$I$89,5,0)</f>
        <v>2.4842073095329336</v>
      </c>
      <c r="CA7" s="14">
        <f t="shared" si="39"/>
        <v>1.029769527335997</v>
      </c>
      <c r="CB7" s="22">
        <f t="shared" si="10"/>
        <v>6.1201763242133866</v>
      </c>
      <c r="CC7" s="62">
        <f t="shared" si="11"/>
        <v>267.67573187976893</v>
      </c>
      <c r="CD7" s="62">
        <f ca="1">AVERAGE(OFFSET($CC$3,0,0,'Données projet'!$E$12+1,1))-AVERAGE(OFFSET($H$3,0,0,'Données projet'!$E$12+1,1))</f>
        <v>367.11183928586667</v>
      </c>
      <c r="CE7" s="62">
        <f t="shared" si="40"/>
        <v>281.52963027844595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6.0588235294117645</v>
      </c>
      <c r="CT7" s="13">
        <f>IF('Données projet'!$A$140&gt;35,CT6+CS7-DB6,IF(A7&lt;'Données projet'!$A$140,$CQ$205^A7,IF(A7='Données projet'!$A$140,'Données projet'!$B$140,CT6+CS7-DB6)))</f>
        <v>2.9758343927313233</v>
      </c>
      <c r="CU7" s="18">
        <f>CT7*VLOOKUP('Données projet'!$B$13,Paramètres!$A$1:$I$89,3,0)*VLOOKUP('Données projet'!$B$13,Paramètres!$A$1:$I$89,5,0)</f>
        <v>1.7795489668533315</v>
      </c>
      <c r="CV7" s="14">
        <f t="shared" si="41"/>
        <v>0.76687738419028983</v>
      </c>
      <c r="CW7" s="22">
        <f t="shared" si="13"/>
        <v>4.4350258947343066</v>
      </c>
      <c r="CX7" s="62">
        <f t="shared" si="14"/>
        <v>265.99058145028982</v>
      </c>
      <c r="CY7" s="62">
        <f ca="1">AVERAGE(OFFSET($CX$3,0,0,'Données projet'!$E$13+1,1))-AVERAGE(OFFSET($H$3,0,0,'Données projet'!$E$13+1,1))</f>
        <v>308.47522272937135</v>
      </c>
      <c r="CZ7" s="62">
        <f t="shared" si="42"/>
        <v>302.54354650449721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4.3</v>
      </c>
      <c r="DO7" s="13">
        <f>IF('Données projet'!$A$166&gt;35,DO6+DN7-DW6,IF(A7&lt;'Données projet'!$A$166,$DL$205^A7,IF(A7='Données projet'!$A$166,'Données projet'!$B$166,DO6+DN7-DW6)))</f>
        <v>3.0377306087079265</v>
      </c>
      <c r="DP7" s="18">
        <f>DO7*VLOOKUP('Données projet'!$B$14,Paramètres!$A$1:$I$89,3,0)*VLOOKUP('Données projet'!$B$14,Paramètres!$A$1:$I$89,5,0)</f>
        <v>2.4168184722880266</v>
      </c>
      <c r="DQ7" s="14">
        <f t="shared" si="43"/>
        <v>1.0050472770074557</v>
      </c>
      <c r="DR7" s="22">
        <f t="shared" si="16"/>
        <v>5.9597495133562974</v>
      </c>
      <c r="DS7" s="62">
        <f t="shared" si="17"/>
        <v>267.51530506891186</v>
      </c>
      <c r="DT7" s="62">
        <f ca="1">AVERAGE(OFFSET($DS$3,0,0,'Données projet'!$E$14+1,1))-AVERAGE(OFFSET($H$3,0,0,'Données projet'!$E$14+1,1))</f>
        <v>370.58277541710277</v>
      </c>
      <c r="DU7" s="62">
        <f t="shared" si="44"/>
        <v>404.61777090709171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6.2222222222222223</v>
      </c>
      <c r="EJ7" s="13">
        <f>IF('Données projet'!$A$192&gt;35,EJ6+EI7-ER6,IF(A7&lt;'Données projet'!$A$192,$EG$205^A7,IF(A7='Données projet'!$A$192,'Données projet'!$B$192,EJ6+EI7-ER6)))</f>
        <v>2.8535256637456983</v>
      </c>
      <c r="EK7" s="18">
        <f>EJ7*VLOOKUP('Données projet'!$B$15,Paramètres!$A$1:$I$89,3,0)*VLOOKUP('Données projet'!$B$15,Paramètres!$A$1:$I$89,5,0)</f>
        <v>1.7806000141773157</v>
      </c>
      <c r="EL7" s="14">
        <f t="shared" si="45"/>
        <v>0.76727758599241935</v>
      </c>
      <c r="EM7" s="22">
        <f t="shared" si="19"/>
        <v>4.4375534869622877</v>
      </c>
      <c r="EN7" s="62">
        <f t="shared" si="20"/>
        <v>265.99310904251786</v>
      </c>
      <c r="EO7" s="62">
        <f ca="1">AVERAGE(OFFSET($EN$3,0,0,'Données projet'!$E$15+1,1))-AVERAGE(OFFSET($H$3,0,0,'Données projet'!$E$15+1,1))</f>
        <v>240.22884864766218</v>
      </c>
      <c r="EP7" s="62">
        <f t="shared" si="46"/>
        <v>343.23776884143166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1.4</v>
      </c>
      <c r="FE7" s="13">
        <f>IF('Données projet'!$A$218&gt;35,FE6+FD7-FM6,IF(A7&lt;'Données projet'!$A$218,$FB$205^A7,IF(A7='Données projet'!$A$218,'Données projet'!$B$218,FE6+FD7-FM6)))</f>
        <v>1.9472943612303368</v>
      </c>
      <c r="FF7" s="18">
        <f>FE7*VLOOKUP('Données projet'!$B$16,Paramètres!$A$1:$I$89,3,0)*VLOOKUP('Données projet'!$B$16,Paramètres!$A$1:$I$89,5,0)</f>
        <v>0.91133376105579766</v>
      </c>
      <c r="FG7" s="14">
        <f t="shared" si="47"/>
        <v>0.42454435239289751</v>
      </c>
      <c r="FH7" s="22">
        <f t="shared" si="22"/>
        <v>2.3266543809231437</v>
      </c>
      <c r="FI7" s="62">
        <f t="shared" si="23"/>
        <v>263.88220993647866</v>
      </c>
      <c r="FJ7" s="62">
        <f ca="1">AVERAGE(OFFSET($FI$3,0,0,'Données projet'!$E$16+1,1))-AVERAGE(OFFSET($H$3,0,0,'Données projet'!$E$16+1,1))</f>
        <v>399.92909819003523</v>
      </c>
      <c r="FK7" s="62">
        <f t="shared" si="48"/>
        <v>163.7053537268381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4.3</v>
      </c>
      <c r="FZ7" s="13">
        <f>IF('Données projet'!$A$244&gt;35,FZ6+FY7-GH6,IF(A7&lt;'Données projet'!$A$244,$FW$205^A7,IF(A7='Données projet'!$A$244,'Données projet'!$B$244,FZ6+FY7-GH6)))</f>
        <v>3.0377306087079265</v>
      </c>
      <c r="GA7" s="18">
        <f>FZ7*VLOOKUP('Données projet'!$B$17,Paramètres!$A$1:$I$89,3,0)*VLOOKUP('Données projet'!$B$17,Paramètres!$A$1:$I$89,5,0)</f>
        <v>2.2272640823046519</v>
      </c>
      <c r="GB7" s="14">
        <f t="shared" si="49"/>
        <v>0.9350679056180633</v>
      </c>
      <c r="GC7" s="22">
        <f t="shared" si="25"/>
        <v>5.507728212298729</v>
      </c>
      <c r="GD7" s="62">
        <f t="shared" si="26"/>
        <v>267.06328376785427</v>
      </c>
      <c r="GE7" s="62">
        <f ca="1">AVERAGE(OFFSET($GD$3,0,0,'Données projet'!$E$17+1,1))-AVERAGE(OFFSET($H$3,0,0,'Données projet'!$E$17+1,1))</f>
        <v>344.4426665022238</v>
      </c>
      <c r="GF7" s="62">
        <f t="shared" si="50"/>
        <v>376.41441893222185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5.0333333333333332</v>
      </c>
      <c r="GU7" s="13">
        <f>IF('Données projet'!$A$270&gt;35,GU6+GT7-HC6,IF(A7&lt;'Données projet'!$A$270,$GR$205^A7,IF(A7='Données projet'!$A$270,'Données projet'!$B$270,GU6+GT7-HC6)))</f>
        <v>1.95222675147258</v>
      </c>
      <c r="GV7" s="18">
        <f>GU7*VLOOKUP('Données projet'!$B$18,Paramètres!$A$1:$I$89,3,0)*VLOOKUP('Données projet'!$B$18,Paramètres!$A$1:$I$89,5,0)</f>
        <v>0.93902106745831093</v>
      </c>
      <c r="GW7" s="14">
        <f t="shared" si="51"/>
        <v>0.43592120135594481</v>
      </c>
      <c r="GX7" s="22">
        <f t="shared" si="28"/>
        <v>2.3946911181848285</v>
      </c>
      <c r="GY7" s="62">
        <f t="shared" si="29"/>
        <v>263.95024667374037</v>
      </c>
      <c r="GZ7" s="62">
        <f ca="1">AVERAGE(OFFSET($GY$3,0,0,'Données projet'!$E$18+1,1))-AVERAGE(OFFSET($H$3,0,0,'Données projet'!$E$18+1,1))</f>
        <v>441.17479680509746</v>
      </c>
      <c r="HA7" s="62">
        <f t="shared" si="52"/>
        <v>198.56576128410069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</v>
      </c>
      <c r="N8" s="14">
        <f>IF('Données projet'!$A$36&gt;35,N7+M8-V7,IF(A8&lt;'Données projet'!$A$36,$K$205^A8,IF(A8='Données projet'!$A$36,'Données projet'!$B$36,N7+M8-V7)))</f>
        <v>3.5719827745457646</v>
      </c>
      <c r="O8" s="14">
        <f>N8*VLOOKUP('Données projet'!$B$9,Paramètres!$A$1:$I$89,3,0)*VLOOKUP('Données projet'!$B$9,Paramètres!$A$1:$I$89,5,0)</f>
        <v>1.9967383709710824</v>
      </c>
      <c r="P8" s="14">
        <f t="shared" si="33"/>
        <v>0.84901594219430265</v>
      </c>
      <c r="Q8" s="22">
        <f t="shared" si="2"/>
        <v>4.9563554287630449</v>
      </c>
      <c r="R8" s="62">
        <f t="shared" si="0"/>
        <v>267.73413320654083</v>
      </c>
      <c r="S8" s="62">
        <f ca="1">AVERAGE(OFFSET($R$3,0,0,'Données projet'!$E$9+1,1))-AVERAGE(OFFSET($H$3,0,0,'Données projet'!$E$9+1,1))</f>
        <v>374.79806286316051</v>
      </c>
      <c r="T8" s="62">
        <f t="shared" si="34"/>
        <v>350.01856672839466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3.5</v>
      </c>
      <c r="AI8" s="14">
        <f>IF('Données projet'!$A$62&gt;35,AI7+AH8-AQ7,IF(A8&lt;'Données projet'!$A$62,$AF$205^A8,IF(A8='Données projet'!$A$62,'Données projet'!$B$62,AI7+AH8-AQ7)))</f>
        <v>5.9160797830996152</v>
      </c>
      <c r="AJ8" s="14">
        <f>AI8*VLOOKUP('Données projet'!$B$10,Paramètres!$A$1:$I$89,3,0)*VLOOKUP('Données projet'!$B$10,Paramètres!$A$1:$I$89,5,0)</f>
        <v>5.1682872985158239</v>
      </c>
      <c r="AK8" s="14">
        <f t="shared" si="35"/>
        <v>1.967275406006004</v>
      </c>
      <c r="AL8" s="22">
        <f t="shared" si="4"/>
        <v>12.427771710375517</v>
      </c>
      <c r="AM8" s="62">
        <f t="shared" si="5"/>
        <v>275.20554948815328</v>
      </c>
      <c r="AN8" s="62">
        <f ca="1">AVERAGE(OFFSET($AM$3,0,0,'Données projet'!$E$10+1,1))-AVERAGE(OFFSET($H$3,0,0,'Données projet'!$E$10+1,1))</f>
        <v>401.89597032936751</v>
      </c>
      <c r="AO8" s="62">
        <f t="shared" si="36"/>
        <v>417.85733543972361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2.3033764090157529</v>
      </c>
      <c r="BF8" s="14">
        <f t="shared" si="37"/>
        <v>0.96324708482559218</v>
      </c>
      <c r="BG8" s="22">
        <f t="shared" si="7"/>
        <v>5.6893692517736758</v>
      </c>
      <c r="BH8" s="62">
        <f t="shared" si="8"/>
        <v>268.46714702955143</v>
      </c>
      <c r="BI8" s="62">
        <f ca="1">AVERAGE(OFFSET($BH$3,0,0,'Données projet'!$E$11+1,1))-AVERAGE(OFFSET($H$3,0,0,'Données projet'!$E$11+1,1))</f>
        <v>430.40491895612814</v>
      </c>
      <c r="BJ8" s="62">
        <f t="shared" si="38"/>
        <v>231.36959598460686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2.4358974358974361</v>
      </c>
      <c r="BY8" s="13">
        <f>IF('Données projet'!$A$114&gt;35,BY7+BX8-CG7,IF(A8&lt;'Données projet'!$A$114,$BV$205^A8,IF(A8='Données projet'!$A$114,'Données projet'!$B$114,BY7+BX8-CG7)))</f>
        <v>3.3183084459586891</v>
      </c>
      <c r="BZ8" s="14">
        <f>BY8*VLOOKUP('Données projet'!$B$12,Paramètres!$A$1:$I$89,3,0)*VLOOKUP('Données projet'!$B$12,Paramètres!$A$1:$I$89,5,0)</f>
        <v>3.1577023171742886</v>
      </c>
      <c r="CA8" s="14">
        <f t="shared" si="39"/>
        <v>1.2729063254981332</v>
      </c>
      <c r="CB8" s="22">
        <f t="shared" si="10"/>
        <v>7.7166433859878012</v>
      </c>
      <c r="CC8" s="62">
        <f t="shared" si="11"/>
        <v>270.49442116376559</v>
      </c>
      <c r="CD8" s="62">
        <f ca="1">AVERAGE(OFFSET($CC$3,0,0,'Données projet'!$E$12+1,1))-AVERAGE(OFFSET($H$3,0,0,'Données projet'!$E$12+1,1))</f>
        <v>367.11183928586667</v>
      </c>
      <c r="CE8" s="62">
        <f t="shared" si="40"/>
        <v>281.52963027844595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6.0588235294117645</v>
      </c>
      <c r="CT8" s="13">
        <f>IF('Données projet'!$A$140&gt;35,CT7+CS8-DB7,IF(A8&lt;'Données projet'!$A$140,$CQ$205^A8,IF(A8='Données projet'!$A$140,'Données projet'!$B$140,CT7+CS8-DB7)))</f>
        <v>3.9085074890651645</v>
      </c>
      <c r="CU8" s="18">
        <f>CT8*VLOOKUP('Données projet'!$B$13,Paramètres!$A$1:$I$89,3,0)*VLOOKUP('Données projet'!$B$13,Paramètres!$A$1:$I$89,5,0)</f>
        <v>2.3372874784609685</v>
      </c>
      <c r="CV8" s="14">
        <f t="shared" si="41"/>
        <v>0.97576695215387577</v>
      </c>
      <c r="CW8" s="22">
        <f t="shared" si="13"/>
        <v>5.770236466654187</v>
      </c>
      <c r="CX8" s="62">
        <f t="shared" si="14"/>
        <v>268.54801424443195</v>
      </c>
      <c r="CY8" s="62">
        <f ca="1">AVERAGE(OFFSET($CX$3,0,0,'Données projet'!$E$13+1,1))-AVERAGE(OFFSET($H$3,0,0,'Données projet'!$E$13+1,1))</f>
        <v>308.47522272937135</v>
      </c>
      <c r="CZ8" s="62">
        <f t="shared" si="42"/>
        <v>302.54354650449721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4.3</v>
      </c>
      <c r="DO8" s="13">
        <f>IF('Données projet'!$A$166&gt;35,DO7+DN8-DW7,IF(A8&lt;'Données projet'!$A$166,$DL$205^A8,IF(A8='Données projet'!$A$166,'Données projet'!$B$166,DO7+DN8-DW7)))</f>
        <v>4.0103896570584014</v>
      </c>
      <c r="DP8" s="18">
        <f>DO8*VLOOKUP('Données projet'!$B$14,Paramètres!$A$1:$I$89,3,0)*VLOOKUP('Données projet'!$B$14,Paramètres!$A$1:$I$89,5,0)</f>
        <v>3.1906660111556646</v>
      </c>
      <c r="DQ8" s="14">
        <f t="shared" si="43"/>
        <v>1.2846405372351675</v>
      </c>
      <c r="DR8" s="22">
        <f t="shared" si="16"/>
        <v>7.7944922384473658</v>
      </c>
      <c r="DS8" s="62">
        <f t="shared" si="17"/>
        <v>270.57227001622516</v>
      </c>
      <c r="DT8" s="62">
        <f ca="1">AVERAGE(OFFSET($DS$3,0,0,'Données projet'!$E$14+1,1))-AVERAGE(OFFSET($H$3,0,0,'Données projet'!$E$14+1,1))</f>
        <v>370.58277541710277</v>
      </c>
      <c r="DU8" s="62">
        <f t="shared" si="44"/>
        <v>404.61777090709171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6.2222222222222223</v>
      </c>
      <c r="EJ8" s="13">
        <f>IF('Données projet'!$A$192&gt;35,EJ7+EI8-ER7,IF(A8&lt;'Données projet'!$A$192,$EG$205^A8,IF(A8='Données projet'!$A$192,'Données projet'!$B$192,EJ7+EI8-ER7)))</f>
        <v>3.7087471750180505</v>
      </c>
      <c r="EK8" s="18">
        <f>EJ8*VLOOKUP('Données projet'!$B$15,Paramètres!$A$1:$I$89,3,0)*VLOOKUP('Données projet'!$B$15,Paramètres!$A$1:$I$89,5,0)</f>
        <v>2.3142582372112632</v>
      </c>
      <c r="EL8" s="14">
        <f t="shared" si="45"/>
        <v>0.96726694681425085</v>
      </c>
      <c r="EM8" s="22">
        <f t="shared" si="19"/>
        <v>5.7153230288444377</v>
      </c>
      <c r="EN8" s="62">
        <f t="shared" si="20"/>
        <v>268.49310080662224</v>
      </c>
      <c r="EO8" s="62">
        <f ca="1">AVERAGE(OFFSET($EN$3,0,0,'Données projet'!$E$15+1,1))-AVERAGE(OFFSET($H$3,0,0,'Données projet'!$E$15+1,1))</f>
        <v>240.22884864766218</v>
      </c>
      <c r="EP8" s="62">
        <f t="shared" si="46"/>
        <v>343.23776884143166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1.4</v>
      </c>
      <c r="FE8" s="13">
        <f>IF('Données projet'!$A$218&gt;35,FE7+FD8-FM7,IF(A8&lt;'Données projet'!$A$218,$FB$205^A8,IF(A8='Données projet'!$A$218,'Données projet'!$B$218,FE7+FD8-FM7)))</f>
        <v>2.3003266337912067</v>
      </c>
      <c r="FF8" s="18">
        <f>FE8*VLOOKUP('Données projet'!$B$16,Paramètres!$A$1:$I$89,3,0)*VLOOKUP('Données projet'!$B$16,Paramètres!$A$1:$I$89,5,0)</f>
        <v>1.0765528646142848</v>
      </c>
      <c r="FG8" s="14">
        <f t="shared" si="47"/>
        <v>0.49187925860941634</v>
      </c>
      <c r="FH8" s="22">
        <f t="shared" si="22"/>
        <v>2.7316859479479461</v>
      </c>
      <c r="FI8" s="62">
        <f t="shared" si="23"/>
        <v>265.50946372572571</v>
      </c>
      <c r="FJ8" s="62">
        <f ca="1">AVERAGE(OFFSET($FI$3,0,0,'Données projet'!$E$16+1,1))-AVERAGE(OFFSET($H$3,0,0,'Données projet'!$E$16+1,1))</f>
        <v>399.92909819003523</v>
      </c>
      <c r="FK8" s="62">
        <f t="shared" si="48"/>
        <v>163.7053537268381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4.3</v>
      </c>
      <c r="FZ8" s="13">
        <f>IF('Données projet'!$A$244&gt;35,FZ7+FY8-GH7,IF(A8&lt;'Données projet'!$A$244,$FW$205^A8,IF(A8='Données projet'!$A$244,'Données projet'!$B$244,FZ7+FY8-GH7)))</f>
        <v>4.0103896570584014</v>
      </c>
      <c r="GA8" s="18">
        <f>FZ8*VLOOKUP('Données projet'!$B$17,Paramètres!$A$1:$I$89,3,0)*VLOOKUP('Données projet'!$B$17,Paramètres!$A$1:$I$89,5,0)</f>
        <v>2.9404176965552198</v>
      </c>
      <c r="GB8" s="14">
        <f t="shared" si="49"/>
        <v>1.1951936631291824</v>
      </c>
      <c r="GC8" s="22">
        <f t="shared" si="25"/>
        <v>7.2028564514503337</v>
      </c>
      <c r="GD8" s="62">
        <f t="shared" si="26"/>
        <v>269.98063422922809</v>
      </c>
      <c r="GE8" s="62">
        <f ca="1">AVERAGE(OFFSET($GD$3,0,0,'Données projet'!$E$17+1,1))-AVERAGE(OFFSET($H$3,0,0,'Données projet'!$E$17+1,1))</f>
        <v>344.4426665022238</v>
      </c>
      <c r="GF8" s="62">
        <f t="shared" si="50"/>
        <v>376.41441893222185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5.0333333333333332</v>
      </c>
      <c r="GU8" s="13">
        <f>IF('Données projet'!$A$270&gt;35,GU7+GT8-HC7,IF(A8&lt;'Données projet'!$A$270,$GR$205^A8,IF(A8='Données projet'!$A$270,'Données projet'!$B$270,GU7+GT8-HC7)))</f>
        <v>2.3076121904720002</v>
      </c>
      <c r="GV8" s="18">
        <f>GU8*VLOOKUP('Données projet'!$B$18,Paramètres!$A$1:$I$89,3,0)*VLOOKUP('Données projet'!$B$18,Paramètres!$A$1:$I$89,5,0)</f>
        <v>1.1099614636170321</v>
      </c>
      <c r="GW8" s="14">
        <f t="shared" si="51"/>
        <v>0.50534285092471554</v>
      </c>
      <c r="GX8" s="22">
        <f t="shared" si="28"/>
        <v>2.8133216811602098</v>
      </c>
      <c r="GY8" s="62">
        <f t="shared" si="29"/>
        <v>265.591099458938</v>
      </c>
      <c r="GZ8" s="62">
        <f ca="1">AVERAGE(OFFSET($GY$3,0,0,'Données projet'!$E$18+1,1))-AVERAGE(OFFSET($H$3,0,0,'Données projet'!$E$18+1,1))</f>
        <v>441.17479680509746</v>
      </c>
      <c r="HA8" s="62">
        <f t="shared" si="52"/>
        <v>198.56576128410069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</v>
      </c>
      <c r="N9" s="14">
        <f>IF('Données projet'!$A$36&gt;35,N8+M9-V8,IF(A9&lt;'Données projet'!$A$36,$K$205^A9,IF(A9='Données projet'!$A$36,'Données projet'!$B$36,N8+M9-V8)))</f>
        <v>4.607774606956629</v>
      </c>
      <c r="O9" s="14">
        <f>N9*VLOOKUP('Données projet'!$B$9,Paramètres!$A$1:$I$89,3,0)*VLOOKUP('Données projet'!$B$9,Paramètres!$A$1:$I$89,5,0)</f>
        <v>2.5757460052887557</v>
      </c>
      <c r="P9" s="14">
        <f t="shared" si="33"/>
        <v>1.0632269751181105</v>
      </c>
      <c r="Q9" s="22">
        <f t="shared" si="2"/>
        <v>6.3378779408752912</v>
      </c>
      <c r="R9" s="62">
        <f t="shared" si="0"/>
        <v>270.33787794087527</v>
      </c>
      <c r="S9" s="62">
        <f ca="1">AVERAGE(OFFSET($R$3,0,0,'Données projet'!$E$9+1,1))-AVERAGE(OFFSET($H$3,0,0,'Données projet'!$E$9+1,1))</f>
        <v>374.79806286316051</v>
      </c>
      <c r="T9" s="62">
        <f t="shared" si="34"/>
        <v>350.01856672839466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3.5</v>
      </c>
      <c r="AI9" s="14">
        <f>IF('Données projet'!$A$62&gt;35,AI8+AH9-AQ8,IF(A9&lt;'Données projet'!$A$62,$AF$205^A9,IF(A9='Données projet'!$A$62,'Données projet'!$B$62,AI8+AH9-AQ8)))</f>
        <v>8.4419121152979262</v>
      </c>
      <c r="AJ9" s="14">
        <f>AI9*VLOOKUP('Données projet'!$B$10,Paramètres!$A$1:$I$89,3,0)*VLOOKUP('Données projet'!$B$10,Paramètres!$A$1:$I$89,5,0)</f>
        <v>7.3748544239242699</v>
      </c>
      <c r="AK9" s="14">
        <f t="shared" si="35"/>
        <v>2.6933885840659002</v>
      </c>
      <c r="AL9" s="22">
        <f t="shared" si="4"/>
        <v>17.535523238916209</v>
      </c>
      <c r="AM9" s="62">
        <f t="shared" si="5"/>
        <v>281.5355232389162</v>
      </c>
      <c r="AN9" s="62">
        <f ca="1">AVERAGE(OFFSET($AM$3,0,0,'Données projet'!$E$10+1,1))-AVERAGE(OFFSET($H$3,0,0,'Données projet'!$E$10+1,1))</f>
        <v>401.89597032936751</v>
      </c>
      <c r="AO9" s="62">
        <f t="shared" si="36"/>
        <v>417.85733543972361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2.7766898902321886</v>
      </c>
      <c r="BF9" s="14">
        <f t="shared" si="37"/>
        <v>1.1361949561012803</v>
      </c>
      <c r="BG9" s="22">
        <f t="shared" si="7"/>
        <v>6.8149411073641248</v>
      </c>
      <c r="BH9" s="62">
        <f t="shared" si="8"/>
        <v>270.81494110736412</v>
      </c>
      <c r="BI9" s="62">
        <f ca="1">AVERAGE(OFFSET($BH$3,0,0,'Données projet'!$E$11+1,1))-AVERAGE(OFFSET($H$3,0,0,'Données projet'!$E$11+1,1))</f>
        <v>430.40491895612814</v>
      </c>
      <c r="BJ9" s="62">
        <f t="shared" si="38"/>
        <v>231.36959598460686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2.4358974358974361</v>
      </c>
      <c r="BY9" s="13">
        <f>IF('Données projet'!$A$114&gt;35,BY8+BX9-CG8,IF(A9&lt;'Données projet'!$A$114,$BV$205^A9,IF(A9='Données projet'!$A$114,'Données projet'!$B$114,BY8+BX9-CG8)))</f>
        <v>4.2179371378119086</v>
      </c>
      <c r="BZ9" s="14">
        <f>BY9*VLOOKUP('Données projet'!$B$12,Paramètres!$A$1:$I$89,3,0)*VLOOKUP('Données projet'!$B$12,Paramètres!$A$1:$I$89,5,0)</f>
        <v>4.0137889803418121</v>
      </c>
      <c r="CA9" s="14">
        <f t="shared" si="39"/>
        <v>1.5734496608040387</v>
      </c>
      <c r="CB9" s="22">
        <f t="shared" si="10"/>
        <v>9.7311072999956902</v>
      </c>
      <c r="CC9" s="62">
        <f t="shared" si="11"/>
        <v>273.7311072999957</v>
      </c>
      <c r="CD9" s="62">
        <f ca="1">AVERAGE(OFFSET($CC$3,0,0,'Données projet'!$E$12+1,1))-AVERAGE(OFFSET($H$3,0,0,'Données projet'!$E$12+1,1))</f>
        <v>367.11183928586667</v>
      </c>
      <c r="CE9" s="62">
        <f t="shared" si="40"/>
        <v>281.52963027844595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6.0588235294117645</v>
      </c>
      <c r="CT9" s="13">
        <f>IF('Données projet'!$A$140&gt;35,CT8+CS9-DB8,IF(A9&lt;'Données projet'!$A$140,$CQ$205^A9,IF(A9='Données projet'!$A$140,'Données projet'!$B$140,CT8+CS9-DB8)))</f>
        <v>5.1334949382237776</v>
      </c>
      <c r="CU9" s="18">
        <f>CT9*VLOOKUP('Données projet'!$B$13,Paramètres!$A$1:$I$89,3,0)*VLOOKUP('Données projet'!$B$13,Paramètres!$A$1:$I$89,5,0)</f>
        <v>3.0698299730578196</v>
      </c>
      <c r="CV9" s="14">
        <f t="shared" si="41"/>
        <v>1.2415559052128844</v>
      </c>
      <c r="CW9" s="22">
        <f t="shared" si="13"/>
        <v>7.5089970713214749</v>
      </c>
      <c r="CX9" s="62">
        <f t="shared" si="14"/>
        <v>271.50899707132146</v>
      </c>
      <c r="CY9" s="62">
        <f ca="1">AVERAGE(OFFSET($CX$3,0,0,'Données projet'!$E$13+1,1))-AVERAGE(OFFSET($H$3,0,0,'Données projet'!$E$13+1,1))</f>
        <v>308.47522272937135</v>
      </c>
      <c r="CZ9" s="62">
        <f t="shared" si="42"/>
        <v>302.54354650449721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4.3</v>
      </c>
      <c r="DO9" s="13">
        <f>IF('Données projet'!$A$166&gt;35,DO8+DN9-DW8,IF(A9&lt;'Données projet'!$A$166,$DL$205^A9,IF(A9='Données projet'!$A$166,'Données projet'!$B$166,DO8+DN9-DW8)))</f>
        <v>5.2944869947772837</v>
      </c>
      <c r="DP9" s="18">
        <f>DO9*VLOOKUP('Données projet'!$B$14,Paramètres!$A$1:$I$89,3,0)*VLOOKUP('Données projet'!$B$14,Paramètres!$A$1:$I$89,5,0)</f>
        <v>4.2122938530448071</v>
      </c>
      <c r="DQ9" s="14">
        <f t="shared" si="43"/>
        <v>1.642013612356283</v>
      </c>
      <c r="DR9" s="22">
        <f t="shared" si="16"/>
        <v>10.196252168906899</v>
      </c>
      <c r="DS9" s="62">
        <f t="shared" si="17"/>
        <v>274.19625216890688</v>
      </c>
      <c r="DT9" s="62">
        <f ca="1">AVERAGE(OFFSET($DS$3,0,0,'Données projet'!$E$14+1,1))-AVERAGE(OFFSET($H$3,0,0,'Données projet'!$E$14+1,1))</f>
        <v>370.58277541710277</v>
      </c>
      <c r="DU9" s="62">
        <f t="shared" si="44"/>
        <v>404.61777090709171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6.2222222222222223</v>
      </c>
      <c r="EJ9" s="13">
        <f>IF('Données projet'!$A$192&gt;35,EJ8+EI9-ER8,IF(A9&lt;'Données projet'!$A$192,$EG$205^A9,IF(A9='Données projet'!$A$192,'Données projet'!$B$192,EJ8+EI9-ER8)))</f>
        <v>4.8202845283504612</v>
      </c>
      <c r="EK9" s="18">
        <f>EJ9*VLOOKUP('Données projet'!$B$15,Paramètres!$A$1:$I$89,3,0)*VLOOKUP('Données projet'!$B$15,Paramètres!$A$1:$I$89,5,0)</f>
        <v>3.0078575456906878</v>
      </c>
      <c r="EL9" s="14">
        <f t="shared" si="45"/>
        <v>1.2193831326236693</v>
      </c>
      <c r="EM9" s="22">
        <f t="shared" si="19"/>
        <v>7.3624441813975059</v>
      </c>
      <c r="EN9" s="62">
        <f t="shared" si="20"/>
        <v>271.36244418139751</v>
      </c>
      <c r="EO9" s="62">
        <f ca="1">AVERAGE(OFFSET($EN$3,0,0,'Données projet'!$E$15+1,1))-AVERAGE(OFFSET($H$3,0,0,'Données projet'!$E$15+1,1))</f>
        <v>240.22884864766218</v>
      </c>
      <c r="EP9" s="62">
        <f t="shared" si="46"/>
        <v>343.23776884143166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1.4</v>
      </c>
      <c r="FE9" s="13">
        <f>IF('Données projet'!$A$218&gt;35,FE8+FD9-FM8,IF(A9&lt;'Données projet'!$A$218,$FB$205^A9,IF(A9='Données projet'!$A$218,'Données projet'!$B$218,FE8+FD9-FM8)))</f>
        <v>2.7173614464666325</v>
      </c>
      <c r="FF9" s="18">
        <f>FE9*VLOOKUP('Données projet'!$B$16,Paramètres!$A$1:$I$89,3,0)*VLOOKUP('Données projet'!$B$16,Paramètres!$A$1:$I$89,5,0)</f>
        <v>1.2717251569463841</v>
      </c>
      <c r="FG9" s="14">
        <f t="shared" si="47"/>
        <v>0.56989382543060962</v>
      </c>
      <c r="FH9" s="22">
        <f t="shared" si="22"/>
        <v>3.2074863943065974</v>
      </c>
      <c r="FI9" s="62">
        <f t="shared" si="23"/>
        <v>267.20748639430661</v>
      </c>
      <c r="FJ9" s="62">
        <f ca="1">AVERAGE(OFFSET($FI$3,0,0,'Données projet'!$E$16+1,1))-AVERAGE(OFFSET($H$3,0,0,'Données projet'!$E$16+1,1))</f>
        <v>399.92909819003523</v>
      </c>
      <c r="FK9" s="62">
        <f t="shared" si="48"/>
        <v>163.7053537268381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4.3</v>
      </c>
      <c r="FZ9" s="13">
        <f>IF('Données projet'!$A$244&gt;35,FZ8+FY9-GH8,IF(A9&lt;'Données projet'!$A$244,$FW$205^A9,IF(A9='Données projet'!$A$244,'Données projet'!$B$244,FZ8+FY9-GH8)))</f>
        <v>5.2944869947772837</v>
      </c>
      <c r="GA9" s="18">
        <f>FZ9*VLOOKUP('Données projet'!$B$17,Paramètres!$A$1:$I$89,3,0)*VLOOKUP('Données projet'!$B$17,Paramètres!$A$1:$I$89,5,0)</f>
        <v>3.8819178645707044</v>
      </c>
      <c r="GB9" s="14">
        <f t="shared" si="49"/>
        <v>1.5276835872577068</v>
      </c>
      <c r="GC9" s="22">
        <f t="shared" si="25"/>
        <v>9.4217225286011494</v>
      </c>
      <c r="GD9" s="62">
        <f t="shared" si="26"/>
        <v>273.42172252860115</v>
      </c>
      <c r="GE9" s="62">
        <f ca="1">AVERAGE(OFFSET($GD$3,0,0,'Données projet'!$E$17+1,1))-AVERAGE(OFFSET($H$3,0,0,'Données projet'!$E$17+1,1))</f>
        <v>344.4426665022238</v>
      </c>
      <c r="GF9" s="62">
        <f t="shared" si="50"/>
        <v>376.41441893222185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5.0333333333333332</v>
      </c>
      <c r="GU9" s="13">
        <f>IF('Données projet'!$A$270&gt;35,GU8+GT9-HC8,IF(A9&lt;'Données projet'!$A$270,$GR$205^A9,IF(A9='Données projet'!$A$270,'Données projet'!$B$270,GU8+GT9-HC8)))</f>
        <v>2.727692373643706</v>
      </c>
      <c r="GV9" s="18">
        <f>GU9*VLOOKUP('Données projet'!$B$18,Paramètres!$A$1:$I$89,3,0)*VLOOKUP('Données projet'!$B$18,Paramètres!$A$1:$I$89,5,0)</f>
        <v>1.3120200317226227</v>
      </c>
      <c r="GW9" s="14">
        <f t="shared" si="51"/>
        <v>0.58582008901237093</v>
      </c>
      <c r="GX9" s="22">
        <f t="shared" si="28"/>
        <v>3.3054048769467799</v>
      </c>
      <c r="GY9" s="62">
        <f t="shared" si="29"/>
        <v>267.3054048769468</v>
      </c>
      <c r="GZ9" s="62">
        <f ca="1">AVERAGE(OFFSET($GY$3,0,0,'Données projet'!$E$18+1,1))-AVERAGE(OFFSET($H$3,0,0,'Données projet'!$E$18+1,1))</f>
        <v>441.17479680509746</v>
      </c>
      <c r="HA9" s="62">
        <f t="shared" si="52"/>
        <v>198.56576128410069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</v>
      </c>
      <c r="N10" s="14">
        <f>IF('Données projet'!$A$36&gt;35,N9+M10-V9,IF(A10&lt;'Données projet'!$A$36,$K$205^A10,IF(A10='Données projet'!$A$36,'Données projet'!$B$36,N9+M10-V9)))</f>
        <v>5.9439219527631275</v>
      </c>
      <c r="O10" s="14">
        <f>N10*VLOOKUP('Données projet'!$B$9,Paramètres!$A$1:$I$89,3,0)*VLOOKUP('Données projet'!$B$9,Paramètres!$A$1:$I$89,5,0)</f>
        <v>3.3226523715945881</v>
      </c>
      <c r="P10" s="14">
        <f t="shared" si="33"/>
        <v>1.3314845392621566</v>
      </c>
      <c r="Q10" s="22">
        <f t="shared" si="2"/>
        <v>8.1059551197421627</v>
      </c>
      <c r="R10" s="62">
        <f t="shared" si="0"/>
        <v>273.32817734196442</v>
      </c>
      <c r="S10" s="62">
        <f ca="1">AVERAGE(OFFSET($R$3,0,0,'Données projet'!$E$9+1,1))-AVERAGE(OFFSET($H$3,0,0,'Données projet'!$E$9+1,1))</f>
        <v>374.79806286316051</v>
      </c>
      <c r="T10" s="62">
        <f t="shared" si="34"/>
        <v>350.01856672839466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3.5</v>
      </c>
      <c r="AI10" s="14">
        <f>IF('Données projet'!$A$62&gt;35,AI9+AH10-AQ9,IF(A10&lt;'Données projet'!$A$62,$AF$205^A10,IF(A10='Données projet'!$A$62,'Données projet'!$B$62,AI9+AH10-AQ9)))</f>
        <v>12.04613236724734</v>
      </c>
      <c r="AJ10" s="14">
        <f>AI10*VLOOKUP('Données projet'!$B$10,Paramètres!$A$1:$I$89,3,0)*VLOOKUP('Données projet'!$B$10,Paramètres!$A$1:$I$89,5,0)</f>
        <v>10.523501236027279</v>
      </c>
      <c r="AK10" s="14">
        <f t="shared" si="35"/>
        <v>3.6875071190486755</v>
      </c>
      <c r="AL10" s="22">
        <f t="shared" si="4"/>
        <v>24.750839551757284</v>
      </c>
      <c r="AM10" s="62">
        <f t="shared" si="5"/>
        <v>289.97306177397951</v>
      </c>
      <c r="AN10" s="62">
        <f ca="1">AVERAGE(OFFSET($AM$3,0,0,'Données projet'!$E$10+1,1))-AVERAGE(OFFSET($H$3,0,0,'Données projet'!$E$10+1,1))</f>
        <v>401.89597032936751</v>
      </c>
      <c r="AO10" s="62">
        <f t="shared" si="36"/>
        <v>417.85733543972361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3.3472630510321921</v>
      </c>
      <c r="BF10" s="14">
        <f t="shared" si="37"/>
        <v>1.34019505338418</v>
      </c>
      <c r="BG10" s="22">
        <f t="shared" si="7"/>
        <v>8.1639895318585136</v>
      </c>
      <c r="BH10" s="62">
        <f t="shared" si="8"/>
        <v>273.38621175408076</v>
      </c>
      <c r="BI10" s="62">
        <f ca="1">AVERAGE(OFFSET($BH$3,0,0,'Données projet'!$E$11+1,1))-AVERAGE(OFFSET($H$3,0,0,'Données projet'!$E$11+1,1))</f>
        <v>430.40491895612814</v>
      </c>
      <c r="BJ10" s="62">
        <f t="shared" si="38"/>
        <v>231.36959598460686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2.4358974358974361</v>
      </c>
      <c r="BY10" s="13">
        <f>IF('Données projet'!$A$114&gt;35,BY9+BX10-CG9,IF(A10&lt;'Données projet'!$A$114,$BV$205^A10,IF(A10='Données projet'!$A$114,'Données projet'!$B$114,BY9+BX10-CG9)))</f>
        <v>5.3614647306823651</v>
      </c>
      <c r="BZ10" s="14">
        <f>BY10*VLOOKUP('Données projet'!$B$12,Paramètres!$A$1:$I$89,3,0)*VLOOKUP('Données projet'!$B$12,Paramètres!$A$1:$I$89,5,0)</f>
        <v>5.1019698377173386</v>
      </c>
      <c r="CA10" s="14">
        <f t="shared" si="39"/>
        <v>1.9449536745097864</v>
      </c>
      <c r="CB10" s="22">
        <f t="shared" si="10"/>
        <v>12.273391783795576</v>
      </c>
      <c r="CC10" s="62">
        <f t="shared" si="11"/>
        <v>277.49561400601783</v>
      </c>
      <c r="CD10" s="62">
        <f ca="1">AVERAGE(OFFSET($CC$3,0,0,'Données projet'!$E$12+1,1))-AVERAGE(OFFSET($H$3,0,0,'Données projet'!$E$12+1,1))</f>
        <v>367.11183928586667</v>
      </c>
      <c r="CE10" s="62">
        <f t="shared" si="40"/>
        <v>281.52963027844595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6.0588235294117645</v>
      </c>
      <c r="CT10" s="13">
        <f>IF('Données projet'!$A$140&gt;35,CT9+CS10-DB9,IF(A10&lt;'Données projet'!$A$140,$CQ$205^A10,IF(A10='Données projet'!$A$140,'Données projet'!$B$140,CT9+CS10-DB9)))</f>
        <v>6.742412635640668</v>
      </c>
      <c r="CU10" s="18">
        <f>CT10*VLOOKUP('Données projet'!$B$13,Paramètres!$A$1:$I$89,3,0)*VLOOKUP('Données projet'!$B$13,Paramètres!$A$1:$I$89,5,0)</f>
        <v>4.0319627561131197</v>
      </c>
      <c r="CV10" s="14">
        <f t="shared" si="41"/>
        <v>1.5797430548005489</v>
      </c>
      <c r="CW10" s="22">
        <f t="shared" si="13"/>
        <v>9.7737209540079721</v>
      </c>
      <c r="CX10" s="62">
        <f t="shared" si="14"/>
        <v>274.99594317623018</v>
      </c>
      <c r="CY10" s="62">
        <f ca="1">AVERAGE(OFFSET($CX$3,0,0,'Données projet'!$E$13+1,1))-AVERAGE(OFFSET($H$3,0,0,'Données projet'!$E$13+1,1))</f>
        <v>308.47522272937135</v>
      </c>
      <c r="CZ10" s="62">
        <f t="shared" si="42"/>
        <v>302.54354650449721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4.3</v>
      </c>
      <c r="DO10" s="13">
        <f>IF('Données projet'!$A$166&gt;35,DO9+DN10-DW9,IF(A10&lt;'Données projet'!$A$166,$DL$205^A10,IF(A10='Données projet'!$A$166,'Données projet'!$B$166,DO9+DN10-DW9)))</f>
        <v>6.9897428766128469</v>
      </c>
      <c r="DP10" s="18">
        <f>DO10*VLOOKUP('Données projet'!$B$14,Paramètres!$A$1:$I$89,3,0)*VLOOKUP('Données projet'!$B$14,Paramètres!$A$1:$I$89,5,0)</f>
        <v>5.5610394326331809</v>
      </c>
      <c r="DQ10" s="14">
        <f t="shared" si="43"/>
        <v>2.0988040039326279</v>
      </c>
      <c r="DR10" s="22">
        <f t="shared" si="16"/>
        <v>13.340893985352116</v>
      </c>
      <c r="DS10" s="62">
        <f t="shared" si="17"/>
        <v>278.56311620757435</v>
      </c>
      <c r="DT10" s="62">
        <f ca="1">AVERAGE(OFFSET($DS$3,0,0,'Données projet'!$E$14+1,1))-AVERAGE(OFFSET($H$3,0,0,'Données projet'!$E$14+1,1))</f>
        <v>370.58277541710277</v>
      </c>
      <c r="DU10" s="62">
        <f t="shared" si="44"/>
        <v>404.61777090709171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6.2222222222222223</v>
      </c>
      <c r="EJ10" s="13">
        <f>IF('Données projet'!$A$192&gt;35,EJ9+EI10-ER9,IF(A10&lt;'Données projet'!$A$192,$EG$205^A10,IF(A10='Données projet'!$A$192,'Données projet'!$B$192,EJ9+EI10-ER9)))</f>
        <v>6.2649573664027773</v>
      </c>
      <c r="EK10" s="18">
        <f>EJ10*VLOOKUP('Données projet'!$B$15,Paramètres!$A$1:$I$89,3,0)*VLOOKUP('Données projet'!$B$15,Paramètres!$A$1:$I$89,5,0)</f>
        <v>3.9093333966353332</v>
      </c>
      <c r="EL10" s="14">
        <f t="shared" si="45"/>
        <v>1.5372128955964925</v>
      </c>
      <c r="EM10" s="22">
        <f t="shared" si="19"/>
        <v>9.4860681256370967</v>
      </c>
      <c r="EN10" s="62">
        <f t="shared" si="20"/>
        <v>274.7082903478593</v>
      </c>
      <c r="EO10" s="62">
        <f ca="1">AVERAGE(OFFSET($EN$3,0,0,'Données projet'!$E$15+1,1))-AVERAGE(OFFSET($H$3,0,0,'Données projet'!$E$15+1,1))</f>
        <v>240.22884864766218</v>
      </c>
      <c r="EP10" s="62">
        <f t="shared" si="46"/>
        <v>343.23776884143166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1.4</v>
      </c>
      <c r="FE10" s="13">
        <f>IF('Données projet'!$A$218&gt;35,FE9+FD10-FM9,IF(A10&lt;'Données projet'!$A$218,$FB$205^A10,IF(A10='Données projet'!$A$218,'Données projet'!$B$218,FE9+FD10-FM9)))</f>
        <v>3.2100020589569258</v>
      </c>
      <c r="FF10" s="18">
        <f>FE10*VLOOKUP('Données projet'!$B$16,Paramètres!$A$1:$I$89,3,0)*VLOOKUP('Données projet'!$B$16,Paramètres!$A$1:$I$89,5,0)</f>
        <v>1.5022809635918413</v>
      </c>
      <c r="FG10" s="14">
        <f t="shared" si="47"/>
        <v>0.66028190166446799</v>
      </c>
      <c r="FH10" s="22">
        <f t="shared" si="22"/>
        <v>3.7664636569880714</v>
      </c>
      <c r="FI10" s="62">
        <f t="shared" si="23"/>
        <v>268.98868587921032</v>
      </c>
      <c r="FJ10" s="62">
        <f ca="1">AVERAGE(OFFSET($FI$3,0,0,'Données projet'!$E$16+1,1))-AVERAGE(OFFSET($H$3,0,0,'Données projet'!$E$16+1,1))</f>
        <v>399.92909819003523</v>
      </c>
      <c r="FK10" s="62">
        <f t="shared" si="48"/>
        <v>163.7053537268381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4.3</v>
      </c>
      <c r="FZ10" s="13">
        <f>IF('Données projet'!$A$244&gt;35,FZ9+FY10-GH9,IF(A10&lt;'Données projet'!$A$244,$FW$205^A10,IF(A10='Données projet'!$A$244,'Données projet'!$B$244,FZ9+FY10-GH9)))</f>
        <v>6.9897428766128469</v>
      </c>
      <c r="GA10" s="18">
        <f>FZ10*VLOOKUP('Données projet'!$B$17,Paramètres!$A$1:$I$89,3,0)*VLOOKUP('Données projet'!$B$17,Paramètres!$A$1:$I$89,5,0)</f>
        <v>5.1248794771325397</v>
      </c>
      <c r="GB10" s="14">
        <f t="shared" si="49"/>
        <v>1.9526686049073585</v>
      </c>
      <c r="GC10" s="22">
        <f t="shared" si="25"/>
        <v>12.32672957621949</v>
      </c>
      <c r="GD10" s="62">
        <f t="shared" si="26"/>
        <v>277.54895179844169</v>
      </c>
      <c r="GE10" s="62">
        <f ca="1">AVERAGE(OFFSET($GD$3,0,0,'Données projet'!$E$17+1,1))-AVERAGE(OFFSET($H$3,0,0,'Données projet'!$E$17+1,1))</f>
        <v>344.4426665022238</v>
      </c>
      <c r="GF10" s="62">
        <f t="shared" si="50"/>
        <v>376.41441893222185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5.0333333333333332</v>
      </c>
      <c r="GU10" s="13">
        <f>IF('Données projet'!$A$270&gt;35,GU9+GT10-HC9,IF(A10&lt;'Données projet'!$A$270,$GR$205^A10,IF(A10='Données projet'!$A$270,'Données projet'!$B$270,GU9+GT10-HC9)))</f>
        <v>3.2242444011843219</v>
      </c>
      <c r="GV10" s="18">
        <f>GU10*VLOOKUP('Données projet'!$B$18,Paramètres!$A$1:$I$89,3,0)*VLOOKUP('Données projet'!$B$18,Paramètres!$A$1:$I$89,5,0)</f>
        <v>1.5508615569696587</v>
      </c>
      <c r="GW10" s="14">
        <f t="shared" si="51"/>
        <v>0.6791135484799582</v>
      </c>
      <c r="GX10" s="22">
        <f t="shared" si="28"/>
        <v>3.8838733086580817</v>
      </c>
      <c r="GY10" s="62">
        <f t="shared" si="29"/>
        <v>269.10609553088034</v>
      </c>
      <c r="GZ10" s="62">
        <f ca="1">AVERAGE(OFFSET($GY$3,0,0,'Données projet'!$E$18+1,1))-AVERAGE(OFFSET($H$3,0,0,'Données projet'!$E$18+1,1))</f>
        <v>441.17479680509746</v>
      </c>
      <c r="HA10" s="62">
        <f t="shared" si="52"/>
        <v>198.56576128410069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</v>
      </c>
      <c r="N11" s="14">
        <f>IF('Données projet'!$A$36&gt;35,N10+M11-V10,IF(A11&lt;'Données projet'!$A$36,$K$205^A11,IF(A11='Données projet'!$A$36,'Données projet'!$B$36,N10+M11-V10)))</f>
        <v>7.6675209171905525</v>
      </c>
      <c r="O11" s="14">
        <f>N11*VLOOKUP('Données projet'!$B$9,Paramètres!$A$1:$I$89,3,0)*VLOOKUP('Données projet'!$B$9,Paramètres!$A$1:$I$89,5,0)</f>
        <v>4.2861441927095187</v>
      </c>
      <c r="P11" s="14">
        <f t="shared" si="33"/>
        <v>1.6674248488637313</v>
      </c>
      <c r="Q11" s="22">
        <f t="shared" si="2"/>
        <v>10.369132747406743</v>
      </c>
      <c r="R11" s="62">
        <f t="shared" si="0"/>
        <v>276.81357719185121</v>
      </c>
      <c r="S11" s="62">
        <f ca="1">AVERAGE(OFFSET($R$3,0,0,'Données projet'!$E$9+1,1))-AVERAGE(OFFSET($H$3,0,0,'Données projet'!$E$9+1,1))</f>
        <v>374.79806286316051</v>
      </c>
      <c r="T11" s="62">
        <f t="shared" si="34"/>
        <v>350.01856672839466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3.5</v>
      </c>
      <c r="AI11" s="14">
        <f>IF('Données projet'!$A$62&gt;35,AI10+AH11-AQ10,IF(A11&lt;'Données projet'!$A$62,$AF$205^A11,IF(A11='Données projet'!$A$62,'Données projet'!$B$62,AI10+AH11-AQ10)))</f>
        <v>17.189151347155779</v>
      </c>
      <c r="AJ11" s="14">
        <f>AI11*VLOOKUP('Données projet'!$B$10,Paramètres!$A$1:$I$89,3,0)*VLOOKUP('Données projet'!$B$10,Paramètres!$A$1:$I$89,5,0)</f>
        <v>15.01644261687529</v>
      </c>
      <c r="AK11" s="14">
        <f t="shared" si="35"/>
        <v>5.0485506745958499</v>
      </c>
      <c r="AL11" s="22">
        <f t="shared" si="4"/>
        <v>34.946529982645565</v>
      </c>
      <c r="AM11" s="62">
        <f t="shared" si="5"/>
        <v>301.39097442709004</v>
      </c>
      <c r="AN11" s="62">
        <f ca="1">AVERAGE(OFFSET($AM$3,0,0,'Données projet'!$E$10+1,1))-AVERAGE(OFFSET($H$3,0,0,'Données projet'!$E$10+1,1))</f>
        <v>401.89597032936751</v>
      </c>
      <c r="AO11" s="62">
        <f t="shared" si="36"/>
        <v>417.85733543972361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4.0350814731667564</v>
      </c>
      <c r="BF11" s="14">
        <f t="shared" si="37"/>
        <v>1.5808227025391921</v>
      </c>
      <c r="BG11" s="22">
        <f t="shared" si="7"/>
        <v>9.7810331060211926</v>
      </c>
      <c r="BH11" s="62">
        <f t="shared" si="8"/>
        <v>276.22547755046565</v>
      </c>
      <c r="BI11" s="62">
        <f ca="1">AVERAGE(OFFSET($BH$3,0,0,'Données projet'!$E$11+1,1))-AVERAGE(OFFSET($H$3,0,0,'Données projet'!$E$11+1,1))</f>
        <v>430.40491895612814</v>
      </c>
      <c r="BJ11" s="62">
        <f t="shared" si="38"/>
        <v>231.36959598460686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2.4358974358974361</v>
      </c>
      <c r="BY11" s="13">
        <f>IF('Données projet'!$A$114&gt;35,BY10+BX11-CG10,IF(A11&lt;'Données projet'!$A$114,$BV$205^A11,IF(A11='Données projet'!$A$114,'Données projet'!$B$114,BY10+BX11-CG10)))</f>
        <v>6.815014809173471</v>
      </c>
      <c r="BZ11" s="14">
        <f>BY11*VLOOKUP('Données projet'!$B$12,Paramètres!$A$1:$I$89,3,0)*VLOOKUP('Données projet'!$B$12,Paramètres!$A$1:$I$89,5,0)</f>
        <v>6.4851680924094746</v>
      </c>
      <c r="CA11" s="14">
        <f t="shared" si="39"/>
        <v>2.4041727487208409</v>
      </c>
      <c r="CB11" s="22">
        <f t="shared" si="10"/>
        <v>15.4822686316353</v>
      </c>
      <c r="CC11" s="62">
        <f t="shared" si="11"/>
        <v>281.92671307607975</v>
      </c>
      <c r="CD11" s="62">
        <f ca="1">AVERAGE(OFFSET($CC$3,0,0,'Données projet'!$E$12+1,1))-AVERAGE(OFFSET($H$3,0,0,'Données projet'!$E$12+1,1))</f>
        <v>367.11183928586667</v>
      </c>
      <c r="CE11" s="62">
        <f t="shared" si="40"/>
        <v>281.52963027844595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6.0588235294117645</v>
      </c>
      <c r="CT11" s="13">
        <f>IF('Données projet'!$A$140&gt;35,CT10+CS11-DB10,IF(A11&lt;'Données projet'!$A$140,$CQ$205^A11,IF(A11='Données projet'!$A$140,'Données projet'!$B$140,CT10+CS11-DB10)))</f>
        <v>8.8555903329626044</v>
      </c>
      <c r="CU11" s="18">
        <f>CT11*VLOOKUP('Données projet'!$B$13,Paramètres!$A$1:$I$89,3,0)*VLOOKUP('Données projet'!$B$13,Paramètres!$A$1:$I$89,5,0)</f>
        <v>5.2956430191116386</v>
      </c>
      <c r="CV11" s="14">
        <f t="shared" si="41"/>
        <v>2.0100489303078644</v>
      </c>
      <c r="CW11" s="22">
        <f t="shared" si="13"/>
        <v>12.724080145238965</v>
      </c>
      <c r="CX11" s="62">
        <f t="shared" si="14"/>
        <v>279.16852458968344</v>
      </c>
      <c r="CY11" s="62">
        <f ca="1">AVERAGE(OFFSET($CX$3,0,0,'Données projet'!$E$13+1,1))-AVERAGE(OFFSET($H$3,0,0,'Données projet'!$E$13+1,1))</f>
        <v>308.47522272937135</v>
      </c>
      <c r="CZ11" s="62">
        <f t="shared" si="42"/>
        <v>302.54354650449721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4.3</v>
      </c>
      <c r="DO11" s="13">
        <f>IF('Données projet'!$A$166&gt;35,DO10+DN11-DW10,IF(A11&lt;'Données projet'!$A$166,$DL$205^A11,IF(A11='Données projet'!$A$166,'Données projet'!$B$166,DO10+DN11-DW10)))</f>
        <v>9.2278072510810301</v>
      </c>
      <c r="DP11" s="18">
        <f>DO11*VLOOKUP('Données projet'!$B$14,Paramètres!$A$1:$I$89,3,0)*VLOOKUP('Données projet'!$B$14,Paramètres!$A$1:$I$89,5,0)</f>
        <v>7.3416434489600677</v>
      </c>
      <c r="DQ11" s="14">
        <f t="shared" si="43"/>
        <v>2.6826685319633268</v>
      </c>
      <c r="DR11" s="22">
        <f t="shared" si="16"/>
        <v>17.459010033441576</v>
      </c>
      <c r="DS11" s="62">
        <f t="shared" si="17"/>
        <v>283.90345447788604</v>
      </c>
      <c r="DT11" s="62">
        <f ca="1">AVERAGE(OFFSET($DS$3,0,0,'Données projet'!$E$14+1,1))-AVERAGE(OFFSET($H$3,0,0,'Données projet'!$E$14+1,1))</f>
        <v>370.58277541710277</v>
      </c>
      <c r="DU11" s="62">
        <f t="shared" si="44"/>
        <v>404.61777090709171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6.2222222222222223</v>
      </c>
      <c r="EJ11" s="13">
        <f>IF('Données projet'!$A$192&gt;35,EJ10+EI11-ER10,IF(A11&lt;'Données projet'!$A$192,$EG$205^A11,IF(A11='Données projet'!$A$192,'Données projet'!$B$192,EJ10+EI11-ER10)))</f>
        <v>8.1426087136553278</v>
      </c>
      <c r="EK11" s="18">
        <f>EJ11*VLOOKUP('Données projet'!$B$15,Paramètres!$A$1:$I$89,3,0)*VLOOKUP('Données projet'!$B$15,Paramètres!$A$1:$I$89,5,0)</f>
        <v>5.080987837320925</v>
      </c>
      <c r="EL11" s="14">
        <f t="shared" si="45"/>
        <v>1.9378843475584122</v>
      </c>
      <c r="EM11" s="22">
        <f t="shared" si="19"/>
        <v>12.224535721998178</v>
      </c>
      <c r="EN11" s="62">
        <f t="shared" si="20"/>
        <v>278.66898016644262</v>
      </c>
      <c r="EO11" s="62">
        <f ca="1">AVERAGE(OFFSET($EN$3,0,0,'Données projet'!$E$15+1,1))-AVERAGE(OFFSET($H$3,0,0,'Données projet'!$E$15+1,1))</f>
        <v>240.22884864766218</v>
      </c>
      <c r="EP11" s="62">
        <f t="shared" si="46"/>
        <v>343.23776884143166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1.4</v>
      </c>
      <c r="FE11" s="13">
        <f>IF('Données projet'!$A$218&gt;35,FE10+FD11-FM10,IF(A11&lt;'Données projet'!$A$218,$FB$205^A11,IF(A11='Données projet'!$A$218,'Données projet'!$B$218,FE10+FD11-FM10)))</f>
        <v>3.7919553292794657</v>
      </c>
      <c r="FF11" s="18">
        <f>FE11*VLOOKUP('Données projet'!$B$16,Paramètres!$A$1:$I$89,3,0)*VLOOKUP('Données projet'!$B$16,Paramètres!$A$1:$I$89,5,0)</f>
        <v>1.7746350941027897</v>
      </c>
      <c r="FG11" s="14">
        <f t="shared" si="47"/>
        <v>0.76500598920549345</v>
      </c>
      <c r="FH11" s="22">
        <f t="shared" si="22"/>
        <v>4.42320822009526</v>
      </c>
      <c r="FI11" s="62">
        <f t="shared" si="23"/>
        <v>270.86765266453972</v>
      </c>
      <c r="FJ11" s="62">
        <f ca="1">AVERAGE(OFFSET($FI$3,0,0,'Données projet'!$E$16+1,1))-AVERAGE(OFFSET($H$3,0,0,'Données projet'!$E$16+1,1))</f>
        <v>399.92909819003523</v>
      </c>
      <c r="FK11" s="62">
        <f t="shared" si="48"/>
        <v>163.7053537268381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4.3</v>
      </c>
      <c r="FZ11" s="13">
        <f>IF('Données projet'!$A$244&gt;35,FZ10+FY11-GH10,IF(A11&lt;'Données projet'!$A$244,$FW$205^A11,IF(A11='Données projet'!$A$244,'Données projet'!$B$244,FZ10+FY11-GH10)))</f>
        <v>9.2278072510810301</v>
      </c>
      <c r="GA11" s="18">
        <f>FZ11*VLOOKUP('Données projet'!$B$17,Paramètres!$A$1:$I$89,3,0)*VLOOKUP('Données projet'!$B$17,Paramètres!$A$1:$I$89,5,0)</f>
        <v>6.765828276492611</v>
      </c>
      <c r="GB11" s="14">
        <f t="shared" si="49"/>
        <v>2.4958798486768337</v>
      </c>
      <c r="GC11" s="22">
        <f t="shared" si="25"/>
        <v>16.130808318003449</v>
      </c>
      <c r="GD11" s="62">
        <f t="shared" si="26"/>
        <v>282.57525276244792</v>
      </c>
      <c r="GE11" s="62">
        <f ca="1">AVERAGE(OFFSET($GD$3,0,0,'Données projet'!$E$17+1,1))-AVERAGE(OFFSET($H$3,0,0,'Données projet'!$E$17+1,1))</f>
        <v>344.4426665022238</v>
      </c>
      <c r="GF11" s="62">
        <f t="shared" si="50"/>
        <v>376.41441893222185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5.0333333333333332</v>
      </c>
      <c r="GU11" s="13">
        <f>IF('Données projet'!$A$270&gt;35,GU10+GT11-HC10,IF(A11&lt;'Données projet'!$A$270,$GR$205^A11,IF(A11='Données projet'!$A$270,'Données projet'!$B$270,GU10+GT11-HC10)))</f>
        <v>3.8111892891651826</v>
      </c>
      <c r="GV11" s="18">
        <f>GU11*VLOOKUP('Données projet'!$B$18,Paramètres!$A$1:$I$89,3,0)*VLOOKUP('Données projet'!$B$18,Paramètres!$A$1:$I$89,5,0)</f>
        <v>1.8331820480884526</v>
      </c>
      <c r="GW11" s="14">
        <f t="shared" si="51"/>
        <v>0.78726424781124482</v>
      </c>
      <c r="GX11" s="22">
        <f t="shared" si="28"/>
        <v>4.5639439653586393</v>
      </c>
      <c r="GY11" s="62">
        <f t="shared" si="29"/>
        <v>271.0083884098031</v>
      </c>
      <c r="GZ11" s="62">
        <f ca="1">AVERAGE(OFFSET($GY$3,0,0,'Données projet'!$E$18+1,1))-AVERAGE(OFFSET($H$3,0,0,'Données projet'!$E$18+1,1))</f>
        <v>441.17479680509746</v>
      </c>
      <c r="HA11" s="62">
        <f t="shared" si="52"/>
        <v>198.56576128410069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</v>
      </c>
      <c r="N12" s="14">
        <f>IF('Données projet'!$A$36&gt;35,N11+M12-V11,IF(A12&lt;'Données projet'!$A$36,$K$205^A12,IF(A12='Données projet'!$A$36,'Données projet'!$B$36,N11+M12-V11)))</f>
        <v>9.8909234479811374</v>
      </c>
      <c r="O12" s="14">
        <f>N12*VLOOKUP('Données projet'!$B$9,Paramètres!$A$1:$I$89,3,0)*VLOOKUP('Données projet'!$B$9,Paramètres!$A$1:$I$89,5,0)</f>
        <v>5.529026207421456</v>
      </c>
      <c r="P12" s="14">
        <f t="shared" si="33"/>
        <v>2.0881246042473354</v>
      </c>
      <c r="Q12" s="22">
        <f t="shared" si="2"/>
        <v>13.266537663656479</v>
      </c>
      <c r="R12" s="62">
        <f t="shared" si="0"/>
        <v>280.93320433032318</v>
      </c>
      <c r="S12" s="62">
        <f ca="1">AVERAGE(OFFSET($R$3,0,0,'Données projet'!$E$9+1,1))-AVERAGE(OFFSET($H$3,0,0,'Données projet'!$E$9+1,1))</f>
        <v>374.79806286316051</v>
      </c>
      <c r="T12" s="62">
        <f t="shared" si="34"/>
        <v>350.01856672839466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3.5</v>
      </c>
      <c r="AI12" s="14">
        <f>IF('Données projet'!$A$62&gt;35,AI11+AH12-AQ11,IF(A12&lt;'Données projet'!$A$62,$AF$205^A12,IF(A12='Données projet'!$A$62,'Données projet'!$B$62,AI11+AH12-AQ11)))</f>
        <v>24.527949305852133</v>
      </c>
      <c r="AJ12" s="14">
        <f>AI12*VLOOKUP('Données projet'!$B$10,Paramètres!$A$1:$I$89,3,0)*VLOOKUP('Données projet'!$B$10,Paramètres!$A$1:$I$89,5,0)</f>
        <v>21.427616513592426</v>
      </c>
      <c r="AK12" s="14">
        <f t="shared" si="35"/>
        <v>6.9119497511743733</v>
      </c>
      <c r="AL12" s="22">
        <f t="shared" si="4"/>
        <v>49.358077911135503</v>
      </c>
      <c r="AM12" s="62">
        <f t="shared" si="5"/>
        <v>317.02474457780221</v>
      </c>
      <c r="AN12" s="62">
        <f ca="1">AVERAGE(OFFSET($AM$3,0,0,'Données projet'!$E$10+1,1))-AVERAGE(OFFSET($H$3,0,0,'Données projet'!$E$10+1,1))</f>
        <v>401.89597032936751</v>
      </c>
      <c r="AO12" s="62">
        <f t="shared" si="36"/>
        <v>417.85733543972361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4.8642375119197085</v>
      </c>
      <c r="BF12" s="14">
        <f t="shared" si="37"/>
        <v>1.8646542609995393</v>
      </c>
      <c r="BG12" s="22">
        <f t="shared" si="7"/>
        <v>11.719486504501022</v>
      </c>
      <c r="BH12" s="62">
        <f t="shared" si="8"/>
        <v>279.38615317116773</v>
      </c>
      <c r="BI12" s="62">
        <f ca="1">AVERAGE(OFFSET($BH$3,0,0,'Données projet'!$E$11+1,1))-AVERAGE(OFFSET($H$3,0,0,'Données projet'!$E$11+1,1))</f>
        <v>430.40491895612814</v>
      </c>
      <c r="BJ12" s="62">
        <f t="shared" si="38"/>
        <v>231.36959598460686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2.4358974358974361</v>
      </c>
      <c r="BY12" s="13">
        <f>IF('Données projet'!$A$114&gt;35,BY11+BX12-CG11,IF(A12&lt;'Données projet'!$A$114,$BV$205^A12,IF(A12='Données projet'!$A$114,'Données projet'!$B$114,BY11+BX12-CG11)))</f>
        <v>8.6626377645391397</v>
      </c>
      <c r="BZ12" s="14">
        <f>BY12*VLOOKUP('Données projet'!$B$12,Paramètres!$A$1:$I$89,3,0)*VLOOKUP('Données projet'!$B$12,Paramètres!$A$1:$I$89,5,0)</f>
        <v>8.2433660967354445</v>
      </c>
      <c r="CA12" s="14">
        <f t="shared" si="39"/>
        <v>2.9718171087795939</v>
      </c>
      <c r="CB12" s="22">
        <f t="shared" si="10"/>
        <v>19.53311074960536</v>
      </c>
      <c r="CC12" s="62">
        <f t="shared" si="11"/>
        <v>287.19977741627207</v>
      </c>
      <c r="CD12" s="62">
        <f ca="1">AVERAGE(OFFSET($CC$3,0,0,'Données projet'!$E$12+1,1))-AVERAGE(OFFSET($H$3,0,0,'Données projet'!$E$12+1,1))</f>
        <v>367.11183928586667</v>
      </c>
      <c r="CE12" s="62">
        <f t="shared" si="40"/>
        <v>281.52963027844595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6.0588235294117645</v>
      </c>
      <c r="CT12" s="13">
        <f>IF('Données projet'!$A$140&gt;35,CT11+CS12-DB11,IF(A12&lt;'Données projet'!$A$140,$CQ$205^A12,IF(A12='Données projet'!$A$140,'Données projet'!$B$140,CT11+CS12-DB11)))</f>
        <v>11.631071010208064</v>
      </c>
      <c r="CU12" s="18">
        <f>CT12*VLOOKUP('Données projet'!$B$13,Paramètres!$A$1:$I$89,3,0)*VLOOKUP('Données projet'!$B$13,Paramètres!$A$1:$I$89,5,0)</f>
        <v>6.9553804641044223</v>
      </c>
      <c r="CV12" s="14">
        <f t="shared" si="41"/>
        <v>2.5575657319423368</v>
      </c>
      <c r="CW12" s="22">
        <f t="shared" si="13"/>
        <v>16.568381291448102</v>
      </c>
      <c r="CX12" s="62">
        <f t="shared" si="14"/>
        <v>284.23504795811476</v>
      </c>
      <c r="CY12" s="62">
        <f ca="1">AVERAGE(OFFSET($CX$3,0,0,'Données projet'!$E$13+1,1))-AVERAGE(OFFSET($H$3,0,0,'Données projet'!$E$13+1,1))</f>
        <v>308.47522272937135</v>
      </c>
      <c r="CZ12" s="62">
        <f t="shared" si="42"/>
        <v>302.54354650449721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4.3</v>
      </c>
      <c r="DO12" s="13">
        <f>IF('Données projet'!$A$166&gt;35,DO11+DN12-DW11,IF(A12&lt;'Données projet'!$A$166,$DL$205^A12,IF(A12='Données projet'!$A$166,'Données projet'!$B$166,DO11+DN12-DW11)))</f>
        <v>12.182483414091989</v>
      </c>
      <c r="DP12" s="18">
        <f>DO12*VLOOKUP('Données projet'!$B$14,Paramètres!$A$1:$I$89,3,0)*VLOOKUP('Données projet'!$B$14,Paramètres!$A$1:$I$89,5,0)</f>
        <v>9.6923838042515875</v>
      </c>
      <c r="DQ12" s="14">
        <f t="shared" si="43"/>
        <v>3.4289578440394908</v>
      </c>
      <c r="DR12" s="22">
        <f t="shared" si="16"/>
        <v>22.853003370773624</v>
      </c>
      <c r="DS12" s="62">
        <f t="shared" si="17"/>
        <v>290.51967003744033</v>
      </c>
      <c r="DT12" s="62">
        <f ca="1">AVERAGE(OFFSET($DS$3,0,0,'Données projet'!$E$14+1,1))-AVERAGE(OFFSET($H$3,0,0,'Données projet'!$E$14+1,1))</f>
        <v>370.58277541710277</v>
      </c>
      <c r="DU12" s="62">
        <f t="shared" si="44"/>
        <v>404.61777090709171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6.2222222222222223</v>
      </c>
      <c r="EJ12" s="13">
        <f>IF('Données projet'!$A$192&gt;35,EJ11+EI12-ER11,IF(A12&lt;'Données projet'!$A$192,$EG$205^A12,IF(A12='Données projet'!$A$192,'Données projet'!$B$192,EJ11+EI12-ER11)))</f>
        <v>10.583005244258365</v>
      </c>
      <c r="EK12" s="18">
        <f>EJ12*VLOOKUP('Données projet'!$B$15,Paramètres!$A$1:$I$89,3,0)*VLOOKUP('Données projet'!$B$15,Paramètres!$A$1:$I$89,5,0)</f>
        <v>6.6037952724172193</v>
      </c>
      <c r="EL12" s="14">
        <f t="shared" si="45"/>
        <v>2.4429900082608067</v>
      </c>
      <c r="EM12" s="22">
        <f t="shared" si="19"/>
        <v>15.75648436384756</v>
      </c>
      <c r="EN12" s="62">
        <f t="shared" si="20"/>
        <v>283.42315103051425</v>
      </c>
      <c r="EO12" s="62">
        <f ca="1">AVERAGE(OFFSET($EN$3,0,0,'Données projet'!$E$15+1,1))-AVERAGE(OFFSET($H$3,0,0,'Données projet'!$E$15+1,1))</f>
        <v>240.22884864766218</v>
      </c>
      <c r="EP12" s="62">
        <f t="shared" si="46"/>
        <v>343.23776884143166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1.4</v>
      </c>
      <c r="FE12" s="13">
        <f>IF('Données projet'!$A$218&gt;35,FE11+FD12-FM11,IF(A12&lt;'Données projet'!$A$218,$FB$205^A12,IF(A12='Données projet'!$A$218,'Données projet'!$B$218,FE11+FD12-FM11)))</f>
        <v>4.4794130829695789</v>
      </c>
      <c r="FF12" s="18">
        <f>FE12*VLOOKUP('Données projet'!$B$16,Paramètres!$A$1:$I$89,3,0)*VLOOKUP('Données projet'!$B$16,Paramètres!$A$1:$I$89,5,0)</f>
        <v>2.096365322829763</v>
      </c>
      <c r="FG12" s="14">
        <f t="shared" si="47"/>
        <v>0.88633985278862137</v>
      </c>
      <c r="FH12" s="22">
        <f t="shared" si="22"/>
        <v>5.1948781808686864</v>
      </c>
      <c r="FI12" s="62">
        <f t="shared" si="23"/>
        <v>272.86154484753536</v>
      </c>
      <c r="FJ12" s="62">
        <f ca="1">AVERAGE(OFFSET($FI$3,0,0,'Données projet'!$E$16+1,1))-AVERAGE(OFFSET($H$3,0,0,'Données projet'!$E$16+1,1))</f>
        <v>399.92909819003523</v>
      </c>
      <c r="FK12" s="62">
        <f t="shared" si="48"/>
        <v>163.7053537268381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4.3</v>
      </c>
      <c r="FZ12" s="13">
        <f>IF('Données projet'!$A$244&gt;35,FZ11+FY12-GH11,IF(A12&lt;'Données projet'!$A$244,$FW$205^A12,IF(A12='Données projet'!$A$244,'Données projet'!$B$244,FZ11+FY12-GH11)))</f>
        <v>12.182483414091989</v>
      </c>
      <c r="GA12" s="18">
        <f>FZ12*VLOOKUP('Données projet'!$B$17,Paramètres!$A$1:$I$89,3,0)*VLOOKUP('Données projet'!$B$17,Paramètres!$A$1:$I$89,5,0)</f>
        <v>8.9321968392122457</v>
      </c>
      <c r="GB12" s="14">
        <f t="shared" si="49"/>
        <v>3.1902065733917206</v>
      </c>
      <c r="GC12" s="22">
        <f t="shared" si="25"/>
        <v>21.113185943618571</v>
      </c>
      <c r="GD12" s="62">
        <f t="shared" si="26"/>
        <v>288.77985261028527</v>
      </c>
      <c r="GE12" s="62">
        <f ca="1">AVERAGE(OFFSET($GD$3,0,0,'Données projet'!$E$17+1,1))-AVERAGE(OFFSET($H$3,0,0,'Données projet'!$E$17+1,1))</f>
        <v>344.4426665022238</v>
      </c>
      <c r="GF12" s="62">
        <f t="shared" si="50"/>
        <v>376.41441893222185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5.0333333333333332</v>
      </c>
      <c r="GU12" s="13">
        <f>IF('Données projet'!$A$270&gt;35,GU11+GT12-HC11,IF(A12&lt;'Données projet'!$A$270,$GR$205^A12,IF(A12='Données projet'!$A$270,'Données projet'!$B$270,GU11+GT12-HC11)))</f>
        <v>4.5049822502636774</v>
      </c>
      <c r="GV12" s="18">
        <f>GU12*VLOOKUP('Données projet'!$B$18,Paramètres!$A$1:$I$89,3,0)*VLOOKUP('Données projet'!$B$18,Paramètres!$A$1:$I$89,5,0)</f>
        <v>2.1668964623768288</v>
      </c>
      <c r="GW12" s="14">
        <f t="shared" si="51"/>
        <v>0.91263824329385457</v>
      </c>
      <c r="GX12" s="22">
        <f t="shared" si="28"/>
        <v>5.3635229457097742</v>
      </c>
      <c r="GY12" s="62">
        <f t="shared" si="29"/>
        <v>273.03018961237643</v>
      </c>
      <c r="GZ12" s="62">
        <f ca="1">AVERAGE(OFFSET($GY$3,0,0,'Données projet'!$E$18+1,1))-AVERAGE(OFFSET($H$3,0,0,'Données projet'!$E$18+1,1))</f>
        <v>441.17479680509746</v>
      </c>
      <c r="HA12" s="62">
        <f t="shared" si="52"/>
        <v>198.56576128410069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</v>
      </c>
      <c r="N13" s="14">
        <f>IF('Données projet'!$A$36&gt;35,N12+M13-V12,IF(A13&lt;'Données projet'!$A$36,$K$205^A13,IF(A13='Données projet'!$A$36,'Données projet'!$B$36,N12+M13-V12)))</f>
        <v>12.75906094165166</v>
      </c>
      <c r="O13" s="14">
        <f>N13*VLOOKUP('Données projet'!$B$9,Paramètres!$A$1:$I$89,3,0)*VLOOKUP('Données projet'!$B$9,Paramètres!$A$1:$I$89,5,0)</f>
        <v>7.1323150663832777</v>
      </c>
      <c r="P13" s="14">
        <f t="shared" si="33"/>
        <v>2.6149690439328648</v>
      </c>
      <c r="Q13" s="22">
        <f t="shared" si="2"/>
        <v>16.976519825467278</v>
      </c>
      <c r="R13" s="62">
        <f t="shared" si="0"/>
        <v>285.86540871435614</v>
      </c>
      <c r="S13" s="62">
        <f ca="1">AVERAGE(OFFSET($R$3,0,0,'Données projet'!$E$9+1,1))-AVERAGE(OFFSET($H$3,0,0,'Données projet'!$E$9+1,1))</f>
        <v>374.79806286316051</v>
      </c>
      <c r="T13" s="62">
        <f t="shared" si="34"/>
        <v>350.01856672839466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35</v>
      </c>
      <c r="AG13" s="13">
        <f>VLOOKUP(A13,'Données projet'!$A$61:$I$81,9,0)</f>
        <v>3.5</v>
      </c>
      <c r="AH13" s="13">
        <f t="array" ref="AH13">INDEX(AG:AG,MIN(IF(ISNUMBER(AG13:AG209),ROW(AG13:AG209),"")))</f>
        <v>3.5</v>
      </c>
      <c r="AI13" s="14">
        <f>IF('Données projet'!$A$62&gt;35,AI12+AH13-AQ12,IF(A13&lt;'Données projet'!$A$62,$AF$205^A13,IF(A13='Données projet'!$A$62,'Données projet'!$B$62,AI12+AH13-AQ12)))</f>
        <v>35</v>
      </c>
      <c r="AJ13" s="14">
        <f>AI13*VLOOKUP('Données projet'!$B$10,Paramètres!$A$1:$I$89,3,0)*VLOOKUP('Données projet'!$B$10,Paramètres!$A$1:$I$89,5,0)</f>
        <v>30.576000000000004</v>
      </c>
      <c r="AK13" s="14">
        <f t="shared" si="35"/>
        <v>9.4631216842413863</v>
      </c>
      <c r="AL13" s="22">
        <f t="shared" si="4"/>
        <v>69.734803600053766</v>
      </c>
      <c r="AM13" s="62">
        <f t="shared" si="5"/>
        <v>338.62369248894265</v>
      </c>
      <c r="AN13" s="62">
        <f ca="1">AVERAGE(OFFSET($AM$3,0,0,'Données projet'!$E$10+1,1))-AVERAGE(OFFSET($H$3,0,0,'Données projet'!$E$10+1,1))</f>
        <v>401.89597032936751</v>
      </c>
      <c r="AO13" s="62">
        <f t="shared" si="36"/>
        <v>417.85733543972361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5.8637741839194364</v>
      </c>
      <c r="BF13" s="14">
        <f t="shared" si="37"/>
        <v>2.1994468497187687</v>
      </c>
      <c r="BG13" s="22">
        <f t="shared" si="7"/>
        <v>14.043443300253207</v>
      </c>
      <c r="BH13" s="62">
        <f t="shared" si="8"/>
        <v>282.93233218914207</v>
      </c>
      <c r="BI13" s="62">
        <f ca="1">AVERAGE(OFFSET($BH$3,0,0,'Données projet'!$E$11+1,1))-AVERAGE(OFFSET($H$3,0,0,'Données projet'!$E$11+1,1))</f>
        <v>430.40491895612814</v>
      </c>
      <c r="BJ13" s="62">
        <f t="shared" si="38"/>
        <v>231.36959598460686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2.4358974358974361</v>
      </c>
      <c r="BY13" s="13">
        <f>IF('Données projet'!$A$114&gt;35,BY12+BX13-CG12,IF(A13&lt;'Données projet'!$A$114,$BV$205^A13,IF(A13='Données projet'!$A$114,'Données projet'!$B$114,BY12+BX13-CG12)))</f>
        <v>11.011170942520771</v>
      </c>
      <c r="BZ13" s="14">
        <f>BY13*VLOOKUP('Données projet'!$B$12,Paramètres!$A$1:$I$89,3,0)*VLOOKUP('Données projet'!$B$12,Paramètres!$A$1:$I$89,5,0)</f>
        <v>10.478230268902767</v>
      </c>
      <c r="CA13" s="14">
        <f t="shared" si="39"/>
        <v>3.67348682940279</v>
      </c>
      <c r="CB13" s="22">
        <f t="shared" si="10"/>
        <v>24.647573946215513</v>
      </c>
      <c r="CC13" s="62">
        <f t="shared" si="11"/>
        <v>293.53646283510437</v>
      </c>
      <c r="CD13" s="62">
        <f ca="1">AVERAGE(OFFSET($CC$3,0,0,'Données projet'!$E$12+1,1))-AVERAGE(OFFSET($H$3,0,0,'Données projet'!$E$12+1,1))</f>
        <v>367.11183928586667</v>
      </c>
      <c r="CE13" s="62">
        <f t="shared" si="40"/>
        <v>281.52963027844595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6.0588235294117645</v>
      </c>
      <c r="CT13" s="13">
        <f>IF('Données projet'!$A$140&gt;35,CT12+CS13-DB12,IF(A13&lt;'Données projet'!$A$140,$CQ$205^A13,IF(A13='Données projet'!$A$140,'Données projet'!$B$140,CT12+CS13-DB12)))</f>
        <v>15.276430792078479</v>
      </c>
      <c r="CU13" s="18">
        <f>CT13*VLOOKUP('Données projet'!$B$13,Paramètres!$A$1:$I$89,3,0)*VLOOKUP('Données projet'!$B$13,Paramètres!$A$1:$I$89,5,0)</f>
        <v>9.1353056136629309</v>
      </c>
      <c r="CV13" s="14">
        <f t="shared" si="41"/>
        <v>3.254220519001934</v>
      </c>
      <c r="CW13" s="22">
        <f t="shared" si="13"/>
        <v>21.578424681057971</v>
      </c>
      <c r="CX13" s="62">
        <f t="shared" si="14"/>
        <v>290.46731356994684</v>
      </c>
      <c r="CY13" s="62">
        <f ca="1">AVERAGE(OFFSET($CX$3,0,0,'Données projet'!$E$13+1,1))-AVERAGE(OFFSET($H$3,0,0,'Données projet'!$E$13+1,1))</f>
        <v>308.47522272937135</v>
      </c>
      <c r="CZ13" s="62">
        <f t="shared" si="42"/>
        <v>302.54354650449721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4.3</v>
      </c>
      <c r="DO13" s="13">
        <f>IF('Données projet'!$A$166&gt;35,DO12+DN13-DW12,IF(A13&lt;'Données projet'!$A$166,$DL$205^A13,IF(A13='Données projet'!$A$166,'Données projet'!$B$166,DO12+DN13-DW12)))</f>
        <v>16.083225201441</v>
      </c>
      <c r="DP13" s="18">
        <f>DO13*VLOOKUP('Données projet'!$B$14,Paramètres!$A$1:$I$89,3,0)*VLOOKUP('Données projet'!$B$14,Paramètres!$A$1:$I$89,5,0)</f>
        <v>12.79581397026646</v>
      </c>
      <c r="DQ13" s="14">
        <f t="shared" si="43"/>
        <v>4.3828567547981647</v>
      </c>
      <c r="DR13" s="22">
        <f t="shared" si="16"/>
        <v>29.91951817948755</v>
      </c>
      <c r="DS13" s="62">
        <f t="shared" si="17"/>
        <v>298.80840706837643</v>
      </c>
      <c r="DT13" s="62">
        <f ca="1">AVERAGE(OFFSET($DS$3,0,0,'Données projet'!$E$14+1,1))-AVERAGE(OFFSET($H$3,0,0,'Données projet'!$E$14+1,1))</f>
        <v>370.58277541710277</v>
      </c>
      <c r="DU13" s="62">
        <f t="shared" si="44"/>
        <v>404.61777090709171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6.2222222222222223</v>
      </c>
      <c r="EJ13" s="13">
        <f>IF('Données projet'!$A$192&gt;35,EJ12+EI13-ER12,IF(A13&lt;'Données projet'!$A$192,$EG$205^A13,IF(A13='Données projet'!$A$192,'Données projet'!$B$192,EJ12+EI13-ER12)))</f>
        <v>13.754805608204368</v>
      </c>
      <c r="EK13" s="18">
        <f>EJ13*VLOOKUP('Données projet'!$B$15,Paramètres!$A$1:$I$89,3,0)*VLOOKUP('Données projet'!$B$15,Paramètres!$A$1:$I$89,5,0)</f>
        <v>8.5829986995195267</v>
      </c>
      <c r="EL13" s="14">
        <f t="shared" si="45"/>
        <v>3.0797504443346257</v>
      </c>
      <c r="EM13" s="22">
        <f t="shared" si="19"/>
        <v>20.312621425545984</v>
      </c>
      <c r="EN13" s="62">
        <f t="shared" si="20"/>
        <v>289.20151031443481</v>
      </c>
      <c r="EO13" s="62">
        <f ca="1">AVERAGE(OFFSET($EN$3,0,0,'Données projet'!$E$15+1,1))-AVERAGE(OFFSET($H$3,0,0,'Données projet'!$E$15+1,1))</f>
        <v>240.22884864766218</v>
      </c>
      <c r="EP13" s="62">
        <f t="shared" si="46"/>
        <v>343.23776884143166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1.4</v>
      </c>
      <c r="FE13" s="13">
        <f>IF('Données projet'!$A$218&gt;35,FE12+FD13-FM12,IF(A13&lt;'Données projet'!$A$218,$FB$205^A13,IF(A13='Données projet'!$A$218,'Données projet'!$B$218,FE12+FD13-FM12)))</f>
        <v>5.291502622129185</v>
      </c>
      <c r="FF13" s="18">
        <f>FE13*VLOOKUP('Données projet'!$B$16,Paramètres!$A$1:$I$89,3,0)*VLOOKUP('Données projet'!$B$16,Paramètres!$A$1:$I$89,5,0)</f>
        <v>2.4764232271564586</v>
      </c>
      <c r="FG13" s="14">
        <f t="shared" si="47"/>
        <v>1.026917887868104</v>
      </c>
      <c r="FH13" s="22">
        <f t="shared" si="22"/>
        <v>6.1016524420011136</v>
      </c>
      <c r="FI13" s="62">
        <f t="shared" si="23"/>
        <v>274.99054133088998</v>
      </c>
      <c r="FJ13" s="62">
        <f ca="1">AVERAGE(OFFSET($FI$3,0,0,'Données projet'!$E$16+1,1))-AVERAGE(OFFSET($H$3,0,0,'Données projet'!$E$16+1,1))</f>
        <v>399.92909819003523</v>
      </c>
      <c r="FK13" s="62">
        <f t="shared" si="48"/>
        <v>163.7053537268381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4.3</v>
      </c>
      <c r="FZ13" s="13">
        <f>IF('Données projet'!$A$244&gt;35,FZ12+FY13-GH12,IF(A13&lt;'Données projet'!$A$244,$FW$205^A13,IF(A13='Données projet'!$A$244,'Données projet'!$B$244,FZ12+FY13-GH12)))</f>
        <v>16.083225201441</v>
      </c>
      <c r="GA13" s="18">
        <f>FZ13*VLOOKUP('Données projet'!$B$17,Paramètres!$A$1:$I$89,3,0)*VLOOKUP('Données projet'!$B$17,Paramètres!$A$1:$I$89,5,0)</f>
        <v>11.792220717696541</v>
      </c>
      <c r="GB13" s="14">
        <f t="shared" si="49"/>
        <v>4.0776874681316118</v>
      </c>
      <c r="GC13" s="22">
        <f t="shared" si="25"/>
        <v>27.640090090317361</v>
      </c>
      <c r="GD13" s="62">
        <f t="shared" si="26"/>
        <v>296.52897897920622</v>
      </c>
      <c r="GE13" s="62">
        <f ca="1">AVERAGE(OFFSET($GD$3,0,0,'Données projet'!$E$17+1,1))-AVERAGE(OFFSET($H$3,0,0,'Données projet'!$E$17+1,1))</f>
        <v>344.4426665022238</v>
      </c>
      <c r="GF13" s="62">
        <f t="shared" si="50"/>
        <v>376.41441893222185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5.0333333333333332</v>
      </c>
      <c r="GU13" s="13">
        <f>IF('Données projet'!$A$270&gt;35,GU12+GT13-HC12,IF(A13&lt;'Données projet'!$A$270,$GR$205^A13,IF(A13='Données projet'!$A$270,'Données projet'!$B$270,GU12+GT13-HC12)))</f>
        <v>5.3250740216149834</v>
      </c>
      <c r="GV13" s="18">
        <f>GU13*VLOOKUP('Données projet'!$B$18,Paramètres!$A$1:$I$89,3,0)*VLOOKUP('Données projet'!$B$18,Paramètres!$A$1:$I$89,5,0)</f>
        <v>2.5613606043968074</v>
      </c>
      <c r="GW13" s="14">
        <f t="shared" si="51"/>
        <v>1.0579783921829917</v>
      </c>
      <c r="GX13" s="22">
        <f t="shared" si="28"/>
        <v>6.3036820857098164</v>
      </c>
      <c r="GY13" s="62">
        <f t="shared" si="29"/>
        <v>275.19257097459865</v>
      </c>
      <c r="GZ13" s="62">
        <f ca="1">AVERAGE(OFFSET($GY$3,0,0,'Données projet'!$E$18+1,1))-AVERAGE(OFFSET($H$3,0,0,'Données projet'!$E$18+1,1))</f>
        <v>441.17479680509746</v>
      </c>
      <c r="HA13" s="62">
        <f t="shared" si="52"/>
        <v>198.56576128410069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</v>
      </c>
      <c r="N14" s="14">
        <f>IF('Données projet'!$A$36&gt;35,N13+M14-V13,IF(A14&lt;'Données projet'!$A$36,$K$205^A14,IF(A14='Données projet'!$A$36,'Données projet'!$B$36,N13+M14-V13)))</f>
        <v>16.45889152503846</v>
      </c>
      <c r="O14" s="14">
        <f>N14*VLOOKUP('Données projet'!$B$9,Paramètres!$A$1:$I$89,3,0)*VLOOKUP('Données projet'!$B$9,Paramètres!$A$1:$I$89,5,0)</f>
        <v>9.2005203624964995</v>
      </c>
      <c r="P14" s="14">
        <f t="shared" si="33"/>
        <v>3.2747390106980423</v>
      </c>
      <c r="Q14" s="22">
        <f t="shared" si="2"/>
        <v>21.727743408313824</v>
      </c>
      <c r="R14" s="62">
        <f t="shared" si="0"/>
        <v>291.83885451942496</v>
      </c>
      <c r="S14" s="62">
        <f ca="1">AVERAGE(OFFSET($R$3,0,0,'Données projet'!$E$9+1,1))-AVERAGE(OFFSET($H$3,0,0,'Données projet'!$E$9+1,1))</f>
        <v>374.79806286316051</v>
      </c>
      <c r="T14" s="62">
        <f t="shared" si="34"/>
        <v>350.01856672839466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10.6</v>
      </c>
      <c r="AI14" s="14">
        <f>IF('Données projet'!$A$62&gt;35,AI13+AH14-AQ13,IF(A14&lt;'Données projet'!$A$62,$AF$205^A14,IF(A14='Données projet'!$A$62,'Données projet'!$B$62,AI13+AH14-AQ13)))</f>
        <v>45.6</v>
      </c>
      <c r="AJ14" s="14">
        <f>AI14*VLOOKUP('Données projet'!$B$10,Paramètres!$A$1:$I$89,3,0)*VLOOKUP('Données projet'!$B$10,Paramètres!$A$1:$I$89,5,0)</f>
        <v>39.836160000000007</v>
      </c>
      <c r="AK14" s="14">
        <f t="shared" si="35"/>
        <v>11.955210728675533</v>
      </c>
      <c r="AL14" s="22">
        <f t="shared" si="4"/>
        <v>90.203304019109893</v>
      </c>
      <c r="AM14" s="62">
        <f t="shared" si="5"/>
        <v>360.31441513022105</v>
      </c>
      <c r="AN14" s="62">
        <f ca="1">AVERAGE(OFFSET($AM$3,0,0,'Données projet'!$E$10+1,1))-AVERAGE(OFFSET($H$3,0,0,'Données projet'!$E$10+1,1))</f>
        <v>401.89597032936751</v>
      </c>
      <c r="AO14" s="62">
        <f t="shared" si="36"/>
        <v>417.85733543972361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7.0687024627689707</v>
      </c>
      <c r="BF14" s="14">
        <f t="shared" si="37"/>
        <v>2.5943503554083325</v>
      </c>
      <c r="BG14" s="22">
        <f t="shared" si="7"/>
        <v>16.829816991658799</v>
      </c>
      <c r="BH14" s="62">
        <f t="shared" si="8"/>
        <v>286.94092810276993</v>
      </c>
      <c r="BI14" s="62">
        <f ca="1">AVERAGE(OFFSET($BH$3,0,0,'Données projet'!$E$11+1,1))-AVERAGE(OFFSET($H$3,0,0,'Données projet'!$E$11+1,1))</f>
        <v>430.40491895612814</v>
      </c>
      <c r="BJ14" s="62">
        <f t="shared" si="38"/>
        <v>231.36959598460686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2.4358974358974361</v>
      </c>
      <c r="BY14" s="13">
        <f>IF('Données projet'!$A$114&gt;35,BY13+BX14-CG13,IF(A14&lt;'Données projet'!$A$114,$BV$205^A14,IF(A14='Données projet'!$A$114,'Données projet'!$B$114,BY13+BX14-CG13)))</f>
        <v>13.996416428924077</v>
      </c>
      <c r="BZ14" s="14">
        <f>BY14*VLOOKUP('Données projet'!$B$12,Paramètres!$A$1:$I$89,3,0)*VLOOKUP('Données projet'!$B$12,Paramètres!$A$1:$I$89,5,0)</f>
        <v>13.318989873764153</v>
      </c>
      <c r="CA14" s="14">
        <f t="shared" si="39"/>
        <v>4.5408263671169857</v>
      </c>
      <c r="CB14" s="22">
        <f t="shared" si="10"/>
        <v>31.105846619534645</v>
      </c>
      <c r="CC14" s="62">
        <f t="shared" si="11"/>
        <v>301.21695773064579</v>
      </c>
      <c r="CD14" s="62">
        <f ca="1">AVERAGE(OFFSET($CC$3,0,0,'Données projet'!$E$12+1,1))-AVERAGE(OFFSET($H$3,0,0,'Données projet'!$E$12+1,1))</f>
        <v>367.11183928586667</v>
      </c>
      <c r="CE14" s="62">
        <f t="shared" si="40"/>
        <v>281.52963027844595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6.0588235294117645</v>
      </c>
      <c r="CT14" s="13">
        <f>IF('Données projet'!$A$140&gt;35,CT13+CS14-DB13,IF(A14&lt;'Données projet'!$A$140,$CQ$205^A14,IF(A14='Données projet'!$A$140,'Données projet'!$B$140,CT13+CS14-DB13)))</f>
        <v>20.064303411125749</v>
      </c>
      <c r="CU14" s="18">
        <f>CT14*VLOOKUP('Données projet'!$B$13,Paramètres!$A$1:$I$89,3,0)*VLOOKUP('Données projet'!$B$13,Paramètres!$A$1:$I$89,5,0)</f>
        <v>11.998453439853199</v>
      </c>
      <c r="CV14" s="14">
        <f t="shared" si="41"/>
        <v>4.1406369556925151</v>
      </c>
      <c r="CW14" s="22">
        <f t="shared" si="13"/>
        <v>28.108915772242117</v>
      </c>
      <c r="CX14" s="62">
        <f t="shared" si="14"/>
        <v>298.22002688335328</v>
      </c>
      <c r="CY14" s="62">
        <f ca="1">AVERAGE(OFFSET($CX$3,0,0,'Données projet'!$E$13+1,1))-AVERAGE(OFFSET($H$3,0,0,'Données projet'!$E$13+1,1))</f>
        <v>308.47522272937135</v>
      </c>
      <c r="CZ14" s="62">
        <f t="shared" si="42"/>
        <v>302.54354650449721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4.3</v>
      </c>
      <c r="DO14" s="13">
        <f>IF('Données projet'!$A$166&gt;35,DO13+DN14-DW13,IF(A14&lt;'Données projet'!$A$166,$DL$205^A14,IF(A14='Données projet'!$A$166,'Données projet'!$B$166,DO13+DN14-DW13)))</f>
        <v>21.232955883285037</v>
      </c>
      <c r="DP14" s="18">
        <f>DO14*VLOOKUP('Données projet'!$B$14,Paramètres!$A$1:$I$89,3,0)*VLOOKUP('Données projet'!$B$14,Paramètres!$A$1:$I$89,5,0)</f>
        <v>16.892939700741575</v>
      </c>
      <c r="DQ14" s="14">
        <f t="shared" si="43"/>
        <v>5.6021200046163866</v>
      </c>
      <c r="DR14" s="22">
        <f t="shared" si="16"/>
        <v>39.178895653498444</v>
      </c>
      <c r="DS14" s="62">
        <f t="shared" si="17"/>
        <v>309.29000676460959</v>
      </c>
      <c r="DT14" s="62">
        <f ca="1">AVERAGE(OFFSET($DS$3,0,0,'Données projet'!$E$14+1,1))-AVERAGE(OFFSET($H$3,0,0,'Données projet'!$E$14+1,1))</f>
        <v>370.58277541710277</v>
      </c>
      <c r="DU14" s="62">
        <f t="shared" si="44"/>
        <v>404.61777090709171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6.2222222222222223</v>
      </c>
      <c r="EJ14" s="13">
        <f>IF('Données projet'!$A$192&gt;35,EJ13+EI14-ER13,IF(A14&lt;'Données projet'!$A$192,$EG$205^A14,IF(A14='Données projet'!$A$192,'Données projet'!$B$192,EJ13+EI14-ER13)))</f>
        <v>17.877216627302985</v>
      </c>
      <c r="EK14" s="18">
        <f>EJ14*VLOOKUP('Données projet'!$B$15,Paramètres!$A$1:$I$89,3,0)*VLOOKUP('Données projet'!$B$15,Paramètres!$A$1:$I$89,5,0)</f>
        <v>11.155383175437063</v>
      </c>
      <c r="EL14" s="14">
        <f t="shared" si="45"/>
        <v>3.8824812083990929</v>
      </c>
      <c r="EM14" s="22">
        <f t="shared" si="19"/>
        <v>26.1909471351813</v>
      </c>
      <c r="EN14" s="62">
        <f t="shared" si="20"/>
        <v>296.30205824629246</v>
      </c>
      <c r="EO14" s="62">
        <f ca="1">AVERAGE(OFFSET($EN$3,0,0,'Données projet'!$E$15+1,1))-AVERAGE(OFFSET($H$3,0,0,'Données projet'!$E$15+1,1))</f>
        <v>240.22884864766218</v>
      </c>
      <c r="EP14" s="62">
        <f t="shared" si="46"/>
        <v>343.23776884143166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1.4</v>
      </c>
      <c r="FE14" s="13">
        <f>IF('Données projet'!$A$218&gt;35,FE13+FD14-FM13,IF(A14&lt;'Données projet'!$A$218,$FB$205^A14,IF(A14='Données projet'!$A$218,'Données projet'!$B$218,FE13+FD14-FM13)))</f>
        <v>6.2508189089445931</v>
      </c>
      <c r="FF14" s="18">
        <f>FE14*VLOOKUP('Données projet'!$B$16,Paramètres!$A$1:$I$89,3,0)*VLOOKUP('Données projet'!$B$16,Paramètres!$A$1:$I$89,5,0)</f>
        <v>2.9253832493860692</v>
      </c>
      <c r="FG14" s="14">
        <f t="shared" si="47"/>
        <v>1.1897923184945451</v>
      </c>
      <c r="FH14" s="22">
        <f t="shared" si="22"/>
        <v>7.1672641140587361</v>
      </c>
      <c r="FI14" s="62">
        <f t="shared" si="23"/>
        <v>277.2783752251699</v>
      </c>
      <c r="FJ14" s="62">
        <f ca="1">AVERAGE(OFFSET($FI$3,0,0,'Données projet'!$E$16+1,1))-AVERAGE(OFFSET($H$3,0,0,'Données projet'!$E$16+1,1))</f>
        <v>399.92909819003523</v>
      </c>
      <c r="FK14" s="62">
        <f t="shared" si="48"/>
        <v>163.7053537268381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4.3</v>
      </c>
      <c r="FZ14" s="13">
        <f>IF('Données projet'!$A$244&gt;35,FZ13+FY14-GH13,IF(A14&lt;'Données projet'!$A$244,$FW$205^A14,IF(A14='Données projet'!$A$244,'Données projet'!$B$244,FZ13+FY14-GH13)))</f>
        <v>21.232955883285037</v>
      </c>
      <c r="GA14" s="18">
        <f>FZ14*VLOOKUP('Données projet'!$B$17,Paramètres!$A$1:$I$89,3,0)*VLOOKUP('Données projet'!$B$17,Paramètres!$A$1:$I$89,5,0)</f>
        <v>15.568003253624589</v>
      </c>
      <c r="GB14" s="14">
        <f t="shared" si="49"/>
        <v>5.2120559296822409</v>
      </c>
      <c r="GC14" s="22">
        <f t="shared" si="25"/>
        <v>36.191936410926061</v>
      </c>
      <c r="GD14" s="62">
        <f t="shared" si="26"/>
        <v>306.30304752203722</v>
      </c>
      <c r="GE14" s="62">
        <f ca="1">AVERAGE(OFFSET($GD$3,0,0,'Données projet'!$E$17+1,1))-AVERAGE(OFFSET($H$3,0,0,'Données projet'!$E$17+1,1))</f>
        <v>344.4426665022238</v>
      </c>
      <c r="GF14" s="62">
        <f t="shared" si="50"/>
        <v>376.41441893222185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5.0333333333333332</v>
      </c>
      <c r="GU14" s="13">
        <f>IF('Données projet'!$A$270&gt;35,GU13+GT14-HC13,IF(A14&lt;'Données projet'!$A$270,$GR$205^A14,IF(A14='Données projet'!$A$270,'Données projet'!$B$270,GU13+GT14-HC13)))</f>
        <v>6.2944561732777231</v>
      </c>
      <c r="GV14" s="18">
        <f>GU14*VLOOKUP('Données projet'!$B$18,Paramètres!$A$1:$I$89,3,0)*VLOOKUP('Données projet'!$B$18,Paramètres!$A$1:$I$89,5,0)</f>
        <v>3.0276334193465848</v>
      </c>
      <c r="GW14" s="14">
        <f t="shared" si="51"/>
        <v>1.2264643592912703</v>
      </c>
      <c r="GX14" s="22">
        <f t="shared" si="28"/>
        <v>7.4092202977942643</v>
      </c>
      <c r="GY14" s="62">
        <f t="shared" si="29"/>
        <v>277.52033140890541</v>
      </c>
      <c r="GZ14" s="62">
        <f ca="1">AVERAGE(OFFSET($GY$3,0,0,'Données projet'!$E$18+1,1))-AVERAGE(OFFSET($H$3,0,0,'Données projet'!$E$18+1,1))</f>
        <v>441.17479680509746</v>
      </c>
      <c r="HA14" s="62">
        <f t="shared" si="52"/>
        <v>198.56576128410069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</v>
      </c>
      <c r="N15" s="14">
        <f>IF('Données projet'!$A$36&gt;35,N14+M15-V14,IF(A15&lt;'Données projet'!$A$36,$K$205^A15,IF(A15='Données projet'!$A$36,'Données projet'!$B$36,N14+M15-V14)))</f>
        <v>21.231586828514317</v>
      </c>
      <c r="O15" s="14">
        <f>N15*VLOOKUP('Données projet'!$B$9,Paramètres!$A$1:$I$89,3,0)*VLOOKUP('Données projet'!$B$9,Paramètres!$A$1:$I$89,5,0)</f>
        <v>11.868457037139505</v>
      </c>
      <c r="P15" s="14">
        <f t="shared" si="33"/>
        <v>4.1009722899277703</v>
      </c>
      <c r="Q15" s="22">
        <f t="shared" si="2"/>
        <v>27.813422744642168</v>
      </c>
      <c r="R15" s="62">
        <f t="shared" si="0"/>
        <v>299.14675607797551</v>
      </c>
      <c r="S15" s="62">
        <f ca="1">AVERAGE(OFFSET($R$3,0,0,'Données projet'!$E$9+1,1))-AVERAGE(OFFSET($H$3,0,0,'Données projet'!$E$9+1,1))</f>
        <v>374.79806286316051</v>
      </c>
      <c r="T15" s="62">
        <f t="shared" si="34"/>
        <v>350.01856672839466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10.6</v>
      </c>
      <c r="AI15" s="14">
        <f>IF('Données projet'!$A$62&gt;35,AI14+AH15-AQ14,IF(A15&lt;'Données projet'!$A$62,$AF$205^A15,IF(A15='Données projet'!$A$62,'Données projet'!$B$62,AI14+AH15-AQ14)))</f>
        <v>56.2</v>
      </c>
      <c r="AJ15" s="14">
        <f>AI15*VLOOKUP('Données projet'!$B$10,Paramètres!$A$1:$I$89,3,0)*VLOOKUP('Données projet'!$B$10,Paramètres!$A$1:$I$89,5,0)</f>
        <v>49.096320000000006</v>
      </c>
      <c r="AK15" s="14">
        <f t="shared" si="35"/>
        <v>14.380133207801931</v>
      </c>
      <c r="AL15" s="22">
        <f t="shared" si="4"/>
        <v>110.55482267025504</v>
      </c>
      <c r="AM15" s="62">
        <f t="shared" si="5"/>
        <v>381.88815600358834</v>
      </c>
      <c r="AN15" s="62">
        <f ca="1">AVERAGE(OFFSET($AM$3,0,0,'Données projet'!$E$10+1,1))-AVERAGE(OFFSET($H$3,0,0,'Données projet'!$E$10+1,1))</f>
        <v>401.89597032936751</v>
      </c>
      <c r="AO15" s="62">
        <f t="shared" si="36"/>
        <v>417.85733543972361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8.521227615514638</v>
      </c>
      <c r="BF15" s="14">
        <f t="shared" si="37"/>
        <v>3.0601574970852128</v>
      </c>
      <c r="BG15" s="22">
        <f t="shared" si="7"/>
        <v>20.170912404444739</v>
      </c>
      <c r="BH15" s="62">
        <f t="shared" si="8"/>
        <v>291.50424573777804</v>
      </c>
      <c r="BI15" s="62">
        <f ca="1">AVERAGE(OFFSET($BH$3,0,0,'Données projet'!$E$11+1,1))-AVERAGE(OFFSET($H$3,0,0,'Données projet'!$E$11+1,1))</f>
        <v>430.40491895612814</v>
      </c>
      <c r="BJ15" s="62">
        <f t="shared" si="38"/>
        <v>231.36959598460686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2.4358974358974361</v>
      </c>
      <c r="BY15" s="13">
        <f>IF('Données projet'!$A$114&gt;35,BY14+BX15-CG14,IF(A15&lt;'Données projet'!$A$114,$BV$205^A15,IF(A15='Données projet'!$A$114,'Données projet'!$B$114,BY14+BX15-CG14)))</f>
        <v>17.790993698532919</v>
      </c>
      <c r="BZ15" s="14">
        <f>BY15*VLOOKUP('Données projet'!$B$12,Paramètres!$A$1:$I$89,3,0)*VLOOKUP('Données projet'!$B$12,Paramètres!$A$1:$I$89,5,0)</f>
        <v>16.929909603523928</v>
      </c>
      <c r="CA15" s="14">
        <f t="shared" si="39"/>
        <v>5.6129516870098515</v>
      </c>
      <c r="CB15" s="22">
        <f t="shared" si="10"/>
        <v>39.262150081012997</v>
      </c>
      <c r="CC15" s="62">
        <f t="shared" si="11"/>
        <v>310.59548341434629</v>
      </c>
      <c r="CD15" s="62">
        <f ca="1">AVERAGE(OFFSET($CC$3,0,0,'Données projet'!$E$12+1,1))-AVERAGE(OFFSET($H$3,0,0,'Données projet'!$E$12+1,1))</f>
        <v>367.11183928586667</v>
      </c>
      <c r="CE15" s="62">
        <f t="shared" si="40"/>
        <v>281.52963027844595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6.0588235294117645</v>
      </c>
      <c r="CT15" s="13">
        <f>IF('Données projet'!$A$140&gt;35,CT14+CS15-DB14,IF(A15&lt;'Données projet'!$A$140,$CQ$205^A15,IF(A15='Données projet'!$A$140,'Données projet'!$B$140,CT14+CS15-DB14)))</f>
        <v>26.35277028076915</v>
      </c>
      <c r="CU15" s="18">
        <f>CT15*VLOOKUP('Données projet'!$B$13,Paramètres!$A$1:$I$89,3,0)*VLOOKUP('Données projet'!$B$13,Paramètres!$A$1:$I$89,5,0)</f>
        <v>15.758956627899952</v>
      </c>
      <c r="CV15" s="14">
        <f t="shared" si="41"/>
        <v>5.2685041774934476</v>
      </c>
      <c r="CW15" s="22">
        <f t="shared" si="13"/>
        <v>36.6228275693935</v>
      </c>
      <c r="CX15" s="62">
        <f t="shared" si="14"/>
        <v>307.95616090272682</v>
      </c>
      <c r="CY15" s="62">
        <f ca="1">AVERAGE(OFFSET($CX$3,0,0,'Données projet'!$E$13+1,1))-AVERAGE(OFFSET($H$3,0,0,'Données projet'!$E$13+1,1))</f>
        <v>308.47522272937135</v>
      </c>
      <c r="CZ15" s="62">
        <f t="shared" si="42"/>
        <v>302.54354650449721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4.3</v>
      </c>
      <c r="DO15" s="13">
        <f>IF('Données projet'!$A$166&gt;35,DO14+DN15-DW14,IF(A15&lt;'Données projet'!$A$166,$DL$205^A15,IF(A15='Données projet'!$A$166,'Données projet'!$B$166,DO14+DN15-DW14)))</f>
        <v>28.031592537865794</v>
      </c>
      <c r="DP15" s="18">
        <f>DO15*VLOOKUP('Données projet'!$B$14,Paramètres!$A$1:$I$89,3,0)*VLOOKUP('Données projet'!$B$14,Paramètres!$A$1:$I$89,5,0)</f>
        <v>22.301935023126028</v>
      </c>
      <c r="DQ15" s="14">
        <f t="shared" si="43"/>
        <v>7.1605690767250207</v>
      </c>
      <c r="DR15" s="22">
        <f t="shared" si="16"/>
        <v>51.313861307240579</v>
      </c>
      <c r="DS15" s="62">
        <f t="shared" si="17"/>
        <v>322.6471946405739</v>
      </c>
      <c r="DT15" s="62">
        <f ca="1">AVERAGE(OFFSET($DS$3,0,0,'Données projet'!$E$14+1,1))-AVERAGE(OFFSET($H$3,0,0,'Données projet'!$E$14+1,1))</f>
        <v>370.58277541710277</v>
      </c>
      <c r="DU15" s="62">
        <f t="shared" si="44"/>
        <v>404.61777090709171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6.2222222222222223</v>
      </c>
      <c r="EJ15" s="13">
        <f>IF('Données projet'!$A$192&gt;35,EJ14+EI15-ER14,IF(A15&lt;'Données projet'!$A$192,$EG$205^A15,IF(A15='Données projet'!$A$192,'Données projet'!$B$192,EJ14+EI15-ER14)))</f>
        <v>23.235142934254824</v>
      </c>
      <c r="EK15" s="18">
        <f>EJ15*VLOOKUP('Données projet'!$B$15,Paramètres!$A$1:$I$89,3,0)*VLOOKUP('Données projet'!$B$15,Paramètres!$A$1:$I$89,5,0)</f>
        <v>14.498729190975009</v>
      </c>
      <c r="EL15" s="14">
        <f t="shared" si="45"/>
        <v>4.8944421329010357</v>
      </c>
      <c r="EM15" s="22">
        <f t="shared" si="19"/>
        <v>33.776440055750776</v>
      </c>
      <c r="EN15" s="62">
        <f t="shared" si="20"/>
        <v>305.10977338908407</v>
      </c>
      <c r="EO15" s="62">
        <f ca="1">AVERAGE(OFFSET($EN$3,0,0,'Données projet'!$E$15+1,1))-AVERAGE(OFFSET($H$3,0,0,'Données projet'!$E$15+1,1))</f>
        <v>240.22884864766218</v>
      </c>
      <c r="EP15" s="62">
        <f t="shared" si="46"/>
        <v>343.23776884143166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1.4</v>
      </c>
      <c r="FE15" s="13">
        <f>IF('Données projet'!$A$218&gt;35,FE14+FD15-FM14,IF(A15&lt;'Données projet'!$A$218,$FB$205^A15,IF(A15='Données projet'!$A$218,'Données projet'!$B$218,FE14+FD15-FM14)))</f>
        <v>7.3840532307432287</v>
      </c>
      <c r="FF15" s="18">
        <f>FE15*VLOOKUP('Données projet'!$B$16,Paramètres!$A$1:$I$89,3,0)*VLOOKUP('Données projet'!$B$16,Paramètres!$A$1:$I$89,5,0)</f>
        <v>3.455736911987831</v>
      </c>
      <c r="FG15" s="14">
        <f t="shared" si="47"/>
        <v>1.3784994670678521</v>
      </c>
      <c r="FH15" s="22">
        <f t="shared" si="22"/>
        <v>8.4196283601886481</v>
      </c>
      <c r="FI15" s="62">
        <f t="shared" si="23"/>
        <v>279.75296169352197</v>
      </c>
      <c r="FJ15" s="62">
        <f ca="1">AVERAGE(OFFSET($FI$3,0,0,'Données projet'!$E$16+1,1))-AVERAGE(OFFSET($H$3,0,0,'Données projet'!$E$16+1,1))</f>
        <v>399.92909819003523</v>
      </c>
      <c r="FK15" s="62">
        <f t="shared" si="48"/>
        <v>163.7053537268381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4.3</v>
      </c>
      <c r="FZ15" s="13">
        <f>IF('Données projet'!$A$244&gt;35,FZ14+FY15-GH14,IF(A15&lt;'Données projet'!$A$244,$FW$205^A15,IF(A15='Données projet'!$A$244,'Données projet'!$B$244,FZ14+FY15-GH14)))</f>
        <v>28.031592537865794</v>
      </c>
      <c r="GA15" s="18">
        <f>FZ15*VLOOKUP('Données projet'!$B$17,Paramètres!$A$1:$I$89,3,0)*VLOOKUP('Données projet'!$B$17,Paramètres!$A$1:$I$89,5,0)</f>
        <v>20.5527636487632</v>
      </c>
      <c r="GB15" s="14">
        <f t="shared" si="49"/>
        <v>6.6619934034775401</v>
      </c>
      <c r="GC15" s="22">
        <f t="shared" si="25"/>
        <v>47.399035199319286</v>
      </c>
      <c r="GD15" s="62">
        <f t="shared" si="26"/>
        <v>318.73236853265257</v>
      </c>
      <c r="GE15" s="62">
        <f ca="1">AVERAGE(OFFSET($GD$3,0,0,'Données projet'!$E$17+1,1))-AVERAGE(OFFSET($H$3,0,0,'Données projet'!$E$17+1,1))</f>
        <v>344.4426665022238</v>
      </c>
      <c r="GF15" s="62">
        <f t="shared" si="50"/>
        <v>376.41441893222185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5.0333333333333332</v>
      </c>
      <c r="GU15" s="13">
        <f>IF('Données projet'!$A$270&gt;35,GU14+GT15-HC14,IF(A15&lt;'Données projet'!$A$270,$GR$205^A15,IF(A15='Données projet'!$A$270,'Données projet'!$B$270,GU14+GT15-HC14)))</f>
        <v>7.4403056852340352</v>
      </c>
      <c r="GV15" s="18">
        <f>GU15*VLOOKUP('Données projet'!$B$18,Paramètres!$A$1:$I$89,3,0)*VLOOKUP('Données projet'!$B$18,Paramètres!$A$1:$I$89,5,0)</f>
        <v>3.5787870345975712</v>
      </c>
      <c r="GW15" s="14">
        <f t="shared" si="51"/>
        <v>1.4217821797929233</v>
      </c>
      <c r="GX15" s="22">
        <f t="shared" si="28"/>
        <v>8.7093247150634436</v>
      </c>
      <c r="GY15" s="62">
        <f t="shared" si="29"/>
        <v>280.04265804839673</v>
      </c>
      <c r="GZ15" s="62">
        <f ca="1">AVERAGE(OFFSET($GY$3,0,0,'Données projet'!$E$18+1,1))-AVERAGE(OFFSET($H$3,0,0,'Données projet'!$E$18+1,1))</f>
        <v>441.17479680509746</v>
      </c>
      <c r="HA15" s="62">
        <f t="shared" si="52"/>
        <v>198.56576128410069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</v>
      </c>
      <c r="N16" s="14">
        <f>IF('Données projet'!$A$36&gt;35,N15+M16-V15,IF(A16&lt;'Données projet'!$A$36,$K$205^A16,IF(A16='Données projet'!$A$36,'Données projet'!$B$36,N15+M16-V15)))</f>
        <v>27.388252639673997</v>
      </c>
      <c r="O16" s="14">
        <f>N16*VLOOKUP('Données projet'!$B$9,Paramètres!$A$1:$I$89,3,0)*VLOOKUP('Données projet'!$B$9,Paramètres!$A$1:$I$89,5,0)</f>
        <v>15.310033225577765</v>
      </c>
      <c r="P16" s="14">
        <f t="shared" si="33"/>
        <v>5.1356684205409415</v>
      </c>
      <c r="Q16" s="22">
        <f t="shared" si="2"/>
        <v>35.609597033656748</v>
      </c>
      <c r="R16" s="62">
        <f t="shared" si="0"/>
        <v>308.16515258921231</v>
      </c>
      <c r="S16" s="62">
        <f ca="1">AVERAGE(OFFSET($R$3,0,0,'Données projet'!$E$9+1,1))-AVERAGE(OFFSET($H$3,0,0,'Données projet'!$E$9+1,1))</f>
        <v>374.79806286316051</v>
      </c>
      <c r="T16" s="62">
        <f t="shared" si="34"/>
        <v>350.01856672839466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10.6</v>
      </c>
      <c r="AI16" s="14">
        <f>IF('Données projet'!$A$62&gt;35,AI15+AH16-AQ15,IF(A16&lt;'Données projet'!$A$62,$AF$205^A16,IF(A16='Données projet'!$A$62,'Données projet'!$B$62,AI15+AH16-AQ15)))</f>
        <v>66.8</v>
      </c>
      <c r="AJ16" s="14">
        <f>AI16*VLOOKUP('Données projet'!$B$10,Paramètres!$A$1:$I$89,3,0)*VLOOKUP('Données projet'!$B$10,Paramètres!$A$1:$I$89,5,0)</f>
        <v>58.356480000000005</v>
      </c>
      <c r="AK16" s="14">
        <f t="shared" si="35"/>
        <v>16.75206628947662</v>
      </c>
      <c r="AL16" s="22">
        <f t="shared" si="4"/>
        <v>130.81405145417179</v>
      </c>
      <c r="AM16" s="62">
        <f t="shared" si="5"/>
        <v>403.36960700972736</v>
      </c>
      <c r="AN16" s="62">
        <f ca="1">AVERAGE(OFFSET($AM$3,0,0,'Données projet'!$E$10+1,1))-AVERAGE(OFFSET($H$3,0,0,'Données projet'!$E$10+1,1))</f>
        <v>401.89597032936751</v>
      </c>
      <c r="AO16" s="62">
        <f t="shared" si="36"/>
        <v>417.85733543972361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10.272227535089344</v>
      </c>
      <c r="BF16" s="14">
        <f t="shared" si="37"/>
        <v>3.6095987912522753</v>
      </c>
      <c r="BG16" s="22">
        <f t="shared" si="7"/>
        <v>24.177514185044988</v>
      </c>
      <c r="BH16" s="62">
        <f t="shared" si="8"/>
        <v>296.73306974060051</v>
      </c>
      <c r="BI16" s="62">
        <f ca="1">AVERAGE(OFFSET($BH$3,0,0,'Données projet'!$E$11+1,1))-AVERAGE(OFFSET($H$3,0,0,'Données projet'!$E$11+1,1))</f>
        <v>430.40491895612814</v>
      </c>
      <c r="BJ16" s="62">
        <f t="shared" si="38"/>
        <v>231.36959598460686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2.4358974358974361</v>
      </c>
      <c r="BY16" s="13">
        <f>IF('Données projet'!$A$114&gt;35,BY15+BX16-CG15,IF(A16&lt;'Données projet'!$A$114,$BV$205^A16,IF(A16='Données projet'!$A$114,'Données projet'!$B$114,BY15+BX16-CG15)))</f>
        <v>22.614321200613873</v>
      </c>
      <c r="BZ16" s="14">
        <f>BY16*VLOOKUP('Données projet'!$B$12,Paramètres!$A$1:$I$89,3,0)*VLOOKUP('Données projet'!$B$12,Paramètres!$A$1:$I$89,5,0)</f>
        <v>21.519788054504161</v>
      </c>
      <c r="CA16" s="14">
        <f t="shared" si="39"/>
        <v>6.9382143454892127</v>
      </c>
      <c r="CB16" s="22">
        <f t="shared" si="10"/>
        <v>49.564354179988463</v>
      </c>
      <c r="CC16" s="62">
        <f t="shared" si="11"/>
        <v>322.11990973554401</v>
      </c>
      <c r="CD16" s="62">
        <f ca="1">AVERAGE(OFFSET($CC$3,0,0,'Données projet'!$E$12+1,1))-AVERAGE(OFFSET($H$3,0,0,'Données projet'!$E$12+1,1))</f>
        <v>367.11183928586667</v>
      </c>
      <c r="CE16" s="62">
        <f t="shared" si="40"/>
        <v>281.52963027844595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6.0588235294117645</v>
      </c>
      <c r="CT16" s="13">
        <f>IF('Données projet'!$A$140&gt;35,CT15+CS16-DB15,IF(A16&lt;'Données projet'!$A$140,$CQ$205^A16,IF(A16='Données projet'!$A$140,'Données projet'!$B$140,CT15+CS16-DB15)))</f>
        <v>34.612141136477412</v>
      </c>
      <c r="CU16" s="18">
        <f>CT16*VLOOKUP('Données projet'!$B$13,Paramètres!$A$1:$I$89,3,0)*VLOOKUP('Données projet'!$B$13,Paramètres!$A$1:$I$89,5,0)</f>
        <v>20.698060399613492</v>
      </c>
      <c r="CV16" s="14">
        <f t="shared" si="41"/>
        <v>6.7035909125299202</v>
      </c>
      <c r="CW16" s="22">
        <f t="shared" si="13"/>
        <v>47.724542701983104</v>
      </c>
      <c r="CX16" s="62">
        <f t="shared" si="14"/>
        <v>320.28009825753867</v>
      </c>
      <c r="CY16" s="62">
        <f ca="1">AVERAGE(OFFSET($CX$3,0,0,'Données projet'!$E$13+1,1))-AVERAGE(OFFSET($H$3,0,0,'Données projet'!$E$13+1,1))</f>
        <v>308.47522272937135</v>
      </c>
      <c r="CZ16" s="62">
        <f t="shared" si="42"/>
        <v>302.54354650449721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4.3</v>
      </c>
      <c r="DO16" s="13">
        <f>IF('Données projet'!$A$166&gt;35,DO15+DN16-DW15,IF(A16&lt;'Données projet'!$A$166,$DL$205^A16,IF(A16='Données projet'!$A$166,'Données projet'!$B$166,DO15+DN16-DW15)))</f>
        <v>37.007102757063883</v>
      </c>
      <c r="DP16" s="18">
        <f>DO16*VLOOKUP('Données projet'!$B$14,Paramètres!$A$1:$I$89,3,0)*VLOOKUP('Données projet'!$B$14,Paramètres!$A$1:$I$89,5,0)</f>
        <v>29.442850953520026</v>
      </c>
      <c r="DQ16" s="14">
        <f t="shared" si="43"/>
        <v>9.1525617909467893</v>
      </c>
      <c r="DR16" s="22">
        <f t="shared" si="16"/>
        <v>67.220343863279695</v>
      </c>
      <c r="DS16" s="62">
        <f t="shared" si="17"/>
        <v>339.77589941883525</v>
      </c>
      <c r="DT16" s="62">
        <f ca="1">AVERAGE(OFFSET($DS$3,0,0,'Données projet'!$E$14+1,1))-AVERAGE(OFFSET($H$3,0,0,'Données projet'!$E$14+1,1))</f>
        <v>370.58277541710277</v>
      </c>
      <c r="DU16" s="62">
        <f t="shared" si="44"/>
        <v>404.61777090709171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6.2222222222222223</v>
      </c>
      <c r="EJ16" s="13">
        <f>IF('Données projet'!$A$192&gt;35,EJ15+EI16-ER15,IF(A16&lt;'Données projet'!$A$192,$EG$205^A16,IF(A16='Données projet'!$A$192,'Données projet'!$B$192,EJ15+EI16-ER15)))</f>
        <v>30.19887706404656</v>
      </c>
      <c r="EK16" s="18">
        <f>EJ16*VLOOKUP('Données projet'!$B$15,Paramètres!$A$1:$I$89,3,0)*VLOOKUP('Données projet'!$B$15,Paramètres!$A$1:$I$89,5,0)</f>
        <v>18.844099287965054</v>
      </c>
      <c r="EL16" s="14">
        <f t="shared" si="45"/>
        <v>6.1701686386769925</v>
      </c>
      <c r="EM16" s="22">
        <f t="shared" si="19"/>
        <v>43.566516638901568</v>
      </c>
      <c r="EN16" s="62">
        <f t="shared" si="20"/>
        <v>316.12207219445713</v>
      </c>
      <c r="EO16" s="62">
        <f ca="1">AVERAGE(OFFSET($EN$3,0,0,'Données projet'!$E$15+1,1))-AVERAGE(OFFSET($H$3,0,0,'Données projet'!$E$15+1,1))</f>
        <v>240.22884864766218</v>
      </c>
      <c r="EP16" s="62">
        <f t="shared" si="46"/>
        <v>343.23776884143166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1.4</v>
      </c>
      <c r="FE16" s="13">
        <f>IF('Données projet'!$A$218&gt;35,FE15+FD16-FM15,IF(A16&lt;'Données projet'!$A$218,$FB$205^A16,IF(A16='Données projet'!$A$218,'Données projet'!$B$218,FE15+FD16-FM15)))</f>
        <v>8.7227358380880595</v>
      </c>
      <c r="FF16" s="18">
        <f>FE16*VLOOKUP('Données projet'!$B$16,Paramètres!$A$1:$I$89,3,0)*VLOOKUP('Données projet'!$B$16,Paramètres!$A$1:$I$89,5,0)</f>
        <v>4.0822403722252121</v>
      </c>
      <c r="FG16" s="14">
        <f t="shared" si="47"/>
        <v>1.5971365348120328</v>
      </c>
      <c r="FH16" s="22">
        <f t="shared" si="22"/>
        <v>9.891581446423201</v>
      </c>
      <c r="FI16" s="62">
        <f t="shared" si="23"/>
        <v>282.44713700197872</v>
      </c>
      <c r="FJ16" s="62">
        <f ca="1">AVERAGE(OFFSET($FI$3,0,0,'Données projet'!$E$16+1,1))-AVERAGE(OFFSET($H$3,0,0,'Données projet'!$E$16+1,1))</f>
        <v>399.92909819003523</v>
      </c>
      <c r="FK16" s="62">
        <f t="shared" si="48"/>
        <v>163.7053537268381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4.3</v>
      </c>
      <c r="FZ16" s="13">
        <f>IF('Données projet'!$A$244&gt;35,FZ15+FY16-GH15,IF(A16&lt;'Données projet'!$A$244,$FW$205^A16,IF(A16='Données projet'!$A$244,'Données projet'!$B$244,FZ15+FY16-GH15)))</f>
        <v>37.007102757063883</v>
      </c>
      <c r="GA16" s="18">
        <f>FZ16*VLOOKUP('Données projet'!$B$17,Paramètres!$A$1:$I$89,3,0)*VLOOKUP('Données projet'!$B$17,Paramètres!$A$1:$I$89,5,0)</f>
        <v>27.133607741479235</v>
      </c>
      <c r="GB16" s="14">
        <f t="shared" si="49"/>
        <v>8.5152877687335256</v>
      </c>
      <c r="GC16" s="22">
        <f t="shared" si="25"/>
        <v>62.088493013620557</v>
      </c>
      <c r="GD16" s="62">
        <f t="shared" si="26"/>
        <v>334.64404856917611</v>
      </c>
      <c r="GE16" s="62">
        <f ca="1">AVERAGE(OFFSET($GD$3,0,0,'Données projet'!$E$17+1,1))-AVERAGE(OFFSET($H$3,0,0,'Données projet'!$E$17+1,1))</f>
        <v>344.4426665022238</v>
      </c>
      <c r="GF16" s="62">
        <f t="shared" si="50"/>
        <v>376.41441893222185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5.0333333333333332</v>
      </c>
      <c r="GU16" s="13">
        <f>IF('Données projet'!$A$270&gt;35,GU15+GT16-HC15,IF(A16&lt;'Données projet'!$A$270,$GR$205^A16,IF(A16='Données projet'!$A$270,'Données projet'!$B$270,GU15+GT16-HC15)))</f>
        <v>8.7947468638738915</v>
      </c>
      <c r="GV16" s="18">
        <f>GU16*VLOOKUP('Données projet'!$B$18,Paramètres!$A$1:$I$89,3,0)*VLOOKUP('Données projet'!$B$18,Paramètres!$A$1:$I$89,5,0)</f>
        <v>4.2302732415233422</v>
      </c>
      <c r="GW16" s="14">
        <f t="shared" si="51"/>
        <v>1.648204900095791</v>
      </c>
      <c r="GX16" s="22">
        <f t="shared" si="28"/>
        <v>10.238349429986657</v>
      </c>
      <c r="GY16" s="62">
        <f t="shared" si="29"/>
        <v>282.79390498554221</v>
      </c>
      <c r="GZ16" s="62">
        <f ca="1">AVERAGE(OFFSET($GY$3,0,0,'Données projet'!$E$18+1,1))-AVERAGE(OFFSET($H$3,0,0,'Données projet'!$E$18+1,1))</f>
        <v>441.17479680509746</v>
      </c>
      <c r="HA16" s="62">
        <f t="shared" si="52"/>
        <v>198.56576128410069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</v>
      </c>
      <c r="N17" s="14">
        <f>IF('Données projet'!$A$36&gt;35,N16+M17-V16,IF(A17&lt;'Données projet'!$A$36,$K$205^A17,IF(A17='Données projet'!$A$36,'Données projet'!$B$36,N16+M17-V16)))</f>
        <v>35.330208180539429</v>
      </c>
      <c r="O17" s="14">
        <f>N17*VLOOKUP('Données projet'!$B$9,Paramètres!$A$1:$I$89,3,0)*VLOOKUP('Données projet'!$B$9,Paramètres!$A$1:$I$89,5,0)</f>
        <v>19.749586372921542</v>
      </c>
      <c r="P17" s="14">
        <f t="shared" si="33"/>
        <v>6.4314236383699175</v>
      </c>
      <c r="Q17" s="22">
        <f t="shared" si="2"/>
        <v>45.598592436332616</v>
      </c>
      <c r="R17" s="62">
        <f t="shared" si="0"/>
        <v>319.37637021411041</v>
      </c>
      <c r="S17" s="62">
        <f ca="1">AVERAGE(OFFSET($R$3,0,0,'Données projet'!$E$9+1,1))-AVERAGE(OFFSET($H$3,0,0,'Données projet'!$E$9+1,1))</f>
        <v>374.79806286316051</v>
      </c>
      <c r="T17" s="62">
        <f t="shared" si="34"/>
        <v>350.01856672839466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10.6</v>
      </c>
      <c r="AI17" s="14">
        <f>IF('Données projet'!$A$62&gt;35,AI16+AH17-AQ16,IF(A17&lt;'Données projet'!$A$62,$AF$205^A17,IF(A17='Données projet'!$A$62,'Données projet'!$B$62,AI16+AH17-AQ16)))</f>
        <v>77.399999999999991</v>
      </c>
      <c r="AJ17" s="14">
        <f>AI17*VLOOKUP('Données projet'!$B$10,Paramètres!$A$1:$I$89,3,0)*VLOOKUP('Données projet'!$B$10,Paramètres!$A$1:$I$89,5,0)</f>
        <v>67.616640000000004</v>
      </c>
      <c r="AK17" s="14">
        <f t="shared" si="35"/>
        <v>19.080397298873443</v>
      </c>
      <c r="AL17" s="22">
        <f t="shared" si="4"/>
        <v>150.99733996220459</v>
      </c>
      <c r="AM17" s="62">
        <f t="shared" si="5"/>
        <v>424.77511773998236</v>
      </c>
      <c r="AN17" s="62">
        <f ca="1">AVERAGE(OFFSET($AM$3,0,0,'Données projet'!$E$10+1,1))-AVERAGE(OFFSET($H$3,0,0,'Données projet'!$E$10+1,1))</f>
        <v>401.89597032936751</v>
      </c>
      <c r="AO17" s="62">
        <f t="shared" si="36"/>
        <v>417.85733543972361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12.383034850580612</v>
      </c>
      <c r="BF17" s="14">
        <f t="shared" si="37"/>
        <v>4.2576904771143838</v>
      </c>
      <c r="BG17" s="22">
        <f t="shared" si="7"/>
        <v>28.982596612402116</v>
      </c>
      <c r="BH17" s="62">
        <f t="shared" si="8"/>
        <v>302.76037439017989</v>
      </c>
      <c r="BI17" s="62">
        <f ca="1">AVERAGE(OFFSET($BH$3,0,0,'Données projet'!$E$11+1,1))-AVERAGE(OFFSET($H$3,0,0,'Données projet'!$E$11+1,1))</f>
        <v>430.40491895612814</v>
      </c>
      <c r="BJ17" s="62">
        <f t="shared" si="38"/>
        <v>231.36959598460686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2.4358974358974361</v>
      </c>
      <c r="BY17" s="13">
        <f>IF('Données projet'!$A$114&gt;35,BY16+BX17-CG16,IF(A17&lt;'Données projet'!$A$114,$BV$205^A17,IF(A17='Données projet'!$A$114,'Données projet'!$B$114,BY16+BX17-CG16)))</f>
        <v>28.745304058350921</v>
      </c>
      <c r="BZ17" s="14">
        <f>BY17*VLOOKUP('Données projet'!$B$12,Paramètres!$A$1:$I$89,3,0)*VLOOKUP('Données projet'!$B$12,Paramètres!$A$1:$I$89,5,0)</f>
        <v>27.354031341926738</v>
      </c>
      <c r="CA17" s="14">
        <f t="shared" si="39"/>
        <v>8.5763820870506962</v>
      </c>
      <c r="CB17" s="22">
        <f t="shared" si="10"/>
        <v>62.578803388802356</v>
      </c>
      <c r="CC17" s="62">
        <f t="shared" si="11"/>
        <v>336.3565811665801</v>
      </c>
      <c r="CD17" s="62">
        <f ca="1">AVERAGE(OFFSET($CC$3,0,0,'Données projet'!$E$12+1,1))-AVERAGE(OFFSET($H$3,0,0,'Données projet'!$E$12+1,1))</f>
        <v>367.11183928586667</v>
      </c>
      <c r="CE17" s="62">
        <f t="shared" si="40"/>
        <v>281.52963027844595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6.0588235294117645</v>
      </c>
      <c r="CT17" s="13">
        <f>IF('Données projet'!$A$140&gt;35,CT16+CS17-DB16,IF(A17&lt;'Données projet'!$A$140,$CQ$205^A17,IF(A17='Données projet'!$A$140,'Données projet'!$B$140,CT16+CS17-DB16)))</f>
        <v>45.460128149246948</v>
      </c>
      <c r="CU17" s="18">
        <f>CT17*VLOOKUP('Données projet'!$B$13,Paramètres!$A$1:$I$89,3,0)*VLOOKUP('Données projet'!$B$13,Paramètres!$A$1:$I$89,5,0)</f>
        <v>27.185156633249676</v>
      </c>
      <c r="CV17" s="14">
        <f t="shared" si="41"/>
        <v>8.5295806188263423</v>
      </c>
      <c r="CW17" s="22">
        <f t="shared" si="13"/>
        <v>62.203167380699057</v>
      </c>
      <c r="CX17" s="62">
        <f t="shared" si="14"/>
        <v>335.98094515847686</v>
      </c>
      <c r="CY17" s="62">
        <f ca="1">AVERAGE(OFFSET($CX$3,0,0,'Données projet'!$E$13+1,1))-AVERAGE(OFFSET($H$3,0,0,'Données projet'!$E$13+1,1))</f>
        <v>308.47522272937135</v>
      </c>
      <c r="CZ17" s="62">
        <f t="shared" si="42"/>
        <v>302.54354650449721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4.3</v>
      </c>
      <c r="DO17" s="13">
        <f>IF('Données projet'!$A$166&gt;35,DO16+DN17-DW16,IF(A17&lt;'Données projet'!$A$166,$DL$205^A17,IF(A17='Données projet'!$A$166,'Données projet'!$B$166,DO16+DN17-DW16)))</f>
        <v>48.856505481160028</v>
      </c>
      <c r="DP17" s="18">
        <f>DO17*VLOOKUP('Données projet'!$B$14,Paramètres!$A$1:$I$89,3,0)*VLOOKUP('Données projet'!$B$14,Paramètres!$A$1:$I$89,5,0)</f>
        <v>38.870235760810921</v>
      </c>
      <c r="DQ17" s="14">
        <f t="shared" si="43"/>
        <v>11.698705289972859</v>
      </c>
      <c r="DR17" s="22">
        <f t="shared" si="16"/>
        <v>88.074238996781745</v>
      </c>
      <c r="DS17" s="62">
        <f t="shared" si="17"/>
        <v>361.8520167745595</v>
      </c>
      <c r="DT17" s="62">
        <f ca="1">AVERAGE(OFFSET($DS$3,0,0,'Données projet'!$E$14+1,1))-AVERAGE(OFFSET($H$3,0,0,'Données projet'!$E$14+1,1))</f>
        <v>370.58277541710277</v>
      </c>
      <c r="DU17" s="62">
        <f t="shared" si="44"/>
        <v>404.61777090709171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6.2222222222222223</v>
      </c>
      <c r="EJ17" s="13">
        <f>IF('Données projet'!$A$192&gt;35,EJ16+EI17-ER16,IF(A17&lt;'Données projet'!$A$192,$EG$205^A17,IF(A17='Données projet'!$A$192,'Données projet'!$B$192,EJ16+EI17-ER16)))</f>
        <v>39.249690802844427</v>
      </c>
      <c r="EK17" s="18">
        <f>EJ17*VLOOKUP('Données projet'!$B$15,Paramètres!$A$1:$I$89,3,0)*VLOOKUP('Données projet'!$B$15,Paramètres!$A$1:$I$89,5,0)</f>
        <v>24.491807060974921</v>
      </c>
      <c r="EL17" s="14">
        <f t="shared" si="45"/>
        <v>7.7784106944068903</v>
      </c>
      <c r="EM17" s="22">
        <f t="shared" si="19"/>
        <v>56.203962590623313</v>
      </c>
      <c r="EN17" s="62">
        <f t="shared" si="20"/>
        <v>329.98174036840106</v>
      </c>
      <c r="EO17" s="62">
        <f ca="1">AVERAGE(OFFSET($EN$3,0,0,'Données projet'!$E$15+1,1))-AVERAGE(OFFSET($H$3,0,0,'Données projet'!$E$15+1,1))</f>
        <v>240.22884864766218</v>
      </c>
      <c r="EP17" s="62">
        <f t="shared" si="46"/>
        <v>343.23776884143166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1.4</v>
      </c>
      <c r="FE17" s="13">
        <f>IF('Données projet'!$A$218&gt;35,FE16+FD17-FM16,IF(A17&lt;'Données projet'!$A$218,$FB$205^A17,IF(A17='Données projet'!$A$218,'Données projet'!$B$218,FE16+FD17-FM16)))</f>
        <v>10.304113218507704</v>
      </c>
      <c r="FF17" s="18">
        <f>FE17*VLOOKUP('Données projet'!$B$16,Paramètres!$A$1:$I$89,3,0)*VLOOKUP('Données projet'!$B$16,Paramètres!$A$1:$I$89,5,0)</f>
        <v>4.8223249862616049</v>
      </c>
      <c r="FG17" s="14">
        <f t="shared" si="47"/>
        <v>1.8504505600260996</v>
      </c>
      <c r="FH17" s="22">
        <f t="shared" si="22"/>
        <v>11.621750743117751</v>
      </c>
      <c r="FI17" s="62">
        <f t="shared" si="23"/>
        <v>285.3995285208955</v>
      </c>
      <c r="FJ17" s="62">
        <f ca="1">AVERAGE(OFFSET($FI$3,0,0,'Données projet'!$E$16+1,1))-AVERAGE(OFFSET($H$3,0,0,'Données projet'!$E$16+1,1))</f>
        <v>399.92909819003523</v>
      </c>
      <c r="FK17" s="62">
        <f t="shared" si="48"/>
        <v>163.7053537268381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4.3</v>
      </c>
      <c r="FZ17" s="13">
        <f>IF('Données projet'!$A$244&gt;35,FZ16+FY17-GH16,IF(A17&lt;'Données projet'!$A$244,$FW$205^A17,IF(A17='Données projet'!$A$244,'Données projet'!$B$244,FZ16+FY17-GH16)))</f>
        <v>48.856505481160028</v>
      </c>
      <c r="GA17" s="18">
        <f>FZ17*VLOOKUP('Données projet'!$B$17,Paramètres!$A$1:$I$89,3,0)*VLOOKUP('Données projet'!$B$17,Paramètres!$A$1:$I$89,5,0)</f>
        <v>35.821589818786535</v>
      </c>
      <c r="GB17" s="14">
        <f t="shared" si="49"/>
        <v>10.884148541259849</v>
      </c>
      <c r="GC17" s="22">
        <f t="shared" si="25"/>
        <v>81.345827643747455</v>
      </c>
      <c r="GD17" s="62">
        <f t="shared" si="26"/>
        <v>355.12360542152521</v>
      </c>
      <c r="GE17" s="62">
        <f ca="1">AVERAGE(OFFSET($GD$3,0,0,'Données projet'!$E$17+1,1))-AVERAGE(OFFSET($H$3,0,0,'Données projet'!$E$17+1,1))</f>
        <v>344.4426665022238</v>
      </c>
      <c r="GF17" s="62">
        <f t="shared" si="50"/>
        <v>376.41441893222185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5.0333333333333332</v>
      </c>
      <c r="GU17" s="13">
        <f>IF('Données projet'!$A$270&gt;35,GU16+GT17-HC16,IF(A17&lt;'Données projet'!$A$270,$GR$205^A17,IF(A17='Données projet'!$A$270,'Données projet'!$B$270,GU16+GT17-HC16)))</f>
        <v>10.395751958568445</v>
      </c>
      <c r="GV17" s="18">
        <f>GU17*VLOOKUP('Données projet'!$B$18,Paramètres!$A$1:$I$89,3,0)*VLOOKUP('Données projet'!$B$18,Paramètres!$A$1:$I$89,5,0)</f>
        <v>5.0003566920714224</v>
      </c>
      <c r="GW17" s="14">
        <f t="shared" si="51"/>
        <v>1.910686060993841</v>
      </c>
      <c r="GX17" s="22">
        <f t="shared" si="28"/>
        <v>12.036732794922001</v>
      </c>
      <c r="GY17" s="62">
        <f t="shared" si="29"/>
        <v>285.81451057269976</v>
      </c>
      <c r="GZ17" s="62">
        <f ca="1">AVERAGE(OFFSET($GY$3,0,0,'Données projet'!$E$18+1,1))-AVERAGE(OFFSET($H$3,0,0,'Données projet'!$E$18+1,1))</f>
        <v>441.17479680509746</v>
      </c>
      <c r="HA17" s="62">
        <f t="shared" si="52"/>
        <v>198.56576128410069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</v>
      </c>
      <c r="N18" s="14">
        <f>IF('Données projet'!$A$36&gt;35,N17+M18-V17,IF(A18&lt;'Données projet'!$A$36,$K$205^A18,IF(A18='Données projet'!$A$36,'Données projet'!$B$36,N17+M18-V17)))</f>
        <v>45.575145902959399</v>
      </c>
      <c r="O18" s="14">
        <f>N18*VLOOKUP('Données projet'!$B$9,Paramètres!$A$1:$I$89,3,0)*VLOOKUP('Données projet'!$B$9,Paramètres!$A$1:$I$89,5,0)</f>
        <v>25.476506559754306</v>
      </c>
      <c r="P18" s="14">
        <f t="shared" si="33"/>
        <v>8.0541044765944179</v>
      </c>
      <c r="Q18" s="22">
        <f t="shared" si="2"/>
        <v>58.399147554974014</v>
      </c>
      <c r="R18" s="62">
        <f t="shared" si="0"/>
        <v>333.39914755497404</v>
      </c>
      <c r="S18" s="62">
        <f ca="1">AVERAGE(OFFSET($R$3,0,0,'Données projet'!$E$9+1,1))-AVERAGE(OFFSET($H$3,0,0,'Données projet'!$E$9+1,1))</f>
        <v>374.79806286316051</v>
      </c>
      <c r="T18" s="62">
        <f t="shared" si="34"/>
        <v>350.01856672839466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88</v>
      </c>
      <c r="AG18" s="13">
        <f>VLOOKUP(A18,'Données projet'!$A$61:$I$81,9,0)</f>
        <v>10.6</v>
      </c>
      <c r="AH18" s="13">
        <f t="array" ref="AH18">INDEX(AG:AG,MIN(IF(ISNUMBER(AG18:AG214),ROW(AG18:AG214),"")))</f>
        <v>10.6</v>
      </c>
      <c r="AI18" s="14">
        <f>IF('Données projet'!$A$62&gt;35,AI17+AH18-AQ17,IF(A18&lt;'Données projet'!$A$62,$AF$205^A18,IF(A18='Données projet'!$A$62,'Données projet'!$B$62,AI17+AH18-AQ17)))</f>
        <v>87.999999999999986</v>
      </c>
      <c r="AJ18" s="14">
        <f>AI18*VLOOKUP('Données projet'!$B$10,Paramètres!$A$1:$I$89,3,0)*VLOOKUP('Données projet'!$B$10,Paramètres!$A$1:$I$89,5,0)</f>
        <v>76.876799999999989</v>
      </c>
      <c r="AK18" s="14">
        <f t="shared" si="35"/>
        <v>21.371784666185118</v>
      </c>
      <c r="AL18" s="22">
        <f t="shared" si="4"/>
        <v>171.1162849602724</v>
      </c>
      <c r="AM18" s="62">
        <f t="shared" si="5"/>
        <v>446.11628496027242</v>
      </c>
      <c r="AN18" s="62">
        <f ca="1">AVERAGE(OFFSET($AM$3,0,0,'Données projet'!$E$10+1,1))-AVERAGE(OFFSET($H$3,0,0,'Données projet'!$E$10+1,1))</f>
        <v>401.89597032936751</v>
      </c>
      <c r="AO18" s="62">
        <f t="shared" si="36"/>
        <v>417.85733543972361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14.927585237660953</v>
      </c>
      <c r="BF18" s="14">
        <f t="shared" si="37"/>
        <v>5.0221449106318534</v>
      </c>
      <c r="BG18" s="22">
        <f t="shared" si="7"/>
        <v>34.745780008276633</v>
      </c>
      <c r="BH18" s="62">
        <f t="shared" si="8"/>
        <v>309.74578000827665</v>
      </c>
      <c r="BI18" s="62">
        <f ca="1">AVERAGE(OFFSET($BH$3,0,0,'Données projet'!$E$11+1,1))-AVERAGE(OFFSET($H$3,0,0,'Données projet'!$E$11+1,1))</f>
        <v>430.40491895612814</v>
      </c>
      <c r="BJ18" s="62">
        <f t="shared" si="38"/>
        <v>231.36959598460686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36.53846153846154</v>
      </c>
      <c r="BW18" s="13">
        <f>VLOOKUP(A18,'Données projet'!$A$113:$I$133,9,0)</f>
        <v>2.4358974358974361</v>
      </c>
      <c r="BX18" s="13">
        <f t="array" ref="BX18">INDEX(BW:BW,MIN(IF(ISNUMBER(BW18:BW214),ROW(BW18:BW214),"")))</f>
        <v>2.4358974358974361</v>
      </c>
      <c r="BY18" s="13">
        <f>IF('Données projet'!$A$114&gt;35,BY17+BX18-CG17,IF(A18&lt;'Données projet'!$A$114,$BV$205^A18,IF(A18='Données projet'!$A$114,'Données projet'!$B$114,BY17+BX18-CG17)))</f>
        <v>36.53846153846154</v>
      </c>
      <c r="BZ18" s="14">
        <f>BY18*VLOOKUP('Données projet'!$B$12,Paramètres!$A$1:$I$89,3,0)*VLOOKUP('Données projet'!$B$12,Paramètres!$A$1:$I$89,5,0)</f>
        <v>34.770000000000003</v>
      </c>
      <c r="CA18" s="14">
        <f t="shared" si="39"/>
        <v>10.601334297333203</v>
      </c>
      <c r="CB18" s="22">
        <f t="shared" si="10"/>
        <v>79.021740567855332</v>
      </c>
      <c r="CC18" s="62">
        <f t="shared" si="11"/>
        <v>354.02174056785532</v>
      </c>
      <c r="CD18" s="62">
        <f ca="1">AVERAGE(OFFSET($CC$3,0,0,'Données projet'!$E$12+1,1))-AVERAGE(OFFSET($H$3,0,0,'Données projet'!$E$12+1,1))</f>
        <v>367.11183928586667</v>
      </c>
      <c r="CE18" s="62">
        <f t="shared" si="40"/>
        <v>281.52963027844595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6.0588235294117645</v>
      </c>
      <c r="CT18" s="13">
        <f>IF('Données projet'!$A$140&gt;35,CT17+CS18-DB17,IF(A18&lt;'Données projet'!$A$140,$CQ$205^A18,IF(A18='Données projet'!$A$140,'Données projet'!$B$140,CT17+CS18-DB17)))</f>
        <v>59.708044157024418</v>
      </c>
      <c r="CU18" s="18">
        <f>CT18*VLOOKUP('Données projet'!$B$13,Paramètres!$A$1:$I$89,3,0)*VLOOKUP('Données projet'!$B$13,Paramètres!$A$1:$I$89,5,0)</f>
        <v>35.705410405900608</v>
      </c>
      <c r="CV18" s="14">
        <f t="shared" si="41"/>
        <v>10.852951273782441</v>
      </c>
      <c r="CW18" s="22">
        <f t="shared" si="13"/>
        <v>81.089146592114631</v>
      </c>
      <c r="CX18" s="62">
        <f t="shared" si="14"/>
        <v>356.08914659211462</v>
      </c>
      <c r="CY18" s="62">
        <f ca="1">AVERAGE(OFFSET($CX$3,0,0,'Données projet'!$E$13+1,1))-AVERAGE(OFFSET($H$3,0,0,'Données projet'!$E$13+1,1))</f>
        <v>308.47522272937135</v>
      </c>
      <c r="CZ18" s="62">
        <f t="shared" si="42"/>
        <v>302.54354650449721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64.5</v>
      </c>
      <c r="DM18" s="13">
        <f>VLOOKUP(A18,'Données projet'!$A$165:$I$185,9,0)</f>
        <v>4.3</v>
      </c>
      <c r="DN18" s="13">
        <f t="array" ref="DN18">INDEX(DM:DM,MIN(IF(ISNUMBER(DM18:DM214),ROW(DM18:DM214),"")))</f>
        <v>4.3</v>
      </c>
      <c r="DO18" s="13">
        <f>IF('Données projet'!$A$166&gt;35,DO17+DN18-DW17,IF(A18&lt;'Données projet'!$A$166,$DL$205^A18,IF(A18='Données projet'!$A$166,'Données projet'!$B$166,DO17+DN18-DW17)))</f>
        <v>64.5</v>
      </c>
      <c r="DP18" s="18">
        <f>DO18*VLOOKUP('Données projet'!$B$14,Paramètres!$A$1:$I$89,3,0)*VLOOKUP('Données projet'!$B$14,Paramètres!$A$1:$I$89,5,0)</f>
        <v>51.316200000000009</v>
      </c>
      <c r="DQ18" s="14">
        <f t="shared" si="43"/>
        <v>14.953158316506878</v>
      </c>
      <c r="DR18" s="22">
        <f t="shared" si="16"/>
        <v>115.41913240124948</v>
      </c>
      <c r="DS18" s="62">
        <f t="shared" si="17"/>
        <v>390.4191324012495</v>
      </c>
      <c r="DT18" s="62">
        <f ca="1">AVERAGE(OFFSET($DS$3,0,0,'Données projet'!$E$14+1,1))-AVERAGE(OFFSET($H$3,0,0,'Données projet'!$E$14+1,1))</f>
        <v>370.58277541710277</v>
      </c>
      <c r="DU18" s="62">
        <f t="shared" si="44"/>
        <v>404.61777090709171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6.2222222222222223</v>
      </c>
      <c r="EJ18" s="13">
        <f>IF('Données projet'!$A$192&gt;35,EJ17+EI18-ER17,IF(A18&lt;'Données projet'!$A$192,$EG$205^A18,IF(A18='Données projet'!$A$192,'Données projet'!$B$192,EJ17+EI18-ER17)))</f>
        <v>51.013096442350388</v>
      </c>
      <c r="EK18" s="18">
        <f>EJ18*VLOOKUP('Données projet'!$B$15,Paramètres!$A$1:$I$89,3,0)*VLOOKUP('Données projet'!$B$15,Paramètres!$A$1:$I$89,5,0)</f>
        <v>31.832172180026642</v>
      </c>
      <c r="EL18" s="14">
        <f t="shared" si="45"/>
        <v>9.8058378099430179</v>
      </c>
      <c r="EM18" s="22">
        <f t="shared" si="19"/>
        <v>72.519534065863823</v>
      </c>
      <c r="EN18" s="62">
        <f t="shared" si="20"/>
        <v>347.51953406586381</v>
      </c>
      <c r="EO18" s="62">
        <f ca="1">AVERAGE(OFFSET($EN$3,0,0,'Données projet'!$E$15+1,1))-AVERAGE(OFFSET($H$3,0,0,'Données projet'!$E$15+1,1))</f>
        <v>240.22884864766218</v>
      </c>
      <c r="EP18" s="62">
        <f t="shared" si="46"/>
        <v>343.23776884143166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1.4</v>
      </c>
      <c r="FE18" s="13">
        <f>IF('Données projet'!$A$218&gt;35,FE17+FD18-FM17,IF(A18&lt;'Données projet'!$A$218,$FB$205^A18,IF(A18='Données projet'!$A$218,'Données projet'!$B$218,FE17+FD18-FM17)))</f>
        <v>12.172184414459773</v>
      </c>
      <c r="FF18" s="18">
        <f>FE18*VLOOKUP('Données projet'!$B$16,Paramètres!$A$1:$I$89,3,0)*VLOOKUP('Données projet'!$B$16,Paramètres!$A$1:$I$89,5,0)</f>
        <v>5.6965823059671736</v>
      </c>
      <c r="FG18" s="14">
        <f t="shared" si="47"/>
        <v>2.1439414855686696</v>
      </c>
      <c r="FH18" s="22">
        <f t="shared" si="22"/>
        <v>13.655578936924925</v>
      </c>
      <c r="FI18" s="62">
        <f t="shared" si="23"/>
        <v>288.65557893692494</v>
      </c>
      <c r="FJ18" s="62">
        <f ca="1">AVERAGE(OFFSET($FI$3,0,0,'Données projet'!$E$16+1,1))-AVERAGE(OFFSET($H$3,0,0,'Données projet'!$E$16+1,1))</f>
        <v>399.92909819003523</v>
      </c>
      <c r="FK18" s="62">
        <f t="shared" si="48"/>
        <v>163.7053537268381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64.5</v>
      </c>
      <c r="FX18" s="13">
        <f>VLOOKUP(A18,'Données projet'!$A$243:$I$263,9,0)</f>
        <v>4.3</v>
      </c>
      <c r="FY18" s="13">
        <f t="array" ref="FY18">INDEX(FX:FX,MIN(IF(ISNUMBER(FX18:FX214),ROW(FX18:FX214),"")))</f>
        <v>4.3</v>
      </c>
      <c r="FZ18" s="13">
        <f>IF('Données projet'!$A$244&gt;35,FZ17+FY18-GH17,IF(A18&lt;'Données projet'!$A$244,$FW$205^A18,IF(A18='Données projet'!$A$244,'Données projet'!$B$244,FZ17+FY18-GH17)))</f>
        <v>64.5</v>
      </c>
      <c r="GA18" s="18">
        <f>FZ18*VLOOKUP('Données projet'!$B$17,Paramètres!$A$1:$I$89,3,0)*VLOOKUP('Données projet'!$B$17,Paramètres!$A$1:$I$89,5,0)</f>
        <v>47.291399999999996</v>
      </c>
      <c r="GB18" s="14">
        <f t="shared" si="49"/>
        <v>13.91200070808976</v>
      </c>
      <c r="GC18" s="22">
        <f t="shared" si="25"/>
        <v>106.595922899923</v>
      </c>
      <c r="GD18" s="62">
        <f t="shared" si="26"/>
        <v>381.59592289992298</v>
      </c>
      <c r="GE18" s="62">
        <f ca="1">AVERAGE(OFFSET($GD$3,0,0,'Données projet'!$E$17+1,1))-AVERAGE(OFFSET($H$3,0,0,'Données projet'!$E$17+1,1))</f>
        <v>344.4426665022238</v>
      </c>
      <c r="GF18" s="62">
        <f t="shared" si="50"/>
        <v>376.41441893222185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5.0333333333333332</v>
      </c>
      <c r="GU18" s="13">
        <f>IF('Données projet'!$A$270&gt;35,GU17+GT18-HC17,IF(A18&lt;'Données projet'!$A$270,$GR$205^A18,IF(A18='Données projet'!$A$270,'Données projet'!$B$270,GU17+GT18-HC17)))</f>
        <v>12.288205727444495</v>
      </c>
      <c r="GV18" s="18">
        <f>GU18*VLOOKUP('Données projet'!$B$18,Paramètres!$A$1:$I$89,3,0)*VLOOKUP('Données projet'!$B$18,Paramètres!$A$1:$I$89,5,0)</f>
        <v>5.9106269549008026</v>
      </c>
      <c r="GW18" s="14">
        <f t="shared" si="51"/>
        <v>2.2149680682686865</v>
      </c>
      <c r="GX18" s="22">
        <f t="shared" si="28"/>
        <v>14.152077998686858</v>
      </c>
      <c r="GY18" s="62">
        <f t="shared" si="29"/>
        <v>289.15207799868688</v>
      </c>
      <c r="GZ18" s="62">
        <f ca="1">AVERAGE(OFFSET($GY$3,0,0,'Données projet'!$E$18+1,1))-AVERAGE(OFFSET($H$3,0,0,'Données projet'!$E$18+1,1))</f>
        <v>441.17479680509746</v>
      </c>
      <c r="HA18" s="62">
        <f t="shared" si="52"/>
        <v>198.56576128410069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</v>
      </c>
      <c r="N19" s="14">
        <f>IF('Données projet'!$A$36&gt;35,N18+M19-V18,IF(A19&lt;'Données projet'!$A$36,$K$205^A19,IF(A19='Données projet'!$A$36,'Données projet'!$B$36,N18+M19-V18)))</f>
        <v>58.790877015554649</v>
      </c>
      <c r="O19" s="14">
        <f>N19*VLOOKUP('Données projet'!$B$9,Paramètres!$A$1:$I$89,3,0)*VLOOKUP('Données projet'!$B$9,Paramètres!$A$1:$I$89,5,0)</f>
        <v>32.864100251695049</v>
      </c>
      <c r="P19" s="14">
        <f t="shared" si="33"/>
        <v>10.086195929139501</v>
      </c>
      <c r="Q19" s="22">
        <f t="shared" si="2"/>
        <v>74.805099181620164</v>
      </c>
      <c r="R19" s="62">
        <f t="shared" si="0"/>
        <v>351.02732140384239</v>
      </c>
      <c r="S19" s="62">
        <f ca="1">AVERAGE(OFFSET($R$3,0,0,'Données projet'!$E$9+1,1))-AVERAGE(OFFSET($H$3,0,0,'Données projet'!$E$9+1,1))</f>
        <v>374.79806286316051</v>
      </c>
      <c r="T19" s="62">
        <f t="shared" si="34"/>
        <v>350.01856672839466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11.8</v>
      </c>
      <c r="AI19" s="14">
        <f>IF('Données projet'!$A$62&gt;35,AI18+AH19-AQ18,IF(A19&lt;'Données projet'!$A$62,$AF$205^A19,IF(A19='Données projet'!$A$62,'Données projet'!$B$62,AI18+AH19-AQ18)))</f>
        <v>99.799999999999983</v>
      </c>
      <c r="AJ19" s="14">
        <f>AI19*VLOOKUP('Données projet'!$B$10,Paramètres!$A$1:$I$89,3,0)*VLOOKUP('Données projet'!$B$10,Paramètres!$A$1:$I$89,5,0)</f>
        <v>87.185280000000006</v>
      </c>
      <c r="AK19" s="14">
        <f t="shared" si="35"/>
        <v>23.885132065270327</v>
      </c>
      <c r="AL19" s="22">
        <f t="shared" si="4"/>
        <v>193.4476343470125</v>
      </c>
      <c r="AM19" s="62">
        <f t="shared" si="5"/>
        <v>469.66985656923475</v>
      </c>
      <c r="AN19" s="62">
        <f ca="1">AVERAGE(OFFSET($AM$3,0,0,'Données projet'!$E$10+1,1))-AVERAGE(OFFSET($H$3,0,0,'Données projet'!$E$10+1,1))</f>
        <v>401.89597032936751</v>
      </c>
      <c r="AO19" s="62">
        <f t="shared" si="36"/>
        <v>417.85733543972361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17.995007178485412</v>
      </c>
      <c r="BF19" s="14">
        <f t="shared" si="37"/>
        <v>5.9238546434872337</v>
      </c>
      <c r="BG19" s="22">
        <f t="shared" si="7"/>
        <v>41.658684339935689</v>
      </c>
      <c r="BH19" s="62">
        <f t="shared" si="8"/>
        <v>317.88090656215792</v>
      </c>
      <c r="BI19" s="62">
        <f ca="1">AVERAGE(OFFSET($BH$3,0,0,'Données projet'!$E$11+1,1))-AVERAGE(OFFSET($H$3,0,0,'Données projet'!$E$11+1,1))</f>
        <v>430.40491895612814</v>
      </c>
      <c r="BJ19" s="62">
        <f t="shared" si="38"/>
        <v>231.36959598460686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6.2820512820512802</v>
      </c>
      <c r="BY19" s="13">
        <f>IF('Données projet'!$A$114&gt;35,BY18+BX19-CG18,IF(A19&lt;'Données projet'!$A$114,$BV$205^A19,IF(A19='Données projet'!$A$114,'Données projet'!$B$114,BY18+BX19-CG18)))</f>
        <v>42.820512820512818</v>
      </c>
      <c r="BZ19" s="14">
        <f>BY19*VLOOKUP('Données projet'!$B$12,Paramètres!$A$1:$I$89,3,0)*VLOOKUP('Données projet'!$B$12,Paramètres!$A$1:$I$89,5,0)</f>
        <v>40.747999999999998</v>
      </c>
      <c r="CA19" s="14">
        <f t="shared" si="39"/>
        <v>12.196690104400222</v>
      </c>
      <c r="CB19" s="22">
        <f t="shared" si="10"/>
        <v>92.212001931830386</v>
      </c>
      <c r="CC19" s="62">
        <f t="shared" si="11"/>
        <v>368.43422415405263</v>
      </c>
      <c r="CD19" s="62">
        <f ca="1">AVERAGE(OFFSET($CC$3,0,0,'Données projet'!$E$12+1,1))-AVERAGE(OFFSET($H$3,0,0,'Données projet'!$E$12+1,1))</f>
        <v>367.11183928586667</v>
      </c>
      <c r="CE19" s="62">
        <f t="shared" si="40"/>
        <v>281.52963027844595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6.0588235294117645</v>
      </c>
      <c r="CT19" s="13">
        <f>IF('Données projet'!$A$140&gt;35,CT18+CS19-DB18,IF(A19&lt;'Données projet'!$A$140,$CQ$205^A19,IF(A19='Données projet'!$A$140,'Données projet'!$B$140,CT18+CS19-DB18)))</f>
        <v>78.42148014526073</v>
      </c>
      <c r="CU19" s="18">
        <f>CT19*VLOOKUP('Données projet'!$B$13,Paramètres!$A$1:$I$89,3,0)*VLOOKUP('Données projet'!$B$13,Paramètres!$A$1:$I$89,5,0)</f>
        <v>46.896045126865928</v>
      </c>
      <c r="CV19" s="14">
        <f t="shared" si="41"/>
        <v>13.809184368469356</v>
      </c>
      <c r="CW19" s="22">
        <f t="shared" si="13"/>
        <v>105.72827470437562</v>
      </c>
      <c r="CX19" s="62">
        <f t="shared" si="14"/>
        <v>381.95049692659785</v>
      </c>
      <c r="CY19" s="62">
        <f ca="1">AVERAGE(OFFSET($CX$3,0,0,'Données projet'!$E$13+1,1))-AVERAGE(OFFSET($H$3,0,0,'Données projet'!$E$13+1,1))</f>
        <v>308.47522272937135</v>
      </c>
      <c r="CZ19" s="62">
        <f t="shared" si="42"/>
        <v>302.54354650449721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13.760000000000002</v>
      </c>
      <c r="DO19" s="13">
        <f>IF('Données projet'!$A$166&gt;35,DO18+DN19-DW18,IF(A19&lt;'Données projet'!$A$166,$DL$205^A19,IF(A19='Données projet'!$A$166,'Données projet'!$B$166,DO18+DN19-DW18)))</f>
        <v>78.260000000000005</v>
      </c>
      <c r="DP19" s="18">
        <f>DO19*VLOOKUP('Données projet'!$B$14,Paramètres!$A$1:$I$89,3,0)*VLOOKUP('Données projet'!$B$14,Paramètres!$A$1:$I$89,5,0)</f>
        <v>62.263656000000012</v>
      </c>
      <c r="DQ19" s="14">
        <f t="shared" si="43"/>
        <v>17.739352894036266</v>
      </c>
      <c r="DR19" s="22">
        <f t="shared" si="16"/>
        <v>139.33857382377983</v>
      </c>
      <c r="DS19" s="62">
        <f t="shared" si="17"/>
        <v>415.56079604600205</v>
      </c>
      <c r="DT19" s="62">
        <f ca="1">AVERAGE(OFFSET($DS$3,0,0,'Données projet'!$E$14+1,1))-AVERAGE(OFFSET($H$3,0,0,'Données projet'!$E$14+1,1))</f>
        <v>370.58277541710277</v>
      </c>
      <c r="DU19" s="62">
        <f t="shared" si="44"/>
        <v>404.61777090709171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6.2222222222222223</v>
      </c>
      <c r="EJ19" s="13">
        <f>IF('Données projet'!$A$192&gt;35,EJ18+EI19-ER18,IF(A19&lt;'Données projet'!$A$192,$EG$205^A19,IF(A19='Données projet'!$A$192,'Données projet'!$B$192,EJ18+EI19-ER18)))</f>
        <v>66.302076663695672</v>
      </c>
      <c r="EK19" s="18">
        <f>EJ19*VLOOKUP('Données projet'!$B$15,Paramètres!$A$1:$I$89,3,0)*VLOOKUP('Données projet'!$B$15,Paramètres!$A$1:$I$89,5,0)</f>
        <v>41.372495838146101</v>
      </c>
      <c r="EL19" s="14">
        <f t="shared" si="45"/>
        <v>12.361709728704412</v>
      </c>
      <c r="EM19" s="22">
        <f t="shared" si="19"/>
        <v>93.587074695597963</v>
      </c>
      <c r="EN19" s="62">
        <f t="shared" si="20"/>
        <v>369.80929691782018</v>
      </c>
      <c r="EO19" s="62">
        <f ca="1">AVERAGE(OFFSET($EN$3,0,0,'Données projet'!$E$15+1,1))-AVERAGE(OFFSET($H$3,0,0,'Données projet'!$E$15+1,1))</f>
        <v>240.22884864766218</v>
      </c>
      <c r="EP19" s="62">
        <f t="shared" si="46"/>
        <v>343.23776884143166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1.4</v>
      </c>
      <c r="FE19" s="13">
        <f>IF('Données projet'!$A$218&gt;35,FE18+FD19-FM18,IF(A19&lt;'Données projet'!$A$218,$FB$205^A19,IF(A19='Données projet'!$A$218,'Données projet'!$B$218,FE18+FD19-FM18)))</f>
        <v>14.378925219250942</v>
      </c>
      <c r="FF19" s="18">
        <f>FE19*VLOOKUP('Données projet'!$B$16,Paramètres!$A$1:$I$89,3,0)*VLOOKUP('Données projet'!$B$16,Paramètres!$A$1:$I$89,5,0)</f>
        <v>6.7293370026094408</v>
      </c>
      <c r="FG19" s="14">
        <f t="shared" si="47"/>
        <v>2.4839815733728994</v>
      </c>
      <c r="FH19" s="22">
        <f t="shared" si="22"/>
        <v>16.04652985316924</v>
      </c>
      <c r="FI19" s="62">
        <f t="shared" si="23"/>
        <v>292.26875207539149</v>
      </c>
      <c r="FJ19" s="62">
        <f ca="1">AVERAGE(OFFSET($FI$3,0,0,'Données projet'!$E$16+1,1))-AVERAGE(OFFSET($H$3,0,0,'Données projet'!$E$16+1,1))</f>
        <v>399.92909819003523</v>
      </c>
      <c r="FK19" s="62">
        <f t="shared" si="48"/>
        <v>163.7053537268381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13.760000000000002</v>
      </c>
      <c r="FZ19" s="13">
        <f>IF('Données projet'!$A$244&gt;35,FZ18+FY19-GH18,IF(A19&lt;'Données projet'!$A$244,$FW$205^A19,IF(A19='Données projet'!$A$244,'Données projet'!$B$244,FZ18+FY19-GH18)))</f>
        <v>78.260000000000005</v>
      </c>
      <c r="GA19" s="18">
        <f>FZ19*VLOOKUP('Données projet'!$B$17,Paramètres!$A$1:$I$89,3,0)*VLOOKUP('Données projet'!$B$17,Paramètres!$A$1:$I$89,5,0)</f>
        <v>57.380232000000007</v>
      </c>
      <c r="GB19" s="14">
        <f t="shared" si="49"/>
        <v>16.504198297054995</v>
      </c>
      <c r="GC19" s="22">
        <f t="shared" si="25"/>
        <v>128.68204943403745</v>
      </c>
      <c r="GD19" s="62">
        <f t="shared" si="26"/>
        <v>404.90427165625965</v>
      </c>
      <c r="GE19" s="62">
        <f ca="1">AVERAGE(OFFSET($GD$3,0,0,'Données projet'!$E$17+1,1))-AVERAGE(OFFSET($H$3,0,0,'Données projet'!$E$17+1,1))</f>
        <v>344.4426665022238</v>
      </c>
      <c r="GF19" s="62">
        <f t="shared" si="50"/>
        <v>376.41441893222185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5.0333333333333332</v>
      </c>
      <c r="GU19" s="13">
        <f>IF('Données projet'!$A$270&gt;35,GU18+GT19-HC18,IF(A19&lt;'Données projet'!$A$270,$GR$205^A19,IF(A19='Données projet'!$A$270,'Données projet'!$B$270,GU18+GT19-HC18)))</f>
        <v>14.52516379784741</v>
      </c>
      <c r="GV19" s="18">
        <f>GU19*VLOOKUP('Données projet'!$B$18,Paramètres!$A$1:$I$89,3,0)*VLOOKUP('Données projet'!$B$18,Paramètres!$A$1:$I$89,5,0)</f>
        <v>6.9866037867646043</v>
      </c>
      <c r="GW19" s="14">
        <f t="shared" si="51"/>
        <v>2.5677078216072946</v>
      </c>
      <c r="GX19" s="22">
        <f t="shared" si="28"/>
        <v>16.640426051247726</v>
      </c>
      <c r="GY19" s="62">
        <f t="shared" si="29"/>
        <v>292.86264827346997</v>
      </c>
      <c r="GZ19" s="62">
        <f ca="1">AVERAGE(OFFSET($GY$3,0,0,'Données projet'!$E$18+1,1))-AVERAGE(OFFSET($H$3,0,0,'Données projet'!$E$18+1,1))</f>
        <v>441.17479680509746</v>
      </c>
      <c r="HA19" s="62">
        <f t="shared" si="52"/>
        <v>198.56576128410069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</v>
      </c>
      <c r="N20" s="14">
        <f>IF('Données projet'!$A$36&gt;35,N19+M20-V19,IF(A20&lt;'Données projet'!$A$36,$K$205^A20,IF(A20='Données projet'!$A$36,'Données projet'!$B$36,N19+M20-V19)))</f>
        <v>75.838862427725871</v>
      </c>
      <c r="O20" s="14">
        <f>N20*VLOOKUP('Données projet'!$B$9,Paramètres!$A$1:$I$89,3,0)*VLOOKUP('Données projet'!$B$9,Paramètres!$A$1:$I$89,5,0)</f>
        <v>42.393924097098761</v>
      </c>
      <c r="P20" s="14">
        <f t="shared" si="33"/>
        <v>12.630994372698538</v>
      </c>
      <c r="Q20" s="22">
        <f t="shared" si="2"/>
        <v>95.835066334896965</v>
      </c>
      <c r="R20" s="62">
        <f t="shared" si="0"/>
        <v>373.27951077934142</v>
      </c>
      <c r="S20" s="62">
        <f ca="1">AVERAGE(OFFSET($R$3,0,0,'Données projet'!$E$9+1,1))-AVERAGE(OFFSET($H$3,0,0,'Données projet'!$E$9+1,1))</f>
        <v>374.79806286316051</v>
      </c>
      <c r="T20" s="62">
        <f t="shared" si="34"/>
        <v>350.01856672839466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11.8</v>
      </c>
      <c r="AI20" s="14">
        <f>IF('Données projet'!$A$62&gt;35,AI19+AH20-AQ19,IF(A20&lt;'Données projet'!$A$62,$AF$205^A20,IF(A20='Données projet'!$A$62,'Données projet'!$B$62,AI19+AH20-AQ19)))</f>
        <v>111.59999999999998</v>
      </c>
      <c r="AJ20" s="14">
        <f>AI20*VLOOKUP('Données projet'!$B$10,Paramètres!$A$1:$I$89,3,0)*VLOOKUP('Données projet'!$B$10,Paramètres!$A$1:$I$89,5,0)</f>
        <v>97.493759999999995</v>
      </c>
      <c r="AK20" s="14">
        <f t="shared" si="35"/>
        <v>26.364041280888873</v>
      </c>
      <c r="AL20" s="22">
        <f t="shared" si="4"/>
        <v>215.71900389754811</v>
      </c>
      <c r="AM20" s="62">
        <f t="shared" si="5"/>
        <v>493.16344834199253</v>
      </c>
      <c r="AN20" s="62">
        <f ca="1">AVERAGE(OFFSET($AM$3,0,0,'Données projet'!$E$10+1,1))-AVERAGE(OFFSET($H$3,0,0,'Données projet'!$E$10+1,1))</f>
        <v>401.89597032936751</v>
      </c>
      <c r="AO20" s="62">
        <f t="shared" si="36"/>
        <v>417.85733543972361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21.692743883101215</v>
      </c>
      <c r="BF20" s="14">
        <f t="shared" si="37"/>
        <v>6.98746341685115</v>
      </c>
      <c r="BG20" s="22">
        <f t="shared" si="7"/>
        <v>49.951361047417038</v>
      </c>
      <c r="BH20" s="62">
        <f t="shared" si="8"/>
        <v>327.39580549186149</v>
      </c>
      <c r="BI20" s="62">
        <f ca="1">AVERAGE(OFFSET($BH$3,0,0,'Données projet'!$E$11+1,1))-AVERAGE(OFFSET($H$3,0,0,'Données projet'!$E$11+1,1))</f>
        <v>430.40491895612814</v>
      </c>
      <c r="BJ20" s="62">
        <f t="shared" si="38"/>
        <v>231.36959598460686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6.2820512820512802</v>
      </c>
      <c r="BY20" s="13">
        <f>IF('Données projet'!$A$114&gt;35,BY19+BX20-CG19,IF(A20&lt;'Données projet'!$A$114,$BV$205^A20,IF(A20='Données projet'!$A$114,'Données projet'!$B$114,BY19+BX20-CG19)))</f>
        <v>49.102564102564095</v>
      </c>
      <c r="BZ20" s="14">
        <f>BY20*VLOOKUP('Données projet'!$B$12,Paramètres!$A$1:$I$89,3,0)*VLOOKUP('Données projet'!$B$12,Paramètres!$A$1:$I$89,5,0)</f>
        <v>46.725999999999992</v>
      </c>
      <c r="CA20" s="14">
        <f t="shared" si="39"/>
        <v>13.764931291666562</v>
      </c>
      <c r="CB20" s="22">
        <f t="shared" si="10"/>
        <v>105.35503866631923</v>
      </c>
      <c r="CC20" s="62">
        <f t="shared" si="11"/>
        <v>382.79948311076367</v>
      </c>
      <c r="CD20" s="62">
        <f ca="1">AVERAGE(OFFSET($CC$3,0,0,'Données projet'!$E$12+1,1))-AVERAGE(OFFSET($H$3,0,0,'Données projet'!$E$12+1,1))</f>
        <v>367.11183928586667</v>
      </c>
      <c r="CE20" s="62">
        <f t="shared" si="40"/>
        <v>281.52963027844595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>
        <f>VLOOKUP(A20,'Données projet'!$A$139:$I$159,2,0)</f>
        <v>103</v>
      </c>
      <c r="CR20" s="13">
        <f>VLOOKUP(A20,'Données projet'!$A$139:$I$159,9,0)</f>
        <v>6.0588235294117645</v>
      </c>
      <c r="CS20" s="13">
        <f t="array" ref="CS20">INDEX(CR:CR,MIN(IF(ISNUMBER(CR20:CR216),ROW(CR20:CR216),"")))</f>
        <v>6.0588235294117645</v>
      </c>
      <c r="CT20" s="13">
        <f>IF('Données projet'!$A$140&gt;35,CT19+CS20-DB19,IF(A20&lt;'Données projet'!$A$140,$CQ$205^A20,IF(A20='Données projet'!$A$140,'Données projet'!$B$140,CT19+CS20-DB19)))</f>
        <v>103</v>
      </c>
      <c r="CU20" s="18">
        <f>CT20*VLOOKUP('Données projet'!$B$13,Paramètres!$A$1:$I$89,3,0)*VLOOKUP('Données projet'!$B$13,Paramètres!$A$1:$I$89,5,0)</f>
        <v>61.594000000000008</v>
      </c>
      <c r="CV20" s="14">
        <f t="shared" si="41"/>
        <v>17.570665168564613</v>
      </c>
      <c r="CW20" s="22">
        <f t="shared" si="13"/>
        <v>137.8784585019167</v>
      </c>
      <c r="CX20" s="62">
        <f t="shared" si="14"/>
        <v>415.32290294636118</v>
      </c>
      <c r="CY20" s="62">
        <f ca="1">AVERAGE(OFFSET($CX$3,0,0,'Données projet'!$E$13+1,1))-AVERAGE(OFFSET($H$3,0,0,'Données projet'!$E$13+1,1))</f>
        <v>308.47522272937135</v>
      </c>
      <c r="CZ20" s="62">
        <f t="shared" si="42"/>
        <v>302.54354650449721</v>
      </c>
      <c r="DA20" s="16">
        <f>IF(ISNA(VLOOKUP(A20,'Données projet'!$A$139:$I$159,3,0)),0,VLOOKUP(A20,'Données projet'!$A$139:$I$159,3,0))</f>
        <v>1</v>
      </c>
      <c r="DB20" s="16">
        <f>IF(ISNA(VLOOKUP(A20,'Données projet'!$A$139:$I$159,4,0)),0,VLOOKUP(A20,'Données projet'!$A$139:$I$159,4,0))</f>
        <v>15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13.760000000000002</v>
      </c>
      <c r="DO20" s="13">
        <f>IF('Données projet'!$A$166&gt;35,DO19+DN20-DW19,IF(A20&lt;'Données projet'!$A$166,$DL$205^A20,IF(A20='Données projet'!$A$166,'Données projet'!$B$166,DO19+DN20-DW19)))</f>
        <v>92.02000000000001</v>
      </c>
      <c r="DP20" s="18">
        <f>DO20*VLOOKUP('Données projet'!$B$14,Paramètres!$A$1:$I$89,3,0)*VLOOKUP('Données projet'!$B$14,Paramètres!$A$1:$I$89,5,0)</f>
        <v>73.211112000000014</v>
      </c>
      <c r="DQ20" s="14">
        <f t="shared" si="43"/>
        <v>20.468796348022103</v>
      </c>
      <c r="DR20" s="22">
        <f t="shared" si="16"/>
        <v>163.15917370613849</v>
      </c>
      <c r="DS20" s="62">
        <f t="shared" si="17"/>
        <v>440.60361815058297</v>
      </c>
      <c r="DT20" s="62">
        <f ca="1">AVERAGE(OFFSET($DS$3,0,0,'Données projet'!$E$14+1,1))-AVERAGE(OFFSET($H$3,0,0,'Données projet'!$E$14+1,1))</f>
        <v>370.58277541710277</v>
      </c>
      <c r="DU20" s="62">
        <f t="shared" si="44"/>
        <v>404.61777090709171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6.2222222222222223</v>
      </c>
      <c r="EJ20" s="13">
        <f>IF('Données projet'!$A$192&gt;35,EJ19+EI20-ER19,IF(A20&lt;'Données projet'!$A$192,$EG$205^A20,IF(A20='Données projet'!$A$192,'Données projet'!$B$192,EJ19+EI20-ER19)))</f>
        <v>86.1732707185582</v>
      </c>
      <c r="EK20" s="18">
        <f>EJ20*VLOOKUP('Données projet'!$B$15,Paramètres!$A$1:$I$89,3,0)*VLOOKUP('Données projet'!$B$15,Paramètres!$A$1:$I$89,5,0)</f>
        <v>53.772120928380318</v>
      </c>
      <c r="EL20" s="14">
        <f t="shared" si="45"/>
        <v>15.583764526657339</v>
      </c>
      <c r="EM20" s="22">
        <f t="shared" si="19"/>
        <v>120.79483383419057</v>
      </c>
      <c r="EN20" s="62">
        <f t="shared" si="20"/>
        <v>398.23927827863503</v>
      </c>
      <c r="EO20" s="62">
        <f ca="1">AVERAGE(OFFSET($EN$3,0,0,'Données projet'!$E$15+1,1))-AVERAGE(OFFSET($H$3,0,0,'Données projet'!$E$15+1,1))</f>
        <v>240.22884864766218</v>
      </c>
      <c r="EP20" s="62">
        <f t="shared" si="46"/>
        <v>343.23776884143166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1.4</v>
      </c>
      <c r="FE20" s="13">
        <f>IF('Données projet'!$A$218&gt;35,FE19+FD20-FM19,IF(A20&lt;'Données projet'!$A$218,$FB$205^A20,IF(A20='Données projet'!$A$218,'Données projet'!$B$218,FE19+FD20-FM19)))</f>
        <v>16.985734312010656</v>
      </c>
      <c r="FF20" s="18">
        <f>FE20*VLOOKUP('Données projet'!$B$16,Paramètres!$A$1:$I$89,3,0)*VLOOKUP('Données projet'!$B$16,Paramètres!$A$1:$I$89,5,0)</f>
        <v>7.9493236580209867</v>
      </c>
      <c r="FG20" s="14">
        <f t="shared" si="47"/>
        <v>2.8779537587144066</v>
      </c>
      <c r="FH20" s="22">
        <f t="shared" si="22"/>
        <v>18.857508167480809</v>
      </c>
      <c r="FI20" s="62">
        <f t="shared" si="23"/>
        <v>296.30195261192529</v>
      </c>
      <c r="FJ20" s="62">
        <f ca="1">AVERAGE(OFFSET($FI$3,0,0,'Données projet'!$E$16+1,1))-AVERAGE(OFFSET($H$3,0,0,'Données projet'!$E$16+1,1))</f>
        <v>399.92909819003523</v>
      </c>
      <c r="FK20" s="62">
        <f t="shared" si="48"/>
        <v>163.7053537268381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13.760000000000002</v>
      </c>
      <c r="FZ20" s="13">
        <f>IF('Données projet'!$A$244&gt;35,FZ19+FY20-GH19,IF(A20&lt;'Données projet'!$A$244,$FW$205^A20,IF(A20='Données projet'!$A$244,'Données projet'!$B$244,FZ19+FY20-GH19)))</f>
        <v>92.02000000000001</v>
      </c>
      <c r="GA20" s="18">
        <f>FZ20*VLOOKUP('Données projet'!$B$17,Paramètres!$A$1:$I$89,3,0)*VLOOKUP('Données projet'!$B$17,Paramètres!$A$1:$I$89,5,0)</f>
        <v>67.469064000000003</v>
      </c>
      <c r="GB20" s="14">
        <f t="shared" si="49"/>
        <v>19.043596226295445</v>
      </c>
      <c r="GC20" s="22">
        <f t="shared" si="25"/>
        <v>150.67621656079791</v>
      </c>
      <c r="GD20" s="62">
        <f t="shared" si="26"/>
        <v>428.12066100524237</v>
      </c>
      <c r="GE20" s="62">
        <f ca="1">AVERAGE(OFFSET($GD$3,0,0,'Données projet'!$E$17+1,1))-AVERAGE(OFFSET($H$3,0,0,'Données projet'!$E$17+1,1))</f>
        <v>344.4426665022238</v>
      </c>
      <c r="GF20" s="62">
        <f t="shared" si="50"/>
        <v>376.41441893222185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5.0333333333333332</v>
      </c>
      <c r="GU20" s="13">
        <f>IF('Données projet'!$A$270&gt;35,GU19+GT20-HC19,IF(A20&lt;'Données projet'!$A$270,$GR$205^A20,IF(A20='Données projet'!$A$270,'Données projet'!$B$270,GU19+GT20-HC19)))</f>
        <v>17.169340100084192</v>
      </c>
      <c r="GV20" s="18">
        <f>GU20*VLOOKUP('Données projet'!$B$18,Paramètres!$A$1:$I$89,3,0)*VLOOKUP('Données projet'!$B$18,Paramètres!$A$1:$I$89,5,0)</f>
        <v>8.2584525881404964</v>
      </c>
      <c r="GW20" s="14">
        <f t="shared" si="51"/>
        <v>2.9766223502701532</v>
      </c>
      <c r="GX20" s="22">
        <f t="shared" si="28"/>
        <v>19.567755517731879</v>
      </c>
      <c r="GY20" s="62">
        <f t="shared" si="29"/>
        <v>297.01219996217634</v>
      </c>
      <c r="GZ20" s="62">
        <f ca="1">AVERAGE(OFFSET($GY$3,0,0,'Données projet'!$E$18+1,1))-AVERAGE(OFFSET($H$3,0,0,'Données projet'!$E$18+1,1))</f>
        <v>441.17479680509746</v>
      </c>
      <c r="HA20" s="62">
        <f t="shared" si="52"/>
        <v>198.56576128410069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</v>
      </c>
      <c r="N21" s="14">
        <f>IF('Données projet'!$A$36&gt;35,N20+M21-V20,IF(A21&lt;'Données projet'!$A$36,$K$205^A21,IF(A21='Données projet'!$A$36,'Données projet'!$B$36,N20+M21-V20)))</f>
        <v>97.830366653823091</v>
      </c>
      <c r="O21" s="14">
        <f>N21*VLOOKUP('Données projet'!$B$9,Paramètres!$A$1:$I$89,3,0)*VLOOKUP('Données projet'!$B$9,Paramètres!$A$1:$I$89,5,0)</f>
        <v>54.687174959487109</v>
      </c>
      <c r="P21" s="14">
        <f t="shared" si="33"/>
        <v>15.817858384271306</v>
      </c>
      <c r="Q21" s="22">
        <f t="shared" si="2"/>
        <v>122.79626640704589</v>
      </c>
      <c r="R21" s="62">
        <f t="shared" si="0"/>
        <v>401.46293307371258</v>
      </c>
      <c r="S21" s="62">
        <f ca="1">AVERAGE(OFFSET($R$3,0,0,'Données projet'!$E$9+1,1))-AVERAGE(OFFSET($H$3,0,0,'Données projet'!$E$9+1,1))</f>
        <v>374.79806286316051</v>
      </c>
      <c r="T21" s="62">
        <f t="shared" si="34"/>
        <v>350.01856672839466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11.8</v>
      </c>
      <c r="AI21" s="14">
        <f>IF('Données projet'!$A$62&gt;35,AI20+AH21-AQ20,IF(A21&lt;'Données projet'!$A$62,$AF$205^A21,IF(A21='Données projet'!$A$62,'Données projet'!$B$62,AI20+AH21-AQ20)))</f>
        <v>123.39999999999998</v>
      </c>
      <c r="AJ21" s="14">
        <f>AI21*VLOOKUP('Données projet'!$B$10,Paramètres!$A$1:$I$89,3,0)*VLOOKUP('Données projet'!$B$10,Paramètres!$A$1:$I$89,5,0)</f>
        <v>107.80224</v>
      </c>
      <c r="AK21" s="14">
        <f t="shared" si="35"/>
        <v>28.812568533501945</v>
      </c>
      <c r="AL21" s="22">
        <f t="shared" si="4"/>
        <v>237.93745819584922</v>
      </c>
      <c r="AM21" s="62">
        <f t="shared" si="5"/>
        <v>516.60412486251585</v>
      </c>
      <c r="AN21" s="62">
        <f ca="1">AVERAGE(OFFSET($AM$3,0,0,'Données projet'!$E$10+1,1))-AVERAGE(OFFSET($H$3,0,0,'Données projet'!$E$10+1,1))</f>
        <v>401.89597032936751</v>
      </c>
      <c r="AO21" s="62">
        <f t="shared" si="36"/>
        <v>417.85733543972361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26.150316724543362</v>
      </c>
      <c r="BF21" s="14">
        <f t="shared" si="37"/>
        <v>8.2420396752158016</v>
      </c>
      <c r="BG21" s="22">
        <f t="shared" si="7"/>
        <v>59.900020729580547</v>
      </c>
      <c r="BH21" s="62">
        <f t="shared" si="8"/>
        <v>338.56668739624723</v>
      </c>
      <c r="BI21" s="62">
        <f ca="1">AVERAGE(OFFSET($BH$3,0,0,'Données projet'!$E$11+1,1))-AVERAGE(OFFSET($H$3,0,0,'Données projet'!$E$11+1,1))</f>
        <v>430.40491895612814</v>
      </c>
      <c r="BJ21" s="62">
        <f t="shared" si="38"/>
        <v>231.36959598460686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6.2820512820512802</v>
      </c>
      <c r="BY21" s="13">
        <f>IF('Données projet'!$A$114&gt;35,BY20+BX21-CG20,IF(A21&lt;'Données projet'!$A$114,$BV$205^A21,IF(A21='Données projet'!$A$114,'Données projet'!$B$114,BY20+BX21-CG20)))</f>
        <v>55.384615384615373</v>
      </c>
      <c r="BZ21" s="14">
        <f>BY21*VLOOKUP('Données projet'!$B$12,Paramètres!$A$1:$I$89,3,0)*VLOOKUP('Données projet'!$B$12,Paramètres!$A$1:$I$89,5,0)</f>
        <v>52.703999999999994</v>
      </c>
      <c r="CA21" s="14">
        <f t="shared" si="39"/>
        <v>15.30992453291827</v>
      </c>
      <c r="CB21" s="22">
        <f t="shared" si="10"/>
        <v>118.45758522816597</v>
      </c>
      <c r="CC21" s="62">
        <f t="shared" si="11"/>
        <v>397.12425189483264</v>
      </c>
      <c r="CD21" s="62">
        <f ca="1">AVERAGE(OFFSET($CC$3,0,0,'Données projet'!$E$12+1,1))-AVERAGE(OFFSET($H$3,0,0,'Données projet'!$E$12+1,1))</f>
        <v>367.11183928586667</v>
      </c>
      <c r="CE21" s="62">
        <f t="shared" si="40"/>
        <v>281.52963027844595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11.333333333333334</v>
      </c>
      <c r="CT21" s="13">
        <f>IF('Données projet'!$A$140&gt;35,CT20+CS21-DB20,IF(A21&lt;'Données projet'!$A$140,$CQ$205^A21,IF(A21='Données projet'!$A$140,'Données projet'!$B$140,CT20+CS21-DB20)))</f>
        <v>99.333333333333329</v>
      </c>
      <c r="CU21" s="18">
        <f>CT21*VLOOKUP('Données projet'!$B$13,Paramètres!$A$1:$I$89,3,0)*VLOOKUP('Données projet'!$B$13,Paramètres!$A$1:$I$89,5,0)</f>
        <v>59.401333333333341</v>
      </c>
      <c r="CV21" s="14">
        <f t="shared" si="41"/>
        <v>17.016819071145004</v>
      </c>
      <c r="CW21" s="22">
        <f t="shared" si="13"/>
        <v>133.09494877113312</v>
      </c>
      <c r="CX21" s="62">
        <f t="shared" si="14"/>
        <v>411.76161543779983</v>
      </c>
      <c r="CY21" s="62">
        <f ca="1">AVERAGE(OFFSET($CX$3,0,0,'Données projet'!$E$13+1,1))-AVERAGE(OFFSET($H$3,0,0,'Données projet'!$E$13+1,1))</f>
        <v>308.47522272937135</v>
      </c>
      <c r="CZ21" s="62">
        <f t="shared" si="42"/>
        <v>302.54354650449721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13.760000000000002</v>
      </c>
      <c r="DO21" s="13">
        <f>IF('Données projet'!$A$166&gt;35,DO20+DN21-DW20,IF(A21&lt;'Données projet'!$A$166,$DL$205^A21,IF(A21='Données projet'!$A$166,'Données projet'!$B$166,DO20+DN21-DW20)))</f>
        <v>105.78000000000002</v>
      </c>
      <c r="DP21" s="18">
        <f>DO21*VLOOKUP('Données projet'!$B$14,Paramètres!$A$1:$I$89,3,0)*VLOOKUP('Données projet'!$B$14,Paramètres!$A$1:$I$89,5,0)</f>
        <v>84.158568000000017</v>
      </c>
      <c r="DQ21" s="14">
        <f t="shared" si="43"/>
        <v>23.15095738591862</v>
      </c>
      <c r="DR21" s="22">
        <f t="shared" si="16"/>
        <v>186.89742338047495</v>
      </c>
      <c r="DS21" s="62">
        <f t="shared" si="17"/>
        <v>465.56409004714163</v>
      </c>
      <c r="DT21" s="62">
        <f ca="1">AVERAGE(OFFSET($DS$3,0,0,'Données projet'!$E$14+1,1))-AVERAGE(OFFSET($H$3,0,0,'Données projet'!$E$14+1,1))</f>
        <v>370.58277541710277</v>
      </c>
      <c r="DU21" s="62">
        <f t="shared" si="44"/>
        <v>404.61777090709171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>
        <f>VLOOKUP(A21,'Données projet'!$A$191:$I$211,2,0)</f>
        <v>112</v>
      </c>
      <c r="EH21" s="13">
        <f>VLOOKUP(A21,'Données projet'!$A$191:$I$211,9,0)</f>
        <v>6.2222222222222223</v>
      </c>
      <c r="EI21" s="13">
        <f t="array" ref="EI21">INDEX(EH:EH,MIN(IF(ISNUMBER(EH21:EH217),ROW(EH21:EH217),"")))</f>
        <v>6.2222222222222223</v>
      </c>
      <c r="EJ21" s="13">
        <f>IF('Données projet'!$A$192&gt;35,EJ20+EI21-ER20,IF(A21&lt;'Données projet'!$A$192,$EG$205^A21,IF(A21='Données projet'!$A$192,'Données projet'!$B$192,EJ20+EI21-ER20)))</f>
        <v>112</v>
      </c>
      <c r="EK21" s="18">
        <f>EJ21*VLOOKUP('Données projet'!$B$15,Paramètres!$A$1:$I$89,3,0)*VLOOKUP('Données projet'!$B$15,Paramètres!$A$1:$I$89,5,0)</f>
        <v>69.888000000000005</v>
      </c>
      <c r="EL21" s="14">
        <f t="shared" si="45"/>
        <v>19.645641432461961</v>
      </c>
      <c r="EM21" s="22">
        <f t="shared" si="19"/>
        <v>155.93775882820458</v>
      </c>
      <c r="EN21" s="62">
        <f t="shared" si="20"/>
        <v>434.60442549487129</v>
      </c>
      <c r="EO21" s="62">
        <f ca="1">AVERAGE(OFFSET($EN$3,0,0,'Données projet'!$E$15+1,1))-AVERAGE(OFFSET($H$3,0,0,'Données projet'!$E$15+1,1))</f>
        <v>240.22884864766218</v>
      </c>
      <c r="EP21" s="62">
        <f t="shared" si="46"/>
        <v>343.23776884143166</v>
      </c>
      <c r="EQ21" s="16">
        <f>IF(ISNA(VLOOKUP(A21,'Données projet'!$A$191:$I$211,3,0)),0,VLOOKUP(A21,'Données projet'!$A$191:$I$211,3,0))</f>
        <v>1</v>
      </c>
      <c r="ER21" s="16">
        <f>IF(ISNA(VLOOKUP(A21,'Données projet'!$A$191:$I$211,4,0)),0,VLOOKUP(A21,'Données projet'!$A$191:$I$211,4,0))</f>
        <v>20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0.5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7.0651295365651476</v>
      </c>
      <c r="EY21" s="24">
        <f t="shared" si="21"/>
        <v>7.0651295365651476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1.4</v>
      </c>
      <c r="FE21" s="13">
        <f>IF('Données projet'!$A$218&gt;35,FE20+FD21-FM20,IF(A21&lt;'Données projet'!$A$218,$FB$205^A21,IF(A21='Données projet'!$A$218,'Données projet'!$B$218,FE20+FD21-FM20)))</f>
        <v>20.065141567879031</v>
      </c>
      <c r="FF21" s="18">
        <f>FE21*VLOOKUP('Données projet'!$B$16,Paramètres!$A$1:$I$89,3,0)*VLOOKUP('Données projet'!$B$16,Paramètres!$A$1:$I$89,5,0)</f>
        <v>9.3904862537673868</v>
      </c>
      <c r="FG21" s="14">
        <f t="shared" si="47"/>
        <v>3.3344119481738947</v>
      </c>
      <c r="FH21" s="22">
        <f t="shared" si="22"/>
        <v>22.162531035047731</v>
      </c>
      <c r="FI21" s="62">
        <f t="shared" si="23"/>
        <v>300.82919770171441</v>
      </c>
      <c r="FJ21" s="62">
        <f ca="1">AVERAGE(OFFSET($FI$3,0,0,'Données projet'!$E$16+1,1))-AVERAGE(OFFSET($H$3,0,0,'Données projet'!$E$16+1,1))</f>
        <v>399.92909819003523</v>
      </c>
      <c r="FK21" s="62">
        <f t="shared" si="48"/>
        <v>163.7053537268381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13.760000000000002</v>
      </c>
      <c r="FZ21" s="13">
        <f>IF('Données projet'!$A$244&gt;35,FZ20+FY21-GH20,IF(A21&lt;'Données projet'!$A$244,$FW$205^A21,IF(A21='Données projet'!$A$244,'Données projet'!$B$244,FZ20+FY21-GH20)))</f>
        <v>105.78000000000002</v>
      </c>
      <c r="GA21" s="18">
        <f>FZ21*VLOOKUP('Données projet'!$B$17,Paramètres!$A$1:$I$89,3,0)*VLOOKUP('Données projet'!$B$17,Paramètres!$A$1:$I$89,5,0)</f>
        <v>77.557896000000014</v>
      </c>
      <c r="GB21" s="14">
        <f t="shared" si="49"/>
        <v>21.539003916671845</v>
      </c>
      <c r="GC21" s="22">
        <f t="shared" si="25"/>
        <v>172.59376735487015</v>
      </c>
      <c r="GD21" s="62">
        <f t="shared" si="26"/>
        <v>451.26043402153687</v>
      </c>
      <c r="GE21" s="62">
        <f ca="1">AVERAGE(OFFSET($GD$3,0,0,'Données projet'!$E$17+1,1))-AVERAGE(OFFSET($H$3,0,0,'Données projet'!$E$17+1,1))</f>
        <v>344.4426665022238</v>
      </c>
      <c r="GF21" s="62">
        <f t="shared" si="50"/>
        <v>376.41441893222185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5.0333333333333332</v>
      </c>
      <c r="GU21" s="13">
        <f>IF('Données projet'!$A$270&gt;35,GU20+GT21-HC20,IF(A21&lt;'Données projet'!$A$270,$GR$205^A21,IF(A21='Données projet'!$A$270,'Données projet'!$B$270,GU20+GT21-HC20)))</f>
        <v>20.294865075190788</v>
      </c>
      <c r="GV21" s="18">
        <f>GU21*VLOOKUP('Données projet'!$B$18,Paramètres!$A$1:$I$89,3,0)*VLOOKUP('Données projet'!$B$18,Paramètres!$A$1:$I$89,5,0)</f>
        <v>9.761830101166769</v>
      </c>
      <c r="GW21" s="14">
        <f t="shared" si="51"/>
        <v>3.4506576416399222</v>
      </c>
      <c r="GX21" s="22">
        <f t="shared" si="28"/>
        <v>23.011749485388322</v>
      </c>
      <c r="GY21" s="62">
        <f t="shared" si="29"/>
        <v>301.67841615205498</v>
      </c>
      <c r="GZ21" s="62">
        <f ca="1">AVERAGE(OFFSET($GY$3,0,0,'Données projet'!$E$18+1,1))-AVERAGE(OFFSET($H$3,0,0,'Données projet'!$E$18+1,1))</f>
        <v>441.17479680509746</v>
      </c>
      <c r="HA21" s="62">
        <f t="shared" si="52"/>
        <v>198.56576128410069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</v>
      </c>
      <c r="N22" s="14">
        <f>IF('Données projet'!$A$36&gt;35,N21+M22-V21,IF(A22&lt;'Données projet'!$A$36,$K$205^A22,IF(A22='Données projet'!$A$36,'Données projet'!$B$36,N21+M22-V21)))</f>
        <v>126.1988950420027</v>
      </c>
      <c r="O22" s="14">
        <f>N22*VLOOKUP('Données projet'!$B$9,Paramètres!$A$1:$I$89,3,0)*VLOOKUP('Données projet'!$B$9,Paramètres!$A$1:$I$89,5,0)</f>
        <v>70.545182328479513</v>
      </c>
      <c r="P22" s="14">
        <f t="shared" si="33"/>
        <v>19.808784366626785</v>
      </c>
      <c r="Q22" s="22">
        <f t="shared" si="2"/>
        <v>157.36649199397678</v>
      </c>
      <c r="R22" s="62">
        <f t="shared" si="0"/>
        <v>437.25538088286567</v>
      </c>
      <c r="S22" s="62">
        <f ca="1">AVERAGE(OFFSET($R$3,0,0,'Données projet'!$E$9+1,1))-AVERAGE(OFFSET($H$3,0,0,'Données projet'!$E$9+1,1))</f>
        <v>374.79806286316051</v>
      </c>
      <c r="T22" s="62">
        <f t="shared" si="34"/>
        <v>350.01856672839466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11.8</v>
      </c>
      <c r="AI22" s="14">
        <f>IF('Données projet'!$A$62&gt;35,AI21+AH22-AQ21,IF(A22&lt;'Données projet'!$A$62,$AF$205^A22,IF(A22='Données projet'!$A$62,'Données projet'!$B$62,AI21+AH22-AQ21)))</f>
        <v>135.19999999999999</v>
      </c>
      <c r="AJ22" s="14">
        <f>AI22*VLOOKUP('Données projet'!$B$10,Paramètres!$A$1:$I$89,3,0)*VLOOKUP('Données projet'!$B$10,Paramètres!$A$1:$I$89,5,0)</f>
        <v>118.11072000000001</v>
      </c>
      <c r="AK22" s="14">
        <f t="shared" si="35"/>
        <v>31.233949612110369</v>
      </c>
      <c r="AL22" s="22">
        <f t="shared" si="4"/>
        <v>260.10863290775887</v>
      </c>
      <c r="AM22" s="62">
        <f t="shared" si="5"/>
        <v>539.99752179664779</v>
      </c>
      <c r="AN22" s="62">
        <f ca="1">AVERAGE(OFFSET($AM$3,0,0,'Données projet'!$E$10+1,1))-AVERAGE(OFFSET($H$3,0,0,'Données projet'!$E$10+1,1))</f>
        <v>401.89597032936751</v>
      </c>
      <c r="AO22" s="62">
        <f t="shared" si="36"/>
        <v>417.85733543972361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31.52386201022027</v>
      </c>
      <c r="BF22" s="14">
        <f t="shared" si="37"/>
        <v>9.7218710074397983</v>
      </c>
      <c r="BG22" s="22">
        <f t="shared" si="7"/>
        <v>71.836318339091292</v>
      </c>
      <c r="BH22" s="62">
        <f t="shared" si="8"/>
        <v>351.72520722798015</v>
      </c>
      <c r="BI22" s="62">
        <f ca="1">AVERAGE(OFFSET($BH$3,0,0,'Données projet'!$E$11+1,1))-AVERAGE(OFFSET($H$3,0,0,'Données projet'!$E$11+1,1))</f>
        <v>430.40491895612814</v>
      </c>
      <c r="BJ22" s="62">
        <f t="shared" si="38"/>
        <v>231.36959598460686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6.2820512820512802</v>
      </c>
      <c r="BY22" s="13">
        <f>IF('Données projet'!$A$114&gt;35,BY21+BX22-CG21,IF(A22&lt;'Données projet'!$A$114,$BV$205^A22,IF(A22='Données projet'!$A$114,'Données projet'!$B$114,BY21+BX22-CG21)))</f>
        <v>61.66666666666665</v>
      </c>
      <c r="BZ22" s="14">
        <f>BY22*VLOOKUP('Données projet'!$B$12,Paramètres!$A$1:$I$89,3,0)*VLOOKUP('Données projet'!$B$12,Paramètres!$A$1:$I$89,5,0)</f>
        <v>58.681999999999981</v>
      </c>
      <c r="CA22" s="14">
        <f t="shared" si="39"/>
        <v>16.834607713213735</v>
      </c>
      <c r="CB22" s="22">
        <f t="shared" si="10"/>
        <v>131.52475843384721</v>
      </c>
      <c r="CC22" s="62">
        <f t="shared" si="11"/>
        <v>411.4136473227361</v>
      </c>
      <c r="CD22" s="62">
        <f ca="1">AVERAGE(OFFSET($CC$3,0,0,'Données projet'!$E$12+1,1))-AVERAGE(OFFSET($H$3,0,0,'Données projet'!$E$12+1,1))</f>
        <v>367.11183928586667</v>
      </c>
      <c r="CE22" s="62">
        <f t="shared" si="40"/>
        <v>281.52963027844595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11.333333333333334</v>
      </c>
      <c r="CT22" s="13">
        <f>IF('Données projet'!$A$140&gt;35,CT21+CS22-DB21,IF(A22&lt;'Données projet'!$A$140,$CQ$205^A22,IF(A22='Données projet'!$A$140,'Données projet'!$B$140,CT21+CS22-DB21)))</f>
        <v>110.66666666666666</v>
      </c>
      <c r="CU22" s="18">
        <f>CT22*VLOOKUP('Données projet'!$B$13,Paramètres!$A$1:$I$89,3,0)*VLOOKUP('Données projet'!$B$13,Paramètres!$A$1:$I$89,5,0)</f>
        <v>66.178666666666672</v>
      </c>
      <c r="CV22" s="14">
        <f t="shared" si="41"/>
        <v>18.721407701456755</v>
      </c>
      <c r="CW22" s="22">
        <f t="shared" si="13"/>
        <v>147.8676295244816</v>
      </c>
      <c r="CX22" s="62">
        <f t="shared" si="14"/>
        <v>427.75651841337049</v>
      </c>
      <c r="CY22" s="62">
        <f ca="1">AVERAGE(OFFSET($CX$3,0,0,'Données projet'!$E$13+1,1))-AVERAGE(OFFSET($H$3,0,0,'Données projet'!$E$13+1,1))</f>
        <v>308.47522272937135</v>
      </c>
      <c r="CZ22" s="62">
        <f t="shared" si="42"/>
        <v>302.54354650449721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13.760000000000002</v>
      </c>
      <c r="DO22" s="13">
        <f>IF('Données projet'!$A$166&gt;35,DO21+DN22-DW21,IF(A22&lt;'Données projet'!$A$166,$DL$205^A22,IF(A22='Données projet'!$A$166,'Données projet'!$B$166,DO21+DN22-DW21)))</f>
        <v>119.54000000000002</v>
      </c>
      <c r="DP22" s="18">
        <f>DO22*VLOOKUP('Données projet'!$B$14,Paramètres!$A$1:$I$89,3,0)*VLOOKUP('Données projet'!$B$14,Paramètres!$A$1:$I$89,5,0)</f>
        <v>95.106024000000019</v>
      </c>
      <c r="DQ22" s="14">
        <f t="shared" si="43"/>
        <v>25.792692267172022</v>
      </c>
      <c r="DR22" s="22">
        <f t="shared" si="16"/>
        <v>210.56526416532461</v>
      </c>
      <c r="DS22" s="62">
        <f t="shared" si="17"/>
        <v>490.45415305421346</v>
      </c>
      <c r="DT22" s="62">
        <f ca="1">AVERAGE(OFFSET($DS$3,0,0,'Données projet'!$E$14+1,1))-AVERAGE(OFFSET($H$3,0,0,'Données projet'!$E$14+1,1))</f>
        <v>370.58277541710277</v>
      </c>
      <c r="DU22" s="62">
        <f t="shared" si="44"/>
        <v>404.61777090709171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18</v>
      </c>
      <c r="EJ22" s="13">
        <f>IF('Données projet'!$A$192&gt;35,EJ21+EI22-ER21,IF(A22&lt;'Données projet'!$A$192,$EG$205^A22,IF(A22='Données projet'!$A$192,'Données projet'!$B$192,EJ21+EI22-ER21)))</f>
        <v>110</v>
      </c>
      <c r="EK22" s="18">
        <f>EJ22*VLOOKUP('Données projet'!$B$15,Paramètres!$A$1:$I$89,3,0)*VLOOKUP('Données projet'!$B$15,Paramètres!$A$1:$I$89,5,0)</f>
        <v>68.64</v>
      </c>
      <c r="EL22" s="14">
        <f t="shared" si="45"/>
        <v>19.335336956640202</v>
      </c>
      <c r="EM22" s="22">
        <f t="shared" si="19"/>
        <v>153.22371186614836</v>
      </c>
      <c r="EN22" s="62">
        <f t="shared" si="20"/>
        <v>433.11260075503719</v>
      </c>
      <c r="EO22" s="62">
        <f ca="1">AVERAGE(OFFSET($EN$3,0,0,'Données projet'!$E$15+1,1))-AVERAGE(OFFSET($H$3,0,0,'Données projet'!$E$15+1,1))</f>
        <v>240.22884864766218</v>
      </c>
      <c r="EP22" s="62">
        <f t="shared" si="46"/>
        <v>343.23776884143166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4.9958010052665864</v>
      </c>
      <c r="EY22" s="24">
        <f t="shared" si="21"/>
        <v>4.9958010052665864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1.4</v>
      </c>
      <c r="FE22" s="13">
        <f>IF('Données projet'!$A$218&gt;35,FE21+FD22-FM21,IF(A22&lt;'Données projet'!$A$218,$FB$205^A22,IF(A22='Données projet'!$A$218,'Données projet'!$B$218,FE21+FD22-FM21)))</f>
        <v>23.702826074133306</v>
      </c>
      <c r="FF22" s="18">
        <f>FE22*VLOOKUP('Données projet'!$B$16,Paramètres!$A$1:$I$89,3,0)*VLOOKUP('Données projet'!$B$16,Paramètres!$A$1:$I$89,5,0)</f>
        <v>11.092922602694387</v>
      </c>
      <c r="FG22" s="14">
        <f t="shared" si="47"/>
        <v>3.8632667416767035</v>
      </c>
      <c r="FH22" s="22">
        <f t="shared" si="22"/>
        <v>26.048696441446314</v>
      </c>
      <c r="FI22" s="62">
        <f t="shared" si="23"/>
        <v>305.9375853303352</v>
      </c>
      <c r="FJ22" s="62">
        <f ca="1">AVERAGE(OFFSET($FI$3,0,0,'Données projet'!$E$16+1,1))-AVERAGE(OFFSET($H$3,0,0,'Données projet'!$E$16+1,1))</f>
        <v>399.92909819003523</v>
      </c>
      <c r="FK22" s="62">
        <f t="shared" si="48"/>
        <v>163.7053537268381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13.760000000000002</v>
      </c>
      <c r="FZ22" s="13">
        <f>IF('Données projet'!$A$244&gt;35,FZ21+FY22-GH21,IF(A22&lt;'Données projet'!$A$244,$FW$205^A22,IF(A22='Données projet'!$A$244,'Données projet'!$B$244,FZ21+FY22-GH21)))</f>
        <v>119.54000000000002</v>
      </c>
      <c r="GA22" s="18">
        <f>FZ22*VLOOKUP('Données projet'!$B$17,Paramètres!$A$1:$I$89,3,0)*VLOOKUP('Données projet'!$B$17,Paramètres!$A$1:$I$89,5,0)</f>
        <v>87.64672800000001</v>
      </c>
      <c r="GB22" s="14">
        <f t="shared" si="49"/>
        <v>23.996800240409819</v>
      </c>
      <c r="GC22" s="22">
        <f t="shared" si="25"/>
        <v>194.44581168538045</v>
      </c>
      <c r="GD22" s="62">
        <f t="shared" si="26"/>
        <v>474.33470057426928</v>
      </c>
      <c r="GE22" s="62">
        <f ca="1">AVERAGE(OFFSET($GD$3,0,0,'Données projet'!$E$17+1,1))-AVERAGE(OFFSET($H$3,0,0,'Données projet'!$E$17+1,1))</f>
        <v>344.4426665022238</v>
      </c>
      <c r="GF22" s="62">
        <f t="shared" si="50"/>
        <v>376.41441893222185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5.0333333333333332</v>
      </c>
      <c r="GU22" s="13">
        <f>IF('Données projet'!$A$270&gt;35,GU21+GT22-HC21,IF(A22&lt;'Données projet'!$A$270,$GR$205^A22,IF(A22='Données projet'!$A$270,'Données projet'!$B$270,GU21+GT22-HC21)))</f>
        <v>23.98936394871572</v>
      </c>
      <c r="GV22" s="18">
        <f>GU22*VLOOKUP('Données projet'!$B$18,Paramètres!$A$1:$I$89,3,0)*VLOOKUP('Données projet'!$B$18,Paramètres!$A$1:$I$89,5,0)</f>
        <v>11.538884059332261</v>
      </c>
      <c r="GW22" s="14">
        <f t="shared" si="51"/>
        <v>4.0001843561805313</v>
      </c>
      <c r="GX22" s="22">
        <f t="shared" si="28"/>
        <v>27.063877490351445</v>
      </c>
      <c r="GY22" s="62">
        <f t="shared" si="29"/>
        <v>306.9527663792403</v>
      </c>
      <c r="GZ22" s="62">
        <f ca="1">AVERAGE(OFFSET($GY$3,0,0,'Données projet'!$E$18+1,1))-AVERAGE(OFFSET($H$3,0,0,'Données projet'!$E$18+1,1))</f>
        <v>441.17479680509746</v>
      </c>
      <c r="HA22" s="62">
        <f t="shared" si="52"/>
        <v>198.56576128410069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10</v>
      </c>
      <c r="N23" s="14">
        <f>IF('Données projet'!$A$36&gt;35,N22+M23-V22,IF(A23&lt;'Données projet'!$A$36,$K$205^A23,IF(A23='Données projet'!$A$36,'Données projet'!$B$36,N22+M23-V22)))</f>
        <v>162.79363611278094</v>
      </c>
      <c r="O23" s="14">
        <f>N23*VLOOKUP('Données projet'!$B$9,Paramètres!$A$1:$I$89,3,0)*VLOOKUP('Données projet'!$B$9,Paramètres!$A$1:$I$89,5,0)</f>
        <v>91.001642587044557</v>
      </c>
      <c r="P23" s="14">
        <f t="shared" si="33"/>
        <v>24.806641237456894</v>
      </c>
      <c r="Q23" s="22">
        <f t="shared" si="2"/>
        <v>201.69942766100667</v>
      </c>
      <c r="R23" s="62">
        <f t="shared" si="0"/>
        <v>482.81053877211781</v>
      </c>
      <c r="S23" s="62">
        <f ca="1">AVERAGE(OFFSET($R$3,0,0,'Données projet'!$E$9+1,1))-AVERAGE(OFFSET($H$3,0,0,'Données projet'!$E$9+1,1))</f>
        <v>374.79806286316051</v>
      </c>
      <c r="T23" s="62">
        <f t="shared" si="34"/>
        <v>350.01856672839466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147</v>
      </c>
      <c r="AG23" s="13">
        <f>VLOOKUP(A23,'Données projet'!$A$61:$I$81,9,0)</f>
        <v>11.8</v>
      </c>
      <c r="AH23" s="13">
        <f t="array" ref="AH23">INDEX(AG:AG,MIN(IF(ISNUMBER(AG23:AG219),ROW(AG23:AG219),"")))</f>
        <v>11.8</v>
      </c>
      <c r="AI23" s="14">
        <f>IF('Données projet'!$A$62&gt;35,AI22+AH23-AQ22,IF(A23&lt;'Données projet'!$A$62,$AF$205^A23,IF(A23='Données projet'!$A$62,'Données projet'!$B$62,AI22+AH23-AQ22)))</f>
        <v>147</v>
      </c>
      <c r="AJ23" s="14">
        <f>AI23*VLOOKUP('Données projet'!$B$10,Paramètres!$A$1:$I$89,3,0)*VLOOKUP('Données projet'!$B$10,Paramètres!$A$1:$I$89,5,0)</f>
        <v>128.41920000000002</v>
      </c>
      <c r="AK23" s="14">
        <f t="shared" si="35"/>
        <v>33.630823177860762</v>
      </c>
      <c r="AL23" s="22">
        <f t="shared" si="4"/>
        <v>282.23712370144091</v>
      </c>
      <c r="AM23" s="62">
        <f t="shared" si="5"/>
        <v>563.34823481255205</v>
      </c>
      <c r="AN23" s="62">
        <f ca="1">AVERAGE(OFFSET($AM$3,0,0,'Données projet'!$E$10+1,1))-AVERAGE(OFFSET($H$3,0,0,'Données projet'!$E$10+1,1))</f>
        <v>401.89597032936751</v>
      </c>
      <c r="AO23" s="62">
        <f t="shared" si="36"/>
        <v>417.85733543972361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59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38.001600000000003</v>
      </c>
      <c r="BF23" s="14">
        <f t="shared" si="37"/>
        <v>11.467401227090512</v>
      </c>
      <c r="BG23" s="22">
        <f t="shared" si="7"/>
        <v>86.158510470515978</v>
      </c>
      <c r="BH23" s="62">
        <f t="shared" si="8"/>
        <v>367.26962158162712</v>
      </c>
      <c r="BI23" s="62">
        <f ca="1">AVERAGE(OFFSET($BH$3,0,0,'Données projet'!$E$11+1,1))-AVERAGE(OFFSET($H$3,0,0,'Données projet'!$E$11+1,1))</f>
        <v>430.40491895612814</v>
      </c>
      <c r="BJ23" s="62">
        <f t="shared" si="38"/>
        <v>231.36959598460686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67.948717948717942</v>
      </c>
      <c r="BW23" s="13">
        <f>VLOOKUP(A23,'Données projet'!$A$113:$I$133,9,0)</f>
        <v>6.2820512820512802</v>
      </c>
      <c r="BX23" s="13">
        <f t="array" ref="BX23">INDEX(BW:BW,MIN(IF(ISNUMBER(BW23:BW219),ROW(BW23:BW219),"")))</f>
        <v>6.2820512820512802</v>
      </c>
      <c r="BY23" s="13">
        <f>IF('Données projet'!$A$114&gt;35,BY22+BX23-CG22,IF(A23&lt;'Données projet'!$A$114,$BV$205^A23,IF(A23='Données projet'!$A$114,'Données projet'!$B$114,BY22+BX23-CG22)))</f>
        <v>67.948717948717928</v>
      </c>
      <c r="BZ23" s="14">
        <f>BY23*VLOOKUP('Données projet'!$B$12,Paramètres!$A$1:$I$89,3,0)*VLOOKUP('Données projet'!$B$12,Paramètres!$A$1:$I$89,5,0)</f>
        <v>64.659999999999982</v>
      </c>
      <c r="CA23" s="14">
        <f t="shared" si="39"/>
        <v>18.341285436472681</v>
      </c>
      <c r="CB23" s="22">
        <f t="shared" si="10"/>
        <v>144.56057213518989</v>
      </c>
      <c r="CC23" s="62">
        <f t="shared" si="11"/>
        <v>425.67168324630103</v>
      </c>
      <c r="CD23" s="62">
        <f ca="1">AVERAGE(OFFSET($CC$3,0,0,'Données projet'!$E$12+1,1))-AVERAGE(OFFSET($H$3,0,0,'Données projet'!$E$12+1,1))</f>
        <v>367.11183928586667</v>
      </c>
      <c r="CE23" s="62">
        <f t="shared" si="40"/>
        <v>281.52963027844595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16.666666666666668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122</v>
      </c>
      <c r="CR23" s="13">
        <f>VLOOKUP(A23,'Données projet'!$A$139:$I$159,9,0)</f>
        <v>11.333333333333334</v>
      </c>
      <c r="CS23" s="13">
        <f t="array" ref="CS23">INDEX(CR:CR,MIN(IF(ISNUMBER(CR23:CR219),ROW(CR23:CR219),"")))</f>
        <v>11.333333333333334</v>
      </c>
      <c r="CT23" s="13">
        <f>IF('Données projet'!$A$140&gt;35,CT22+CS23-DB22,IF(A23&lt;'Données projet'!$A$140,$CQ$205^A23,IF(A23='Données projet'!$A$140,'Données projet'!$B$140,CT22+CS23-DB22)))</f>
        <v>121.99999999999999</v>
      </c>
      <c r="CU23" s="18">
        <f>CT23*VLOOKUP('Données projet'!$B$13,Paramètres!$A$1:$I$89,3,0)*VLOOKUP('Données projet'!$B$13,Paramètres!$A$1:$I$89,5,0)</f>
        <v>72.956000000000003</v>
      </c>
      <c r="CV23" s="14">
        <f t="shared" si="41"/>
        <v>20.405760140212273</v>
      </c>
      <c r="CW23" s="22">
        <f t="shared" si="13"/>
        <v>162.60506557753638</v>
      </c>
      <c r="CX23" s="62">
        <f t="shared" si="14"/>
        <v>443.71617668864752</v>
      </c>
      <c r="CY23" s="62">
        <f ca="1">AVERAGE(OFFSET($CX$3,0,0,'Données projet'!$E$13+1,1))-AVERAGE(OFFSET($H$3,0,0,'Données projet'!$E$13+1,1))</f>
        <v>308.47522272937135</v>
      </c>
      <c r="CZ23" s="62">
        <f t="shared" si="42"/>
        <v>302.54354650449721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15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0.2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2.0312247417624802</v>
      </c>
      <c r="DI23" s="24">
        <f t="shared" si="15"/>
        <v>2.0312247417624802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133.30000000000001</v>
      </c>
      <c r="DM23" s="13">
        <f>VLOOKUP(A23,'Données projet'!$A$165:$I$185,9,0)</f>
        <v>13.760000000000002</v>
      </c>
      <c r="DN23" s="13">
        <f t="array" ref="DN23">INDEX(DM:DM,MIN(IF(ISNUMBER(DM23:DM219),ROW(DM23:DM219),"")))</f>
        <v>13.760000000000002</v>
      </c>
      <c r="DO23" s="13">
        <f>IF('Données projet'!$A$166&gt;35,DO22+DN23-DW22,IF(A23&lt;'Données projet'!$A$166,$DL$205^A23,IF(A23='Données projet'!$A$166,'Données projet'!$B$166,DO22+DN23-DW22)))</f>
        <v>133.30000000000001</v>
      </c>
      <c r="DP23" s="18">
        <f>DO23*VLOOKUP('Données projet'!$B$14,Paramètres!$A$1:$I$89,3,0)*VLOOKUP('Données projet'!$B$14,Paramètres!$A$1:$I$89,5,0)</f>
        <v>106.05348000000001</v>
      </c>
      <c r="DQ23" s="14">
        <f t="shared" si="43"/>
        <v>28.39918570347135</v>
      </c>
      <c r="DR23" s="22">
        <f t="shared" si="16"/>
        <v>234.1717261002126</v>
      </c>
      <c r="DS23" s="62">
        <f t="shared" si="17"/>
        <v>515.28283721132379</v>
      </c>
      <c r="DT23" s="62">
        <f ca="1">AVERAGE(OFFSET($DS$3,0,0,'Données projet'!$E$14+1,1))-AVERAGE(OFFSET($H$3,0,0,'Données projet'!$E$14+1,1))</f>
        <v>370.58277541710277</v>
      </c>
      <c r="DU23" s="62">
        <f t="shared" si="44"/>
        <v>404.61777090709171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66.5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18</v>
      </c>
      <c r="EJ23" s="13">
        <f>IF('Données projet'!$A$192&gt;35,EJ22+EI23-ER22,IF(A23&lt;'Données projet'!$A$192,$EG$205^A23,IF(A23='Données projet'!$A$192,'Données projet'!$B$192,EJ22+EI23-ER22)))</f>
        <v>128</v>
      </c>
      <c r="EK23" s="18">
        <f>EJ23*VLOOKUP('Données projet'!$B$15,Paramètres!$A$1:$I$89,3,0)*VLOOKUP('Données projet'!$B$15,Paramètres!$A$1:$I$89,5,0)</f>
        <v>79.872</v>
      </c>
      <c r="EL23" s="14">
        <f t="shared" si="45"/>
        <v>22.105884547145418</v>
      </c>
      <c r="EM23" s="22">
        <f t="shared" si="19"/>
        <v>177.61148225294494</v>
      </c>
      <c r="EN23" s="62">
        <f t="shared" si="20"/>
        <v>458.72259336405608</v>
      </c>
      <c r="EO23" s="62">
        <f ca="1">AVERAGE(OFFSET($EN$3,0,0,'Données projet'!$E$15+1,1))-AVERAGE(OFFSET($H$3,0,0,'Données projet'!$E$15+1,1))</f>
        <v>240.22884864766218</v>
      </c>
      <c r="EP23" s="62">
        <f t="shared" si="46"/>
        <v>343.23776884143166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3.5325647682825747</v>
      </c>
      <c r="EY23" s="24">
        <f t="shared" si="21"/>
        <v>3.5325647682825747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28</v>
      </c>
      <c r="FC23" s="13">
        <f>VLOOKUP(A23,'Données projet'!$A$217:$I$237,9,0)</f>
        <v>1.4</v>
      </c>
      <c r="FD23" s="13">
        <f t="array" ref="FD23">INDEX(FC:FC,MIN(IF(ISNUMBER(FC23:FC219),ROW(FC23:FC219),"")))</f>
        <v>1.4</v>
      </c>
      <c r="FE23" s="13">
        <f>IF('Données projet'!$A$218&gt;35,FE22+FD23-FM22,IF(A23&lt;'Données projet'!$A$218,$FB$205^A23,IF(A23='Données projet'!$A$218,'Données projet'!$B$218,FE22+FD23-FM22)))</f>
        <v>28</v>
      </c>
      <c r="FF23" s="18">
        <f>FE23*VLOOKUP('Données projet'!$B$16,Paramètres!$A$1:$I$89,3,0)*VLOOKUP('Données projet'!$B$16,Paramètres!$A$1:$I$89,5,0)</f>
        <v>13.104000000000001</v>
      </c>
      <c r="FG23" s="14">
        <f t="shared" si="47"/>
        <v>4.4760006109979793</v>
      </c>
      <c r="FH23" s="22">
        <f t="shared" si="22"/>
        <v>30.618501064154817</v>
      </c>
      <c r="FI23" s="62">
        <f t="shared" si="23"/>
        <v>311.72961217526597</v>
      </c>
      <c r="FJ23" s="62">
        <f ca="1">AVERAGE(OFFSET($FI$3,0,0,'Données projet'!$E$16+1,1))-AVERAGE(OFFSET($H$3,0,0,'Données projet'!$E$16+1,1))</f>
        <v>399.92909819003523</v>
      </c>
      <c r="FK23" s="62">
        <f t="shared" si="48"/>
        <v>163.7053537268381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133.30000000000001</v>
      </c>
      <c r="FX23" s="13">
        <f>VLOOKUP(A23,'Données projet'!$A$243:$I$263,9,0)</f>
        <v>13.760000000000002</v>
      </c>
      <c r="FY23" s="13">
        <f t="array" ref="FY23">INDEX(FX:FX,MIN(IF(ISNUMBER(FX23:FX219),ROW(FX23:FX219),"")))</f>
        <v>13.760000000000002</v>
      </c>
      <c r="FZ23" s="13">
        <f>IF('Données projet'!$A$244&gt;35,FZ22+FY23-GH22,IF(A23&lt;'Données projet'!$A$244,$FW$205^A23,IF(A23='Données projet'!$A$244,'Données projet'!$B$244,FZ22+FY23-GH22)))</f>
        <v>133.30000000000001</v>
      </c>
      <c r="GA23" s="18">
        <f>FZ23*VLOOKUP('Données projet'!$B$17,Paramètres!$A$1:$I$89,3,0)*VLOOKUP('Données projet'!$B$17,Paramètres!$A$1:$I$89,5,0)</f>
        <v>97.735560000000007</v>
      </c>
      <c r="GB23" s="14">
        <f t="shared" si="49"/>
        <v>26.421808908404628</v>
      </c>
      <c r="GC23" s="22">
        <f t="shared" si="25"/>
        <v>216.24075084880474</v>
      </c>
      <c r="GD23" s="62">
        <f t="shared" si="26"/>
        <v>497.35186195991588</v>
      </c>
      <c r="GE23" s="62">
        <f ca="1">AVERAGE(OFFSET($GD$3,0,0,'Données projet'!$E$17+1,1))-AVERAGE(OFFSET($H$3,0,0,'Données projet'!$E$17+1,1))</f>
        <v>344.4426665022238</v>
      </c>
      <c r="GF23" s="62">
        <f t="shared" si="50"/>
        <v>376.41441893222185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66.5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5.0333333333333332</v>
      </c>
      <c r="GU23" s="13">
        <f>IF('Données projet'!$A$270&gt;35,GU22+GT23-HC22,IF(A23&lt;'Données projet'!$A$270,$GR$205^A23,IF(A23='Données projet'!$A$270,'Données projet'!$B$270,GU22+GT23-HC22)))</f>
        <v>28.356413335678774</v>
      </c>
      <c r="GV23" s="18">
        <f>GU23*VLOOKUP('Données projet'!$B$18,Paramètres!$A$1:$I$89,3,0)*VLOOKUP('Données projet'!$B$18,Paramètres!$A$1:$I$89,5,0)</f>
        <v>13.63943481446149</v>
      </c>
      <c r="GW23" s="14">
        <f t="shared" si="51"/>
        <v>4.6372247105414832</v>
      </c>
      <c r="GX23" s="22">
        <f t="shared" si="28"/>
        <v>31.831848672713509</v>
      </c>
      <c r="GY23" s="62">
        <f t="shared" si="29"/>
        <v>312.94295978382468</v>
      </c>
      <c r="GZ23" s="62">
        <f ca="1">AVERAGE(OFFSET($GY$3,0,0,'Données projet'!$E$18+1,1))-AVERAGE(OFFSET($H$3,0,0,'Données projet'!$E$18+1,1))</f>
        <v>441.17479680509746</v>
      </c>
      <c r="HA23" s="62">
        <f t="shared" si="52"/>
        <v>198.56576128410069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210</v>
      </c>
      <c r="L24" s="13">
        <f>VLOOKUP(A24,'Données projet'!$A$35:$I$55,9,0)</f>
        <v>10</v>
      </c>
      <c r="M24" s="13">
        <f t="array" ref="M24">INDEX(L:L,MIN(IF(ISNUMBER(L24:L220),ROW(L24:L220),"")))</f>
        <v>10</v>
      </c>
      <c r="N24" s="14">
        <f>IF('Données projet'!$A$36&gt;35,N23+M24-V23,IF(A24&lt;'Données projet'!$A$36,$K$205^A24,IF(A24='Données projet'!$A$36,'Données projet'!$B$36,N23+M24-V23)))</f>
        <v>210</v>
      </c>
      <c r="O24" s="14">
        <f>N24*VLOOKUP('Données projet'!$B$9,Paramètres!$A$1:$I$89,3,0)*VLOOKUP('Données projet'!$B$9,Paramètres!$A$1:$I$89,5,0)</f>
        <v>117.39</v>
      </c>
      <c r="P24" s="14">
        <f t="shared" si="33"/>
        <v>31.065482772413461</v>
      </c>
      <c r="Q24" s="22">
        <f t="shared" si="2"/>
        <v>258.55996582862014</v>
      </c>
      <c r="R24" s="62">
        <f t="shared" si="0"/>
        <v>540.89329916195345</v>
      </c>
      <c r="S24" s="62">
        <f ca="1">AVERAGE(OFFSET($R$3,0,0,'Données projet'!$E$9+1,1))-AVERAGE(OFFSET($H$3,0,0,'Données projet'!$E$9+1,1))</f>
        <v>374.79806286316051</v>
      </c>
      <c r="T24" s="62">
        <f t="shared" si="34"/>
        <v>350.01856672839466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63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0.5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19.936912410994776</v>
      </c>
      <c r="AC24" s="24">
        <f t="shared" si="3"/>
        <v>19.936912410994776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11.4</v>
      </c>
      <c r="AI24" s="14">
        <f>IF('Données projet'!$A$62&gt;35,AI23+AH24-AQ23,IF(A24&lt;'Données projet'!$A$62,$AF$205^A24,IF(A24='Données projet'!$A$62,'Données projet'!$B$62,AI23+AH24-AQ23)))</f>
        <v>99.4</v>
      </c>
      <c r="AJ24" s="14">
        <f>AI24*VLOOKUP('Données projet'!$B$10,Paramètres!$A$1:$I$89,3,0)*VLOOKUP('Données projet'!$B$10,Paramètres!$A$1:$I$89,5,0)</f>
        <v>86.835840000000019</v>
      </c>
      <c r="AK24" s="14">
        <f t="shared" si="35"/>
        <v>23.800523515695975</v>
      </c>
      <c r="AL24" s="22">
        <f t="shared" si="4"/>
        <v>192.69166645650384</v>
      </c>
      <c r="AM24" s="62">
        <f t="shared" si="5"/>
        <v>475.02499978983712</v>
      </c>
      <c r="AN24" s="62">
        <f ca="1">AVERAGE(OFFSET($AM$3,0,0,'Données projet'!$E$10+1,1))-AVERAGE(OFFSET($H$3,0,0,'Données projet'!$E$10+1,1))</f>
        <v>401.89597032936751</v>
      </c>
      <c r="AO24" s="62">
        <f t="shared" si="36"/>
        <v>417.85733543972361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43.068480000000001</v>
      </c>
      <c r="BF24" s="14">
        <f t="shared" si="37"/>
        <v>12.808416415102187</v>
      </c>
      <c r="BG24" s="22">
        <f t="shared" si="7"/>
        <v>97.318927922969635</v>
      </c>
      <c r="BH24" s="62">
        <f t="shared" si="8"/>
        <v>379.65226125630295</v>
      </c>
      <c r="BI24" s="62">
        <f ca="1">AVERAGE(OFFSET($BH$3,0,0,'Données projet'!$E$11+1,1))-AVERAGE(OFFSET($H$3,0,0,'Données projet'!$E$11+1,1))</f>
        <v>430.40491895612814</v>
      </c>
      <c r="BJ24" s="62">
        <f t="shared" si="38"/>
        <v>231.36959598460686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6.5384615384615419</v>
      </c>
      <c r="BY24" s="13">
        <f>IF('Données projet'!$A$114&gt;35,BY23+BX24-CG23,IF(A24&lt;'Données projet'!$A$114,$BV$205^A24,IF(A24='Données projet'!$A$114,'Données projet'!$B$114,BY23+BX24-CG23)))</f>
        <v>57.820512820512803</v>
      </c>
      <c r="BZ24" s="14">
        <f>BY24*VLOOKUP('Données projet'!$B$12,Paramètres!$A$1:$I$89,3,0)*VLOOKUP('Données projet'!$B$12,Paramètres!$A$1:$I$89,5,0)</f>
        <v>55.021999999999977</v>
      </c>
      <c r="CA24" s="14">
        <f t="shared" si="39"/>
        <v>15.903400778596186</v>
      </c>
      <c r="CB24" s="22">
        <f t="shared" si="10"/>
        <v>123.52840635605497</v>
      </c>
      <c r="CC24" s="62">
        <f t="shared" si="11"/>
        <v>405.86173968938829</v>
      </c>
      <c r="CD24" s="62">
        <f ca="1">AVERAGE(OFFSET($CC$3,0,0,'Données projet'!$E$12+1,1))-AVERAGE(OFFSET($H$3,0,0,'Données projet'!$E$12+1,1))</f>
        <v>367.11183928586667</v>
      </c>
      <c r="CE24" s="62">
        <f t="shared" si="40"/>
        <v>281.52963027844595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12.2</v>
      </c>
      <c r="CT24" s="13">
        <f>IF('Données projet'!$A$140&gt;35,CT23+CS24-DB23,IF(A24&lt;'Données projet'!$A$140,$CQ$205^A24,IF(A24='Données projet'!$A$140,'Données projet'!$B$140,CT23+CS24-DB23)))</f>
        <v>119.19999999999999</v>
      </c>
      <c r="CU24" s="18">
        <f>CT24*VLOOKUP('Données projet'!$B$13,Paramètres!$A$1:$I$89,3,0)*VLOOKUP('Données projet'!$B$13,Paramètres!$A$1:$I$89,5,0)</f>
        <v>71.281599999999997</v>
      </c>
      <c r="CV24" s="14">
        <f t="shared" si="41"/>
        <v>19.991387177457259</v>
      </c>
      <c r="CW24" s="22">
        <f t="shared" si="13"/>
        <v>158.96711933407138</v>
      </c>
      <c r="CX24" s="62">
        <f t="shared" si="14"/>
        <v>441.30045266740467</v>
      </c>
      <c r="CY24" s="62">
        <f ca="1">AVERAGE(OFFSET($CX$3,0,0,'Données projet'!$E$13+1,1))-AVERAGE(OFFSET($H$3,0,0,'Données projet'!$E$13+1,1))</f>
        <v>308.47522272937135</v>
      </c>
      <c r="CZ24" s="62">
        <f t="shared" si="42"/>
        <v>302.54354650449721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1.4362927890141437</v>
      </c>
      <c r="DI24" s="24">
        <f t="shared" si="15"/>
        <v>1.4362927890141437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14.739999999999998</v>
      </c>
      <c r="DO24" s="13">
        <f>IF('Données projet'!$A$166&gt;35,DO23+DN24-DW23,IF(A24&lt;'Données projet'!$A$166,$DL$205^A24,IF(A24='Données projet'!$A$166,'Données projet'!$B$166,DO23+DN24-DW23)))</f>
        <v>81.54000000000002</v>
      </c>
      <c r="DP24" s="18">
        <f>DO24*VLOOKUP('Données projet'!$B$14,Paramètres!$A$1:$I$89,3,0)*VLOOKUP('Données projet'!$B$14,Paramètres!$A$1:$I$89,5,0)</f>
        <v>64.873224000000022</v>
      </c>
      <c r="DQ24" s="14">
        <f t="shared" si="43"/>
        <v>18.39471758117234</v>
      </c>
      <c r="DR24" s="22">
        <f t="shared" si="16"/>
        <v>145.0249982538752</v>
      </c>
      <c r="DS24" s="62">
        <f t="shared" si="17"/>
        <v>427.35833158720851</v>
      </c>
      <c r="DT24" s="62">
        <f ca="1">AVERAGE(OFFSET($DS$3,0,0,'Données projet'!$E$14+1,1))-AVERAGE(OFFSET($H$3,0,0,'Données projet'!$E$14+1,1))</f>
        <v>370.58277541710277</v>
      </c>
      <c r="DU24" s="62">
        <f t="shared" si="44"/>
        <v>404.61777090709171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>
        <f>VLOOKUP(A24,'Données projet'!$A$191:$I$211,2,0)</f>
        <v>146</v>
      </c>
      <c r="EH24" s="13">
        <f>VLOOKUP(A24,'Données projet'!$A$191:$I$211,9,0)</f>
        <v>18</v>
      </c>
      <c r="EI24" s="13">
        <f t="array" ref="EI24">INDEX(EH:EH,MIN(IF(ISNUMBER(EH24:EH220),ROW(EH24:EH220),"")))</f>
        <v>18</v>
      </c>
      <c r="EJ24" s="13">
        <f>IF('Données projet'!$A$192&gt;35,EJ23+EI24-ER23,IF(A24&lt;'Données projet'!$A$192,$EG$205^A24,IF(A24='Données projet'!$A$192,'Données projet'!$B$192,EJ23+EI24-ER23)))</f>
        <v>146</v>
      </c>
      <c r="EK24" s="18">
        <f>EJ24*VLOOKUP('Données projet'!$B$15,Paramètres!$A$1:$I$89,3,0)*VLOOKUP('Données projet'!$B$15,Paramètres!$A$1:$I$89,5,0)</f>
        <v>91.103999999999999</v>
      </c>
      <c r="EL24" s="14">
        <f t="shared" si="45"/>
        <v>24.831293984707884</v>
      </c>
      <c r="EM24" s="22">
        <f t="shared" si="19"/>
        <v>201.92063702336623</v>
      </c>
      <c r="EN24" s="62">
        <f t="shared" si="20"/>
        <v>484.25397035669954</v>
      </c>
      <c r="EO24" s="62">
        <f ca="1">AVERAGE(OFFSET($EN$3,0,0,'Données projet'!$E$15+1,1))-AVERAGE(OFFSET($H$3,0,0,'Données projet'!$E$15+1,1))</f>
        <v>240.22884864766218</v>
      </c>
      <c r="EP24" s="62">
        <f t="shared" si="46"/>
        <v>343.23776884143166</v>
      </c>
      <c r="EQ24" s="16">
        <f>IF(ISNA(VLOOKUP(A24,'Données projet'!$A$191:$I$211,3,0)),0,VLOOKUP(A24,'Données projet'!$A$191:$I$211,3,0))</f>
        <v>2</v>
      </c>
      <c r="ER24" s="16">
        <f>IF(ISNA(VLOOKUP(A24,'Données projet'!$A$191:$I$211,4,0)),0,VLOOKUP(A24,'Données projet'!$A$191:$I$211,4,0))</f>
        <v>26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0.5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11.682568900167986</v>
      </c>
      <c r="EY24" s="24">
        <f t="shared" si="21"/>
        <v>11.682568900167986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9.3000000000000007</v>
      </c>
      <c r="FE24" s="13">
        <f>IF('Données projet'!$A$218&gt;35,FE23+FD24-FM23,IF(A24&lt;'Données projet'!$A$218,$FB$205^A24,IF(A24='Données projet'!$A$218,'Données projet'!$B$218,FE23+FD24-FM23)))</f>
        <v>37.299999999999997</v>
      </c>
      <c r="FF24" s="18">
        <f>FE24*VLOOKUP('Données projet'!$B$16,Paramètres!$A$1:$I$89,3,0)*VLOOKUP('Données projet'!$B$16,Paramètres!$A$1:$I$89,5,0)</f>
        <v>17.456399999999999</v>
      </c>
      <c r="FG24" s="14">
        <f t="shared" si="47"/>
        <v>5.7669106730837063</v>
      </c>
      <c r="FH24" s="22">
        <f t="shared" si="22"/>
        <v>40.447266088954116</v>
      </c>
      <c r="FI24" s="62">
        <f t="shared" si="23"/>
        <v>322.78059942228742</v>
      </c>
      <c r="FJ24" s="62">
        <f ca="1">AVERAGE(OFFSET($FI$3,0,0,'Données projet'!$E$16+1,1))-AVERAGE(OFFSET($H$3,0,0,'Données projet'!$E$16+1,1))</f>
        <v>399.92909819003523</v>
      </c>
      <c r="FK24" s="62">
        <f t="shared" si="48"/>
        <v>163.7053537268381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14.739999999999998</v>
      </c>
      <c r="FZ24" s="13">
        <f>IF('Données projet'!$A$244&gt;35,FZ23+FY24-GH23,IF(A24&lt;'Données projet'!$A$244,$FW$205^A24,IF(A24='Données projet'!$A$244,'Données projet'!$B$244,FZ23+FY24-GH23)))</f>
        <v>81.54000000000002</v>
      </c>
      <c r="GA24" s="18">
        <f>FZ24*VLOOKUP('Données projet'!$B$17,Paramètres!$A$1:$I$89,3,0)*VLOOKUP('Données projet'!$B$17,Paramètres!$A$1:$I$89,5,0)</f>
        <v>59.785128000000007</v>
      </c>
      <c r="GB24" s="14">
        <f t="shared" si="49"/>
        <v>17.113931291149598</v>
      </c>
      <c r="GC24" s="22">
        <f t="shared" si="25"/>
        <v>133.93252826541888</v>
      </c>
      <c r="GD24" s="62">
        <f t="shared" si="26"/>
        <v>416.26586159875217</v>
      </c>
      <c r="GE24" s="62">
        <f ca="1">AVERAGE(OFFSET($GD$3,0,0,'Données projet'!$E$17+1,1))-AVERAGE(OFFSET($H$3,0,0,'Données projet'!$E$17+1,1))</f>
        <v>344.4426665022238</v>
      </c>
      <c r="GF24" s="62">
        <f t="shared" si="50"/>
        <v>376.41441893222185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5.0333333333333332</v>
      </c>
      <c r="GU24" s="13">
        <f>IF('Données projet'!$A$270&gt;35,GU23+GT24-HC23,IF(A24&lt;'Données projet'!$A$270,$GR$205^A24,IF(A24='Données projet'!$A$270,'Données projet'!$B$270,GU23+GT24-HC23)))</f>
        <v>33.518445048515261</v>
      </c>
      <c r="GV24" s="18">
        <f>GU24*VLOOKUP('Données projet'!$B$18,Paramètres!$A$1:$I$89,3,0)*VLOOKUP('Données projet'!$B$18,Paramètres!$A$1:$I$89,5,0)</f>
        <v>16.122372068335842</v>
      </c>
      <c r="GW24" s="14">
        <f t="shared" si="51"/>
        <v>5.3757154924201851</v>
      </c>
      <c r="GX24" s="22">
        <f t="shared" si="28"/>
        <v>37.442502501650075</v>
      </c>
      <c r="GY24" s="62">
        <f t="shared" si="29"/>
        <v>319.77583583498341</v>
      </c>
      <c r="GZ24" s="62">
        <f ca="1">AVERAGE(OFFSET($GY$3,0,0,'Données projet'!$E$18+1,1))-AVERAGE(OFFSET($H$3,0,0,'Données projet'!$E$18+1,1))</f>
        <v>441.17479680509746</v>
      </c>
      <c r="HA24" s="62">
        <f t="shared" si="52"/>
        <v>198.56576128410069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19</v>
      </c>
      <c r="N25" s="14">
        <f>IF('Données projet'!$A$36&gt;35,N24+M25-V24,IF(A25&lt;'Données projet'!$A$36,$K$205^A25,IF(A25='Données projet'!$A$36,'Données projet'!$B$36,N24+M25-V24)))</f>
        <v>166</v>
      </c>
      <c r="O25" s="14">
        <f>N25*VLOOKUP('Données projet'!$B$9,Paramètres!$A$1:$I$89,3,0)*VLOOKUP('Données projet'!$B$9,Paramètres!$A$1:$I$89,5,0)</f>
        <v>92.793999999999997</v>
      </c>
      <c r="P25" s="14">
        <f t="shared" si="33"/>
        <v>25.237866858098691</v>
      </c>
      <c r="Q25" s="22">
        <f t="shared" si="2"/>
        <v>205.57216811118852</v>
      </c>
      <c r="R25" s="62">
        <f t="shared" si="0"/>
        <v>489.12772366674403</v>
      </c>
      <c r="S25" s="62">
        <f ca="1">AVERAGE(OFFSET($R$3,0,0,'Données projet'!$E$9+1,1))-AVERAGE(OFFSET($H$3,0,0,'Données projet'!$E$9+1,1))</f>
        <v>374.79806286316051</v>
      </c>
      <c r="T25" s="62">
        <f t="shared" si="34"/>
        <v>350.01856672839466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14.097525961736647</v>
      </c>
      <c r="AC25" s="24">
        <f t="shared" si="3"/>
        <v>14.097525961736647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11.4</v>
      </c>
      <c r="AI25" s="14">
        <f>IF('Données projet'!$A$62&gt;35,AI24+AH25-AQ24,IF(A25&lt;'Données projet'!$A$62,$AF$205^A25,IF(A25='Données projet'!$A$62,'Données projet'!$B$62,AI24+AH25-AQ24)))</f>
        <v>110.80000000000001</v>
      </c>
      <c r="AJ25" s="14">
        <f>AI25*VLOOKUP('Données projet'!$B$10,Paramètres!$A$1:$I$89,3,0)*VLOOKUP('Données projet'!$B$10,Paramètres!$A$1:$I$89,5,0)</f>
        <v>96.79488000000002</v>
      </c>
      <c r="AK25" s="14">
        <f t="shared" si="35"/>
        <v>26.196980264498759</v>
      </c>
      <c r="AL25" s="22">
        <f t="shared" si="4"/>
        <v>214.21082329400204</v>
      </c>
      <c r="AM25" s="62">
        <f t="shared" si="5"/>
        <v>497.76637884955755</v>
      </c>
      <c r="AN25" s="62">
        <f ca="1">AVERAGE(OFFSET($AM$3,0,0,'Données projet'!$E$10+1,1))-AVERAGE(OFFSET($H$3,0,0,'Données projet'!$E$10+1,1))</f>
        <v>401.89597032936751</v>
      </c>
      <c r="AO25" s="62">
        <f t="shared" si="36"/>
        <v>417.85733543972361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48.135359999999999</v>
      </c>
      <c r="BF25" s="14">
        <f t="shared" si="37"/>
        <v>14.131148275361113</v>
      </c>
      <c r="BG25" s="22">
        <f t="shared" si="7"/>
        <v>108.4475019129206</v>
      </c>
      <c r="BH25" s="62">
        <f t="shared" si="8"/>
        <v>392.00305746847613</v>
      </c>
      <c r="BI25" s="62">
        <f ca="1">AVERAGE(OFFSET($BH$3,0,0,'Données projet'!$E$11+1,1))-AVERAGE(OFFSET($H$3,0,0,'Données projet'!$E$11+1,1))</f>
        <v>430.40491895612814</v>
      </c>
      <c r="BJ25" s="62">
        <f t="shared" si="38"/>
        <v>231.36959598460686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6.5384615384615419</v>
      </c>
      <c r="BY25" s="13">
        <f>IF('Données projet'!$A$114&gt;35,BY24+BX25-CG24,IF(A25&lt;'Données projet'!$A$114,$BV$205^A25,IF(A25='Données projet'!$A$114,'Données projet'!$B$114,BY24+BX25-CG24)))</f>
        <v>64.358974358974351</v>
      </c>
      <c r="BZ25" s="14">
        <f>BY25*VLOOKUP('Données projet'!$B$12,Paramètres!$A$1:$I$89,3,0)*VLOOKUP('Données projet'!$B$12,Paramètres!$A$1:$I$89,5,0)</f>
        <v>61.244</v>
      </c>
      <c r="CA25" s="14">
        <f t="shared" si="39"/>
        <v>17.482414611857141</v>
      </c>
      <c r="CB25" s="22">
        <f t="shared" si="10"/>
        <v>137.11517211565118</v>
      </c>
      <c r="CC25" s="62">
        <f t="shared" si="11"/>
        <v>420.67072767120669</v>
      </c>
      <c r="CD25" s="62">
        <f ca="1">AVERAGE(OFFSET($CC$3,0,0,'Données projet'!$E$12+1,1))-AVERAGE(OFFSET($H$3,0,0,'Données projet'!$E$12+1,1))</f>
        <v>367.11183928586667</v>
      </c>
      <c r="CE25" s="62">
        <f t="shared" si="40"/>
        <v>281.52963027844595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12.2</v>
      </c>
      <c r="CT25" s="13">
        <f>IF('Données projet'!$A$140&gt;35,CT24+CS25-DB24,IF(A25&lt;'Données projet'!$A$140,$CQ$205^A25,IF(A25='Données projet'!$A$140,'Données projet'!$B$140,CT24+CS25-DB24)))</f>
        <v>131.39999999999998</v>
      </c>
      <c r="CU25" s="18">
        <f>CT25*VLOOKUP('Données projet'!$B$13,Paramètres!$A$1:$I$89,3,0)*VLOOKUP('Données projet'!$B$13,Paramètres!$A$1:$I$89,5,0)</f>
        <v>78.577199999999991</v>
      </c>
      <c r="CV25" s="14">
        <f t="shared" si="41"/>
        <v>21.788939637935243</v>
      </c>
      <c r="CW25" s="22">
        <f t="shared" si="13"/>
        <v>174.80435986940384</v>
      </c>
      <c r="CX25" s="62">
        <f t="shared" si="14"/>
        <v>458.35991542495935</v>
      </c>
      <c r="CY25" s="62">
        <f ca="1">AVERAGE(OFFSET($CX$3,0,0,'Données projet'!$E$13+1,1))-AVERAGE(OFFSET($H$3,0,0,'Données projet'!$E$13+1,1))</f>
        <v>308.47522272937135</v>
      </c>
      <c r="CZ25" s="62">
        <f t="shared" si="42"/>
        <v>302.54354650449721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1.0156123708812403</v>
      </c>
      <c r="DI25" s="24">
        <f t="shared" si="15"/>
        <v>1.0156123708812403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14.739999999999998</v>
      </c>
      <c r="DO25" s="13">
        <f>IF('Données projet'!$A$166&gt;35,DO24+DN25-DW24,IF(A25&lt;'Données projet'!$A$166,$DL$205^A25,IF(A25='Données projet'!$A$166,'Données projet'!$B$166,DO24+DN25-DW24)))</f>
        <v>96.280000000000015</v>
      </c>
      <c r="DP25" s="18">
        <f>DO25*VLOOKUP('Données projet'!$B$14,Paramètres!$A$1:$I$89,3,0)*VLOOKUP('Données projet'!$B$14,Paramètres!$A$1:$I$89,5,0)</f>
        <v>76.600368000000017</v>
      </c>
      <c r="DQ25" s="14">
        <f t="shared" si="43"/>
        <v>21.30386735026233</v>
      </c>
      <c r="DR25" s="22">
        <f t="shared" si="16"/>
        <v>170.51654323504027</v>
      </c>
      <c r="DS25" s="62">
        <f t="shared" si="17"/>
        <v>454.07209879059582</v>
      </c>
      <c r="DT25" s="62">
        <f ca="1">AVERAGE(OFFSET($DS$3,0,0,'Données projet'!$E$14+1,1))-AVERAGE(OFFSET($H$3,0,0,'Données projet'!$E$14+1,1))</f>
        <v>370.58277541710277</v>
      </c>
      <c r="DU25" s="62">
        <f t="shared" si="44"/>
        <v>404.61777090709171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16</v>
      </c>
      <c r="EJ25" s="13">
        <f>IF('Données projet'!$A$192&gt;35,EJ24+EI25-ER24,IF(A25&lt;'Données projet'!$A$192,$EG$205^A25,IF(A25='Données projet'!$A$192,'Données projet'!$B$192,EJ24+EI25-ER24)))</f>
        <v>136</v>
      </c>
      <c r="EK25" s="18">
        <f>EJ25*VLOOKUP('Données projet'!$B$15,Paramètres!$A$1:$I$89,3,0)*VLOOKUP('Données projet'!$B$15,Paramètres!$A$1:$I$89,5,0)</f>
        <v>84.864000000000004</v>
      </c>
      <c r="EL25" s="14">
        <f t="shared" si="45"/>
        <v>23.322341364766192</v>
      </c>
      <c r="EM25" s="22">
        <f t="shared" si="19"/>
        <v>188.42454454363443</v>
      </c>
      <c r="EN25" s="62">
        <f t="shared" si="20"/>
        <v>471.98010009918994</v>
      </c>
      <c r="EO25" s="62">
        <f ca="1">AVERAGE(OFFSET($EN$3,0,0,'Données projet'!$E$15+1,1))-AVERAGE(OFFSET($H$3,0,0,'Données projet'!$E$15+1,1))</f>
        <v>240.22884864766218</v>
      </c>
      <c r="EP25" s="62">
        <f t="shared" si="46"/>
        <v>343.23776884143166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8.2608236909878503</v>
      </c>
      <c r="EY25" s="24">
        <f t="shared" si="21"/>
        <v>8.2608236909878503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9.3000000000000007</v>
      </c>
      <c r="FE25" s="13">
        <f>IF('Données projet'!$A$218&gt;35,FE24+FD25-FM24,IF(A25&lt;'Données projet'!$A$218,$FB$205^A25,IF(A25='Données projet'!$A$218,'Données projet'!$B$218,FE24+FD25-FM24)))</f>
        <v>46.599999999999994</v>
      </c>
      <c r="FF25" s="18">
        <f>FE25*VLOOKUP('Données projet'!$B$16,Paramètres!$A$1:$I$89,3,0)*VLOOKUP('Données projet'!$B$16,Paramètres!$A$1:$I$89,5,0)</f>
        <v>21.808799999999994</v>
      </c>
      <c r="FG25" s="14">
        <f t="shared" si="47"/>
        <v>7.0204846906618394</v>
      </c>
      <c r="FH25" s="22">
        <f t="shared" si="22"/>
        <v>50.211004169569357</v>
      </c>
      <c r="FI25" s="62">
        <f t="shared" si="23"/>
        <v>333.76655972512492</v>
      </c>
      <c r="FJ25" s="62">
        <f ca="1">AVERAGE(OFFSET($FI$3,0,0,'Données projet'!$E$16+1,1))-AVERAGE(OFFSET($H$3,0,0,'Données projet'!$E$16+1,1))</f>
        <v>399.92909819003523</v>
      </c>
      <c r="FK25" s="62">
        <f t="shared" si="48"/>
        <v>163.7053537268381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14.739999999999998</v>
      </c>
      <c r="FZ25" s="13">
        <f>IF('Données projet'!$A$244&gt;35,FZ24+FY25-GH24,IF(A25&lt;'Données projet'!$A$244,$FW$205^A25,IF(A25='Données projet'!$A$244,'Données projet'!$B$244,FZ24+FY25-GH24)))</f>
        <v>96.280000000000015</v>
      </c>
      <c r="GA25" s="18">
        <f>FZ25*VLOOKUP('Données projet'!$B$17,Paramètres!$A$1:$I$89,3,0)*VLOOKUP('Données projet'!$B$17,Paramètres!$A$1:$I$89,5,0)</f>
        <v>70.592496000000011</v>
      </c>
      <c r="GB25" s="14">
        <f t="shared" si="49"/>
        <v>19.82052295498838</v>
      </c>
      <c r="GC25" s="22">
        <f t="shared" si="25"/>
        <v>157.46934134660478</v>
      </c>
      <c r="GD25" s="62">
        <f t="shared" si="26"/>
        <v>441.02489690216032</v>
      </c>
      <c r="GE25" s="62">
        <f ca="1">AVERAGE(OFFSET($GD$3,0,0,'Données projet'!$E$17+1,1))-AVERAGE(OFFSET($H$3,0,0,'Données projet'!$E$17+1,1))</f>
        <v>344.4426665022238</v>
      </c>
      <c r="GF25" s="62">
        <f t="shared" si="50"/>
        <v>376.41441893222185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5.0333333333333332</v>
      </c>
      <c r="GU25" s="13">
        <f>IF('Données projet'!$A$270&gt;35,GU24+GT25-HC24,IF(A25&lt;'Données projet'!$A$270,$GR$205^A25,IF(A25='Données projet'!$A$270,'Données projet'!$B$270,GU24+GT25-HC24)))</f>
        <v>39.620178517314031</v>
      </c>
      <c r="GV25" s="18">
        <f>GU25*VLOOKUP('Données projet'!$B$18,Paramètres!$A$1:$I$89,3,0)*VLOOKUP('Données projet'!$B$18,Paramètres!$A$1:$I$89,5,0)</f>
        <v>19.057305866828049</v>
      </c>
      <c r="GW25" s="14">
        <f t="shared" si="51"/>
        <v>6.2318129612640591</v>
      </c>
      <c r="GX25" s="22">
        <f t="shared" si="28"/>
        <v>44.045215292260423</v>
      </c>
      <c r="GY25" s="62">
        <f t="shared" si="29"/>
        <v>327.60077084781597</v>
      </c>
      <c r="GZ25" s="62">
        <f ca="1">AVERAGE(OFFSET($GY$3,0,0,'Données projet'!$E$18+1,1))-AVERAGE(OFFSET($H$3,0,0,'Données projet'!$E$18+1,1))</f>
        <v>441.17479680509746</v>
      </c>
      <c r="HA25" s="62">
        <f t="shared" si="52"/>
        <v>198.56576128410069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19</v>
      </c>
      <c r="N26" s="14">
        <f>IF('Données projet'!$A$36&gt;35,N25+M26-V25,IF(A26&lt;'Données projet'!$A$36,$K$205^A26,IF(A26='Données projet'!$A$36,'Données projet'!$B$36,N25+M26-V25)))</f>
        <v>185</v>
      </c>
      <c r="O26" s="14">
        <f>N26*VLOOKUP('Données projet'!$B$9,Paramètres!$A$1:$I$89,3,0)*VLOOKUP('Données projet'!$B$9,Paramètres!$A$1:$I$89,5,0)</f>
        <v>103.41500000000001</v>
      </c>
      <c r="P26" s="14">
        <f t="shared" si="33"/>
        <v>27.773977384564439</v>
      </c>
      <c r="Q26" s="22">
        <f t="shared" si="2"/>
        <v>228.48746894478305</v>
      </c>
      <c r="R26" s="62">
        <f t="shared" si="0"/>
        <v>513.26524672256085</v>
      </c>
      <c r="S26" s="62">
        <f ca="1">AVERAGE(OFFSET($R$3,0,0,'Données projet'!$E$9+1,1))-AVERAGE(OFFSET($H$3,0,0,'Données projet'!$E$9+1,1))</f>
        <v>374.79806286316051</v>
      </c>
      <c r="T26" s="62">
        <f t="shared" si="34"/>
        <v>350.01856672839466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9.9684562054973895</v>
      </c>
      <c r="AC26" s="24">
        <f t="shared" si="3"/>
        <v>9.9684562054973895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11.4</v>
      </c>
      <c r="AI26" s="14">
        <f>IF('Données projet'!$A$62&gt;35,AI25+AH26-AQ25,IF(A26&lt;'Données projet'!$A$62,$AF$205^A26,IF(A26='Données projet'!$A$62,'Données projet'!$B$62,AI25+AH26-AQ25)))</f>
        <v>122.20000000000002</v>
      </c>
      <c r="AJ26" s="14">
        <f>AI26*VLOOKUP('Données projet'!$B$10,Paramètres!$A$1:$I$89,3,0)*VLOOKUP('Données projet'!$B$10,Paramètres!$A$1:$I$89,5,0)</f>
        <v>106.75392000000002</v>
      </c>
      <c r="AK26" s="14">
        <f t="shared" si="35"/>
        <v>28.564854626856</v>
      </c>
      <c r="AL26" s="22">
        <f t="shared" si="4"/>
        <v>235.68019914177424</v>
      </c>
      <c r="AM26" s="62">
        <f t="shared" si="5"/>
        <v>520.45797691955204</v>
      </c>
      <c r="AN26" s="62">
        <f ca="1">AVERAGE(OFFSET($AM$3,0,0,'Données projet'!$E$10+1,1))-AVERAGE(OFFSET($H$3,0,0,'Données projet'!$E$10+1,1))</f>
        <v>401.89597032936751</v>
      </c>
      <c r="AO26" s="62">
        <f t="shared" si="36"/>
        <v>417.85733543972361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53.202240000000003</v>
      </c>
      <c r="BF26" s="14">
        <f t="shared" si="37"/>
        <v>15.437740642425908</v>
      </c>
      <c r="BG26" s="22">
        <f t="shared" si="7"/>
        <v>119.54796628555846</v>
      </c>
      <c r="BH26" s="62">
        <f t="shared" si="8"/>
        <v>404.32574406333623</v>
      </c>
      <c r="BI26" s="62">
        <f ca="1">AVERAGE(OFFSET($BH$3,0,0,'Données projet'!$E$11+1,1))-AVERAGE(OFFSET($H$3,0,0,'Données projet'!$E$11+1,1))</f>
        <v>430.40491895612814</v>
      </c>
      <c r="BJ26" s="62">
        <f t="shared" si="38"/>
        <v>231.36959598460686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6.5384615384615419</v>
      </c>
      <c r="BY26" s="13">
        <f>IF('Données projet'!$A$114&gt;35,BY25+BX26-CG25,IF(A26&lt;'Données projet'!$A$114,$BV$205^A26,IF(A26='Données projet'!$A$114,'Données projet'!$B$114,BY25+BX26-CG25)))</f>
        <v>70.897435897435898</v>
      </c>
      <c r="BZ26" s="14">
        <f>BY26*VLOOKUP('Données projet'!$B$12,Paramètres!$A$1:$I$89,3,0)*VLOOKUP('Données projet'!$B$12,Paramètres!$A$1:$I$89,5,0)</f>
        <v>67.466000000000008</v>
      </c>
      <c r="CA26" s="14">
        <f t="shared" si="39"/>
        <v>19.042832056451115</v>
      </c>
      <c r="CB26" s="22">
        <f t="shared" si="10"/>
        <v>150.66954916498568</v>
      </c>
      <c r="CC26" s="62">
        <f t="shared" si="11"/>
        <v>435.44732694276342</v>
      </c>
      <c r="CD26" s="62">
        <f ca="1">AVERAGE(OFFSET($CC$3,0,0,'Données projet'!$E$12+1,1))-AVERAGE(OFFSET($H$3,0,0,'Données projet'!$E$12+1,1))</f>
        <v>367.11183928586667</v>
      </c>
      <c r="CE26" s="62">
        <f t="shared" si="40"/>
        <v>281.52963027844595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12.2</v>
      </c>
      <c r="CT26" s="13">
        <f>IF('Données projet'!$A$140&gt;35,CT25+CS26-DB25,IF(A26&lt;'Données projet'!$A$140,$CQ$205^A26,IF(A26='Données projet'!$A$140,'Données projet'!$B$140,CT25+CS26-DB25)))</f>
        <v>143.59999999999997</v>
      </c>
      <c r="CU26" s="18">
        <f>CT26*VLOOKUP('Données projet'!$B$13,Paramètres!$A$1:$I$89,3,0)*VLOOKUP('Données projet'!$B$13,Paramètres!$A$1:$I$89,5,0)</f>
        <v>85.872799999999984</v>
      </c>
      <c r="CV26" s="14">
        <f t="shared" si="41"/>
        <v>23.567140673267303</v>
      </c>
      <c r="CW26" s="22">
        <f t="shared" si="13"/>
        <v>190.60789667260715</v>
      </c>
      <c r="CX26" s="62">
        <f t="shared" si="14"/>
        <v>475.38567445038495</v>
      </c>
      <c r="CY26" s="62">
        <f ca="1">AVERAGE(OFFSET($CX$3,0,0,'Données projet'!$E$13+1,1))-AVERAGE(OFFSET($H$3,0,0,'Données projet'!$E$13+1,1))</f>
        <v>308.47522272937135</v>
      </c>
      <c r="CZ26" s="62">
        <f t="shared" si="42"/>
        <v>302.54354650449721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0.71814639450707196</v>
      </c>
      <c r="DI26" s="24">
        <f t="shared" si="15"/>
        <v>0.71814639450707196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14.739999999999998</v>
      </c>
      <c r="DO26" s="13">
        <f>IF('Données projet'!$A$166&gt;35,DO25+DN26-DW25,IF(A26&lt;'Données projet'!$A$166,$DL$205^A26,IF(A26='Données projet'!$A$166,'Données projet'!$B$166,DO25+DN26-DW25)))</f>
        <v>111.02000000000001</v>
      </c>
      <c r="DP26" s="18">
        <f>DO26*VLOOKUP('Données projet'!$B$14,Paramètres!$A$1:$I$89,3,0)*VLOOKUP('Données projet'!$B$14,Paramètres!$A$1:$I$89,5,0)</f>
        <v>88.327512000000013</v>
      </c>
      <c r="DQ26" s="14">
        <f t="shared" si="43"/>
        <v>24.161421859810599</v>
      </c>
      <c r="DR26" s="22">
        <f t="shared" si="16"/>
        <v>195.91822647250351</v>
      </c>
      <c r="DS26" s="62">
        <f t="shared" si="17"/>
        <v>480.69600425028125</v>
      </c>
      <c r="DT26" s="62">
        <f ca="1">AVERAGE(OFFSET($DS$3,0,0,'Données projet'!$E$14+1,1))-AVERAGE(OFFSET($H$3,0,0,'Données projet'!$E$14+1,1))</f>
        <v>370.58277541710277</v>
      </c>
      <c r="DU26" s="62">
        <f t="shared" si="44"/>
        <v>404.61777090709171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16</v>
      </c>
      <c r="EJ26" s="13">
        <f>IF('Données projet'!$A$192&gt;35,EJ25+EI26-ER25,IF(A26&lt;'Données projet'!$A$192,$EG$205^A26,IF(A26='Données projet'!$A$192,'Données projet'!$B$192,EJ25+EI26-ER25)))</f>
        <v>152</v>
      </c>
      <c r="EK26" s="18">
        <f>EJ26*VLOOKUP('Données projet'!$B$15,Paramètres!$A$1:$I$89,3,0)*VLOOKUP('Données projet'!$B$15,Paramètres!$A$1:$I$89,5,0)</f>
        <v>94.847999999999999</v>
      </c>
      <c r="EL26" s="14">
        <f t="shared" si="45"/>
        <v>25.730851751939202</v>
      </c>
      <c r="EM26" s="22">
        <f t="shared" si="19"/>
        <v>210.0081668012941</v>
      </c>
      <c r="EN26" s="62">
        <f t="shared" si="20"/>
        <v>494.78594457907184</v>
      </c>
      <c r="EO26" s="62">
        <f ca="1">AVERAGE(OFFSET($EN$3,0,0,'Données projet'!$E$15+1,1))-AVERAGE(OFFSET($H$3,0,0,'Données projet'!$E$15+1,1))</f>
        <v>240.22884864766218</v>
      </c>
      <c r="EP26" s="62">
        <f t="shared" si="46"/>
        <v>343.23776884143166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5.841284450083994</v>
      </c>
      <c r="EY26" s="24">
        <f t="shared" si="21"/>
        <v>5.841284450083994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9.3000000000000007</v>
      </c>
      <c r="FE26" s="13">
        <f>IF('Données projet'!$A$218&gt;35,FE25+FD26-FM25,IF(A26&lt;'Données projet'!$A$218,$FB$205^A26,IF(A26='Données projet'!$A$218,'Données projet'!$B$218,FE25+FD26-FM25)))</f>
        <v>55.899999999999991</v>
      </c>
      <c r="FF26" s="18">
        <f>FE26*VLOOKUP('Données projet'!$B$16,Paramètres!$A$1:$I$89,3,0)*VLOOKUP('Données projet'!$B$16,Paramètres!$A$1:$I$89,5,0)</f>
        <v>26.161199999999994</v>
      </c>
      <c r="FG26" s="14">
        <f t="shared" si="47"/>
        <v>8.2450705120606234</v>
      </c>
      <c r="FH26" s="22">
        <f t="shared" si="22"/>
        <v>59.924254475172233</v>
      </c>
      <c r="FI26" s="62">
        <f t="shared" si="23"/>
        <v>344.70203225295</v>
      </c>
      <c r="FJ26" s="62">
        <f ca="1">AVERAGE(OFFSET($FI$3,0,0,'Données projet'!$E$16+1,1))-AVERAGE(OFFSET($H$3,0,0,'Données projet'!$E$16+1,1))</f>
        <v>399.92909819003523</v>
      </c>
      <c r="FK26" s="62">
        <f t="shared" si="48"/>
        <v>163.7053537268381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14.739999999999998</v>
      </c>
      <c r="FZ26" s="13">
        <f>IF('Données projet'!$A$244&gt;35,FZ25+FY26-GH25,IF(A26&lt;'Données projet'!$A$244,$FW$205^A26,IF(A26='Données projet'!$A$244,'Données projet'!$B$244,FZ25+FY26-GH25)))</f>
        <v>111.02000000000001</v>
      </c>
      <c r="GA26" s="18">
        <f>FZ26*VLOOKUP('Données projet'!$B$17,Paramètres!$A$1:$I$89,3,0)*VLOOKUP('Données projet'!$B$17,Paramètres!$A$1:$I$89,5,0)</f>
        <v>81.399864000000008</v>
      </c>
      <c r="GB26" s="14">
        <f t="shared" si="49"/>
        <v>22.479111830915393</v>
      </c>
      <c r="GC26" s="22">
        <f t="shared" si="25"/>
        <v>180.92254957217764</v>
      </c>
      <c r="GD26" s="62">
        <f t="shared" si="26"/>
        <v>465.70032734995539</v>
      </c>
      <c r="GE26" s="62">
        <f ca="1">AVERAGE(OFFSET($GD$3,0,0,'Données projet'!$E$17+1,1))-AVERAGE(OFFSET($H$3,0,0,'Données projet'!$E$17+1,1))</f>
        <v>344.4426665022238</v>
      </c>
      <c r="GF26" s="62">
        <f t="shared" si="50"/>
        <v>376.41441893222185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5.0333333333333332</v>
      </c>
      <c r="GU26" s="13">
        <f>IF('Données projet'!$A$270&gt;35,GU25+GT26-HC25,IF(A26&lt;'Données projet'!$A$270,$GR$205^A26,IF(A26='Données projet'!$A$270,'Données projet'!$B$270,GU25+GT26-HC25)))</f>
        <v>46.832678051494717</v>
      </c>
      <c r="GV26" s="18">
        <f>GU26*VLOOKUP('Données projet'!$B$18,Paramètres!$A$1:$I$89,3,0)*VLOOKUP('Données projet'!$B$18,Paramètres!$A$1:$I$89,5,0)</f>
        <v>22.52651814276896</v>
      </c>
      <c r="GW26" s="14">
        <f t="shared" si="51"/>
        <v>7.224246305247588</v>
      </c>
      <c r="GX26" s="22">
        <f t="shared" si="28"/>
        <v>51.815914746962143</v>
      </c>
      <c r="GY26" s="62">
        <f t="shared" si="29"/>
        <v>336.59369252473994</v>
      </c>
      <c r="GZ26" s="62">
        <f ca="1">AVERAGE(OFFSET($GY$3,0,0,'Données projet'!$E$18+1,1))-AVERAGE(OFFSET($H$3,0,0,'Données projet'!$E$18+1,1))</f>
        <v>441.17479680509746</v>
      </c>
      <c r="HA26" s="62">
        <f t="shared" si="52"/>
        <v>198.56576128410069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19</v>
      </c>
      <c r="N27" s="14">
        <f>IF('Données projet'!$A$36&gt;35,N26+M27-V26,IF(A27&lt;'Données projet'!$A$36,$K$205^A27,IF(A27='Données projet'!$A$36,'Données projet'!$B$36,N26+M27-V26)))</f>
        <v>204</v>
      </c>
      <c r="O27" s="14">
        <f>N27*VLOOKUP('Données projet'!$B$9,Paramètres!$A$1:$I$89,3,0)*VLOOKUP('Données projet'!$B$9,Paramètres!$A$1:$I$89,5,0)</f>
        <v>114.036</v>
      </c>
      <c r="P27" s="14">
        <f t="shared" si="33"/>
        <v>30.279894261296121</v>
      </c>
      <c r="Q27" s="22">
        <f t="shared" si="2"/>
        <v>251.35018250509077</v>
      </c>
      <c r="R27" s="62">
        <f t="shared" si="0"/>
        <v>537.35018250509074</v>
      </c>
      <c r="S27" s="62">
        <f ca="1">AVERAGE(OFFSET($R$3,0,0,'Données projet'!$E$9+1,1))-AVERAGE(OFFSET($H$3,0,0,'Données projet'!$E$9+1,1))</f>
        <v>374.79806286316051</v>
      </c>
      <c r="T27" s="62">
        <f t="shared" si="34"/>
        <v>350.01856672839466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7.0487629808683252</v>
      </c>
      <c r="AC27" s="24">
        <f t="shared" si="3"/>
        <v>7.0487629808683252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11.4</v>
      </c>
      <c r="AI27" s="14">
        <f>IF('Données projet'!$A$62&gt;35,AI26+AH27-AQ26,IF(A27&lt;'Données projet'!$A$62,$AF$205^A27,IF(A27='Données projet'!$A$62,'Données projet'!$B$62,AI26+AH27-AQ26)))</f>
        <v>133.60000000000002</v>
      </c>
      <c r="AJ27" s="14">
        <f>AI27*VLOOKUP('Données projet'!$B$10,Paramètres!$A$1:$I$89,3,0)*VLOOKUP('Données projet'!$B$10,Paramètres!$A$1:$I$89,5,0)</f>
        <v>116.71296000000002</v>
      </c>
      <c r="AK27" s="14">
        <f t="shared" si="35"/>
        <v>30.90711634982064</v>
      </c>
      <c r="AL27" s="22">
        <f t="shared" si="4"/>
        <v>257.10496630927099</v>
      </c>
      <c r="AM27" s="62">
        <f t="shared" si="5"/>
        <v>543.10496630927105</v>
      </c>
      <c r="AN27" s="62">
        <f ca="1">AVERAGE(OFFSET($AM$3,0,0,'Données projet'!$E$10+1,1))-AVERAGE(OFFSET($H$3,0,0,'Données projet'!$E$10+1,1))</f>
        <v>401.89597032936751</v>
      </c>
      <c r="AO27" s="62">
        <f t="shared" si="36"/>
        <v>417.85733543972361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58.269120000000008</v>
      </c>
      <c r="BF27" s="14">
        <f t="shared" si="37"/>
        <v>16.729905486873804</v>
      </c>
      <c r="BG27" s="22">
        <f t="shared" si="7"/>
        <v>130.62330272297189</v>
      </c>
      <c r="BH27" s="62">
        <f t="shared" si="8"/>
        <v>416.62330272297186</v>
      </c>
      <c r="BI27" s="62">
        <f ca="1">AVERAGE(OFFSET($BH$3,0,0,'Données projet'!$E$11+1,1))-AVERAGE(OFFSET($H$3,0,0,'Données projet'!$E$11+1,1))</f>
        <v>430.40491895612814</v>
      </c>
      <c r="BJ27" s="62">
        <f t="shared" si="38"/>
        <v>231.36959598460686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6.5384615384615419</v>
      </c>
      <c r="BY27" s="13">
        <f>IF('Données projet'!$A$114&gt;35,BY26+BX27-CG26,IF(A27&lt;'Données projet'!$A$114,$BV$205^A27,IF(A27='Données projet'!$A$114,'Données projet'!$B$114,BY26+BX27-CG26)))</f>
        <v>77.435897435897445</v>
      </c>
      <c r="BZ27" s="14">
        <f>BY27*VLOOKUP('Données projet'!$B$12,Paramètres!$A$1:$I$89,3,0)*VLOOKUP('Données projet'!$B$12,Paramètres!$A$1:$I$89,5,0)</f>
        <v>73.688000000000017</v>
      </c>
      <c r="CA27" s="14">
        <f t="shared" si="39"/>
        <v>20.586563216136717</v>
      </c>
      <c r="CB27" s="22">
        <f t="shared" si="10"/>
        <v>164.19486426810479</v>
      </c>
      <c r="CC27" s="62">
        <f t="shared" si="11"/>
        <v>450.19486426810477</v>
      </c>
      <c r="CD27" s="62">
        <f ca="1">AVERAGE(OFFSET($CC$3,0,0,'Données projet'!$E$12+1,1))-AVERAGE(OFFSET($H$3,0,0,'Données projet'!$E$12+1,1))</f>
        <v>367.11183928586667</v>
      </c>
      <c r="CE27" s="62">
        <f t="shared" si="40"/>
        <v>281.52963027844595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12.2</v>
      </c>
      <c r="CT27" s="13">
        <f>IF('Données projet'!$A$140&gt;35,CT26+CS27-DB26,IF(A27&lt;'Données projet'!$A$140,$CQ$205^A27,IF(A27='Données projet'!$A$140,'Données projet'!$B$140,CT26+CS27-DB26)))</f>
        <v>155.79999999999995</v>
      </c>
      <c r="CU27" s="18">
        <f>CT27*VLOOKUP('Données projet'!$B$13,Paramètres!$A$1:$I$89,3,0)*VLOOKUP('Données projet'!$B$13,Paramètres!$A$1:$I$89,5,0)</f>
        <v>93.168399999999977</v>
      </c>
      <c r="CV27" s="14">
        <f t="shared" si="41"/>
        <v>25.327821267219203</v>
      </c>
      <c r="CW27" s="22">
        <f t="shared" si="13"/>
        <v>206.38091870707342</v>
      </c>
      <c r="CX27" s="62">
        <f t="shared" si="14"/>
        <v>492.38091870707342</v>
      </c>
      <c r="CY27" s="62">
        <f ca="1">AVERAGE(OFFSET($CX$3,0,0,'Données projet'!$E$13+1,1))-AVERAGE(OFFSET($H$3,0,0,'Données projet'!$E$13+1,1))</f>
        <v>308.47522272937135</v>
      </c>
      <c r="CZ27" s="62">
        <f t="shared" si="42"/>
        <v>302.54354650449721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0.50780618544062017</v>
      </c>
      <c r="DI27" s="24">
        <f t="shared" si="15"/>
        <v>0.50780618544062017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14.739999999999998</v>
      </c>
      <c r="DO27" s="13">
        <f>IF('Données projet'!$A$166&gt;35,DO26+DN27-DW26,IF(A27&lt;'Données projet'!$A$166,$DL$205^A27,IF(A27='Données projet'!$A$166,'Données projet'!$B$166,DO26+DN27-DW26)))</f>
        <v>125.76</v>
      </c>
      <c r="DP27" s="18">
        <f>DO27*VLOOKUP('Données projet'!$B$14,Paramètres!$A$1:$I$89,3,0)*VLOOKUP('Données projet'!$B$14,Paramètres!$A$1:$I$89,5,0)</f>
        <v>100.05465600000001</v>
      </c>
      <c r="DQ27" s="14">
        <f t="shared" si="43"/>
        <v>26.97501817255089</v>
      </c>
      <c r="DR27" s="22">
        <f t="shared" si="16"/>
        <v>221.24334918385946</v>
      </c>
      <c r="DS27" s="62">
        <f t="shared" si="17"/>
        <v>507.24334918385944</v>
      </c>
      <c r="DT27" s="62">
        <f ca="1">AVERAGE(OFFSET($DS$3,0,0,'Données projet'!$E$14+1,1))-AVERAGE(OFFSET($H$3,0,0,'Données projet'!$E$14+1,1))</f>
        <v>370.58277541710277</v>
      </c>
      <c r="DU27" s="62">
        <f t="shared" si="44"/>
        <v>404.61777090709171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>
        <f>VLOOKUP(A27,'Données projet'!$A$191:$I$211,2,0)</f>
        <v>168</v>
      </c>
      <c r="EH27" s="13">
        <f>VLOOKUP(A27,'Données projet'!$A$191:$I$211,9,0)</f>
        <v>16</v>
      </c>
      <c r="EI27" s="13">
        <f t="array" ref="EI27">INDEX(EH:EH,MIN(IF(ISNUMBER(EH27:EH223),ROW(EH27:EH223),"")))</f>
        <v>16</v>
      </c>
      <c r="EJ27" s="13">
        <f>IF('Données projet'!$A$192&gt;35,EJ26+EI27-ER26,IF(A27&lt;'Données projet'!$A$192,$EG$205^A27,IF(A27='Données projet'!$A$192,'Données projet'!$B$192,EJ26+EI27-ER26)))</f>
        <v>168</v>
      </c>
      <c r="EK27" s="18">
        <f>EJ27*VLOOKUP('Données projet'!$B$15,Paramètres!$A$1:$I$89,3,0)*VLOOKUP('Données projet'!$B$15,Paramètres!$A$1:$I$89,5,0)</f>
        <v>104.83200000000001</v>
      </c>
      <c r="EL27" s="14">
        <f t="shared" si="45"/>
        <v>28.109974371137717</v>
      </c>
      <c r="EM27" s="22">
        <f t="shared" si="19"/>
        <v>231.54060536306486</v>
      </c>
      <c r="EN27" s="62">
        <f t="shared" si="20"/>
        <v>517.54060536306486</v>
      </c>
      <c r="EO27" s="62">
        <f ca="1">AVERAGE(OFFSET($EN$3,0,0,'Données projet'!$E$15+1,1))-AVERAGE(OFFSET($H$3,0,0,'Données projet'!$E$15+1,1))</f>
        <v>240.22884864766218</v>
      </c>
      <c r="EP27" s="62">
        <f t="shared" si="46"/>
        <v>343.23776884143166</v>
      </c>
      <c r="EQ27" s="16">
        <f>IF(ISNA(VLOOKUP(A27,'Données projet'!$A$191:$I$211,3,0)),0,VLOOKUP(A27,'Données projet'!$A$191:$I$211,3,0))</f>
        <v>3</v>
      </c>
      <c r="ER27" s="16">
        <f>IF(ISNA(VLOOKUP(A27,'Données projet'!$A$191:$I$211,4,0)),0,VLOOKUP(A27,'Données projet'!$A$191:$I$211,4,0))</f>
        <v>29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0.12</v>
      </c>
      <c r="EU27" s="17">
        <f>IF(ISNA(VLOOKUP(A27,'Données projet'!$A$191:$I$211,7,0)),0%,VLOOKUP(A27,'Données projet'!$A$191:$I$211,7,0))</f>
        <v>0.4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2.8693189853314944</v>
      </c>
      <c r="EX27" s="23">
        <f>EXP(-LN(2)/2)*EX26+(1-EXP(-LN(2)/2))/(LN(2)/2)*ER27*EU27*VLOOKUP('Données projet'!$B$15,Paramètres!$A$1:$I$89,3,0)*0.475*44/12</f>
        <v>12.325962107909497</v>
      </c>
      <c r="EY27" s="24">
        <f t="shared" si="21"/>
        <v>15.195281093240991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9.3000000000000007</v>
      </c>
      <c r="FE27" s="13">
        <f>IF('Données projet'!$A$218&gt;35,FE26+FD27-FM26,IF(A27&lt;'Données projet'!$A$218,$FB$205^A27,IF(A27='Données projet'!$A$218,'Données projet'!$B$218,FE26+FD27-FM26)))</f>
        <v>65.199999999999989</v>
      </c>
      <c r="FF27" s="18">
        <f>FE27*VLOOKUP('Données projet'!$B$16,Paramètres!$A$1:$I$89,3,0)*VLOOKUP('Données projet'!$B$16,Paramètres!$A$1:$I$89,5,0)</f>
        <v>30.513599999999993</v>
      </c>
      <c r="FG27" s="14">
        <f t="shared" si="47"/>
        <v>9.4460551368326566</v>
      </c>
      <c r="FH27" s="22">
        <f t="shared" si="22"/>
        <v>69.596399363316863</v>
      </c>
      <c r="FI27" s="62">
        <f t="shared" si="23"/>
        <v>355.59639936331689</v>
      </c>
      <c r="FJ27" s="62">
        <f ca="1">AVERAGE(OFFSET($FI$3,0,0,'Données projet'!$E$16+1,1))-AVERAGE(OFFSET($H$3,0,0,'Données projet'!$E$16+1,1))</f>
        <v>399.92909819003523</v>
      </c>
      <c r="FK27" s="62">
        <f t="shared" si="48"/>
        <v>163.7053537268381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14.739999999999998</v>
      </c>
      <c r="FZ27" s="13">
        <f>IF('Données projet'!$A$244&gt;35,FZ26+FY27-GH26,IF(A27&lt;'Données projet'!$A$244,$FW$205^A27,IF(A27='Données projet'!$A$244,'Données projet'!$B$244,FZ26+FY27-GH26)))</f>
        <v>125.76</v>
      </c>
      <c r="GA27" s="18">
        <f>FZ27*VLOOKUP('Données projet'!$B$17,Paramètres!$A$1:$I$89,3,0)*VLOOKUP('Données projet'!$B$17,Paramètres!$A$1:$I$89,5,0)</f>
        <v>92.207232000000005</v>
      </c>
      <c r="GB27" s="14">
        <f t="shared" si="49"/>
        <v>25.096803228719384</v>
      </c>
      <c r="GC27" s="22">
        <f t="shared" si="25"/>
        <v>204.3045280233529</v>
      </c>
      <c r="GD27" s="62">
        <f t="shared" si="26"/>
        <v>490.30452802335287</v>
      </c>
      <c r="GE27" s="62">
        <f ca="1">AVERAGE(OFFSET($GD$3,0,0,'Données projet'!$E$17+1,1))-AVERAGE(OFFSET($H$3,0,0,'Données projet'!$E$17+1,1))</f>
        <v>344.4426665022238</v>
      </c>
      <c r="GF27" s="62">
        <f t="shared" si="50"/>
        <v>376.41441893222185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5.0333333333333332</v>
      </c>
      <c r="GU27" s="13">
        <f>IF('Données projet'!$A$270&gt;35,GU26+GT27-HC26,IF(A27&lt;'Données projet'!$A$270,$GR$205^A27,IF(A27='Données projet'!$A$270,'Données projet'!$B$270,GU26+GT27-HC26)))</f>
        <v>55.358148689725915</v>
      </c>
      <c r="GV27" s="18">
        <f>GU27*VLOOKUP('Données projet'!$B$18,Paramètres!$A$1:$I$89,3,0)*VLOOKUP('Données projet'!$B$18,Paramètres!$A$1:$I$89,5,0)</f>
        <v>26.627269519758169</v>
      </c>
      <c r="GW27" s="14">
        <f t="shared" si="51"/>
        <v>8.3747273872445067</v>
      </c>
      <c r="GX27" s="22">
        <f t="shared" si="28"/>
        <v>60.961811279696327</v>
      </c>
      <c r="GY27" s="62">
        <f t="shared" si="29"/>
        <v>346.96181127969635</v>
      </c>
      <c r="GZ27" s="62">
        <f ca="1">AVERAGE(OFFSET($GY$3,0,0,'Données projet'!$E$18+1,1))-AVERAGE(OFFSET($H$3,0,0,'Données projet'!$E$18+1,1))</f>
        <v>441.17479680509746</v>
      </c>
      <c r="HA27" s="62">
        <f t="shared" si="52"/>
        <v>198.56576128410069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19</v>
      </c>
      <c r="N28" s="14">
        <f>IF('Données projet'!$A$36&gt;35,N27+M28-V27,IF(A28&lt;'Données projet'!$A$36,$K$205^A28,IF(A28='Données projet'!$A$36,'Données projet'!$B$36,N27+M28-V27)))</f>
        <v>223</v>
      </c>
      <c r="O28" s="14">
        <f>N28*VLOOKUP('Données projet'!$B$9,Paramètres!$A$1:$I$89,3,0)*VLOOKUP('Données projet'!$B$9,Paramètres!$A$1:$I$89,5,0)</f>
        <v>124.65700000000001</v>
      </c>
      <c r="P28" s="14">
        <f t="shared" si="33"/>
        <v>32.758749517288294</v>
      </c>
      <c r="Q28" s="22">
        <f t="shared" si="2"/>
        <v>274.16576374261041</v>
      </c>
      <c r="R28" s="62">
        <f t="shared" si="0"/>
        <v>561.38798596483264</v>
      </c>
      <c r="S28" s="62">
        <f ca="1">AVERAGE(OFFSET($R$3,0,0,'Données projet'!$E$9+1,1))-AVERAGE(OFFSET($H$3,0,0,'Données projet'!$E$9+1,1))</f>
        <v>374.79806286316051</v>
      </c>
      <c r="T28" s="62">
        <f t="shared" si="34"/>
        <v>350.01856672839466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4.9842281027486957</v>
      </c>
      <c r="AC28" s="24">
        <f t="shared" si="3"/>
        <v>4.9842281027486957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145</v>
      </c>
      <c r="AG28" s="13">
        <f>VLOOKUP(A28,'Données projet'!$A$61:$I$81,9,0)</f>
        <v>11.4</v>
      </c>
      <c r="AH28" s="13">
        <f t="array" ref="AH28">INDEX(AG:AG,MIN(IF(ISNUMBER(AG28:AG224),ROW(AG28:AG224),"")))</f>
        <v>11.4</v>
      </c>
      <c r="AI28" s="14">
        <f>IF('Données projet'!$A$62&gt;35,AI27+AH28-AQ27,IF(A28&lt;'Données projet'!$A$62,$AF$205^A28,IF(A28='Données projet'!$A$62,'Données projet'!$B$62,AI27+AH28-AQ27)))</f>
        <v>145.00000000000003</v>
      </c>
      <c r="AJ28" s="14">
        <f>AI28*VLOOKUP('Données projet'!$B$10,Paramètres!$A$1:$I$89,3,0)*VLOOKUP('Données projet'!$B$10,Paramètres!$A$1:$I$89,5,0)</f>
        <v>126.67200000000003</v>
      </c>
      <c r="AK28" s="14">
        <f t="shared" si="35"/>
        <v>33.226199426361347</v>
      </c>
      <c r="AL28" s="22">
        <f t="shared" si="4"/>
        <v>278.48936400091276</v>
      </c>
      <c r="AM28" s="62">
        <f t="shared" si="5"/>
        <v>565.71158622313499</v>
      </c>
      <c r="AN28" s="62">
        <f ca="1">AVERAGE(OFFSET($AM$3,0,0,'Données projet'!$E$10+1,1))-AVERAGE(OFFSET($H$3,0,0,'Données projet'!$E$10+1,1))</f>
        <v>401.89597032936751</v>
      </c>
      <c r="AO28" s="62">
        <f t="shared" si="36"/>
        <v>417.85733543972361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63.335999999999991</v>
      </c>
      <c r="BF28" s="14">
        <f t="shared" si="37"/>
        <v>18.009040022946227</v>
      </c>
      <c r="BG28" s="22">
        <f t="shared" si="7"/>
        <v>141.67594470663133</v>
      </c>
      <c r="BH28" s="62">
        <f t="shared" si="8"/>
        <v>428.89816692885358</v>
      </c>
      <c r="BI28" s="62">
        <f ca="1">AVERAGE(OFFSET($BH$3,0,0,'Données projet'!$E$11+1,1))-AVERAGE(OFFSET($H$3,0,0,'Données projet'!$E$11+1,1))</f>
        <v>430.40491895612814</v>
      </c>
      <c r="BJ28" s="62">
        <f t="shared" si="38"/>
        <v>231.36959598460686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83.974358974358978</v>
      </c>
      <c r="BW28" s="13">
        <f>VLOOKUP(A28,'Données projet'!$A$113:$I$133,9,0)</f>
        <v>6.5384615384615419</v>
      </c>
      <c r="BX28" s="13">
        <f t="array" ref="BX28">INDEX(BW:BW,MIN(IF(ISNUMBER(BW28:BW224),ROW(BW28:BW224),"")))</f>
        <v>6.5384615384615419</v>
      </c>
      <c r="BY28" s="13">
        <f>IF('Données projet'!$A$114&gt;35,BY27+BX28-CG27,IF(A28&lt;'Données projet'!$A$114,$BV$205^A28,IF(A28='Données projet'!$A$114,'Données projet'!$B$114,BY27+BX28-CG27)))</f>
        <v>83.974358974358992</v>
      </c>
      <c r="BZ28" s="14">
        <f>BY28*VLOOKUP('Données projet'!$B$12,Paramètres!$A$1:$I$89,3,0)*VLOOKUP('Données projet'!$B$12,Paramètres!$A$1:$I$89,5,0)</f>
        <v>79.910000000000025</v>
      </c>
      <c r="CA28" s="14">
        <f t="shared" si="39"/>
        <v>22.115177219366689</v>
      </c>
      <c r="CB28" s="22">
        <f t="shared" si="10"/>
        <v>177.69385032373035</v>
      </c>
      <c r="CC28" s="62">
        <f t="shared" si="11"/>
        <v>464.9160725459526</v>
      </c>
      <c r="CD28" s="62">
        <f ca="1">AVERAGE(OFFSET($CC$3,0,0,'Données projet'!$E$12+1,1))-AVERAGE(OFFSET($H$3,0,0,'Données projet'!$E$12+1,1))</f>
        <v>367.11183928586667</v>
      </c>
      <c r="CE28" s="62">
        <f t="shared" si="40"/>
        <v>281.52963027844595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168</v>
      </c>
      <c r="CR28" s="13">
        <f>VLOOKUP(A28,'Données projet'!$A$139:$I$159,9,0)</f>
        <v>12.2</v>
      </c>
      <c r="CS28" s="13">
        <f t="array" ref="CS28">INDEX(CR:CR,MIN(IF(ISNUMBER(CR28:CR224),ROW(CR28:CR224),"")))</f>
        <v>12.2</v>
      </c>
      <c r="CT28" s="13">
        <f>IF('Données projet'!$A$140&gt;35,CT27+CS28-DB27,IF(A28&lt;'Données projet'!$A$140,$CQ$205^A28,IF(A28='Données projet'!$A$140,'Données projet'!$B$140,CT27+CS28-DB27)))</f>
        <v>167.99999999999994</v>
      </c>
      <c r="CU28" s="18">
        <f>CT28*VLOOKUP('Données projet'!$B$13,Paramètres!$A$1:$I$89,3,0)*VLOOKUP('Données projet'!$B$13,Paramètres!$A$1:$I$89,5,0)</f>
        <v>100.46399999999997</v>
      </c>
      <c r="CV28" s="14">
        <f t="shared" si="41"/>
        <v>27.072509349827456</v>
      </c>
      <c r="CW28" s="22">
        <f t="shared" si="13"/>
        <v>222.12608711761609</v>
      </c>
      <c r="CX28" s="62">
        <f t="shared" si="14"/>
        <v>509.34830933983835</v>
      </c>
      <c r="CY28" s="62">
        <f ca="1">AVERAGE(OFFSET($CX$3,0,0,'Données projet'!$E$13+1,1))-AVERAGE(OFFSET($H$3,0,0,'Données projet'!$E$13+1,1))</f>
        <v>308.47522272937135</v>
      </c>
      <c r="CZ28" s="62">
        <f t="shared" si="42"/>
        <v>302.54354650449721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36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0.6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14.98389133794339</v>
      </c>
      <c r="DI28" s="24">
        <f t="shared" si="15"/>
        <v>14.98389133794339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140.5</v>
      </c>
      <c r="DM28" s="13">
        <f>VLOOKUP(A28,'Données projet'!$A$165:$I$185,9,0)</f>
        <v>14.739999999999998</v>
      </c>
      <c r="DN28" s="13">
        <f t="array" ref="DN28">INDEX(DM:DM,MIN(IF(ISNUMBER(DM28:DM224),ROW(DM28:DM224),"")))</f>
        <v>14.739999999999998</v>
      </c>
      <c r="DO28" s="13">
        <f>IF('Données projet'!$A$166&gt;35,DO27+DN28-DW27,IF(A28&lt;'Données projet'!$A$166,$DL$205^A28,IF(A28='Données projet'!$A$166,'Données projet'!$B$166,DO27+DN28-DW27)))</f>
        <v>140.5</v>
      </c>
      <c r="DP28" s="18">
        <f>DO28*VLOOKUP('Données projet'!$B$14,Paramètres!$A$1:$I$89,3,0)*VLOOKUP('Données projet'!$B$14,Paramètres!$A$1:$I$89,5,0)</f>
        <v>111.7818</v>
      </c>
      <c r="DQ28" s="14">
        <f t="shared" si="43"/>
        <v>29.750397150027219</v>
      </c>
      <c r="DR28" s="22">
        <f t="shared" si="16"/>
        <v>246.5019100362974</v>
      </c>
      <c r="DS28" s="62">
        <f t="shared" si="17"/>
        <v>533.7241322585196</v>
      </c>
      <c r="DT28" s="62">
        <f ca="1">AVERAGE(OFFSET($DS$3,0,0,'Données projet'!$E$14+1,1))-AVERAGE(OFFSET($H$3,0,0,'Données projet'!$E$14+1,1))</f>
        <v>370.58277541710277</v>
      </c>
      <c r="DU28" s="62">
        <f t="shared" si="44"/>
        <v>404.61777090709171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14.166666666666666</v>
      </c>
      <c r="EJ28" s="13">
        <f>IF('Données projet'!$A$192&gt;35,EJ27+EI28-ER27,IF(A28&lt;'Données projet'!$A$192,$EG$205^A28,IF(A28='Données projet'!$A$192,'Données projet'!$B$192,EJ27+EI28-ER27)))</f>
        <v>153.16666666666666</v>
      </c>
      <c r="EK28" s="18">
        <f>EJ28*VLOOKUP('Données projet'!$B$15,Paramètres!$A$1:$I$89,3,0)*VLOOKUP('Données projet'!$B$15,Paramètres!$A$1:$I$89,5,0)</f>
        <v>95.575999999999993</v>
      </c>
      <c r="EL28" s="14">
        <f t="shared" si="45"/>
        <v>25.905281107545633</v>
      </c>
      <c r="EM28" s="22">
        <f t="shared" si="19"/>
        <v>211.57989792897527</v>
      </c>
      <c r="EN28" s="62">
        <f t="shared" si="20"/>
        <v>498.80212015119753</v>
      </c>
      <c r="EO28" s="62">
        <f ca="1">AVERAGE(OFFSET($EN$3,0,0,'Données projet'!$E$15+1,1))-AVERAGE(OFFSET($H$3,0,0,'Données projet'!$E$15+1,1))</f>
        <v>240.22884864766218</v>
      </c>
      <c r="EP28" s="62">
        <f t="shared" si="46"/>
        <v>343.23776884143166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2.7908573067866773</v>
      </c>
      <c r="EX28" s="23">
        <f>EXP(-LN(2)/2)*EX27+(1-EXP(-LN(2)/2))/(LN(2)/2)*ER28*EU28*VLOOKUP('Données projet'!$B$15,Paramètres!$A$1:$I$89,3,0)*0.475*44/12</f>
        <v>8.7157713911512378</v>
      </c>
      <c r="EY28" s="24">
        <f t="shared" si="21"/>
        <v>11.506628697937915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9.3000000000000007</v>
      </c>
      <c r="FE28" s="13">
        <f>IF('Données projet'!$A$218&gt;35,FE27+FD28-FM27,IF(A28&lt;'Données projet'!$A$218,$FB$205^A28,IF(A28='Données projet'!$A$218,'Données projet'!$B$218,FE27+FD28-FM27)))</f>
        <v>74.499999999999986</v>
      </c>
      <c r="FF28" s="18">
        <f>FE28*VLOOKUP('Données projet'!$B$16,Paramètres!$A$1:$I$89,3,0)*VLOOKUP('Données projet'!$B$16,Paramètres!$A$1:$I$89,5,0)</f>
        <v>34.865999999999993</v>
      </c>
      <c r="FG28" s="14">
        <f t="shared" si="47"/>
        <v>10.627193376648185</v>
      </c>
      <c r="FH28" s="22">
        <f t="shared" si="22"/>
        <v>79.233978464328899</v>
      </c>
      <c r="FI28" s="62">
        <f t="shared" si="23"/>
        <v>366.45620068655114</v>
      </c>
      <c r="FJ28" s="62">
        <f ca="1">AVERAGE(OFFSET($FI$3,0,0,'Données projet'!$E$16+1,1))-AVERAGE(OFFSET($H$3,0,0,'Données projet'!$E$16+1,1))</f>
        <v>399.92909819003523</v>
      </c>
      <c r="FK28" s="62">
        <f t="shared" si="48"/>
        <v>163.7053537268381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140.5</v>
      </c>
      <c r="FX28" s="13">
        <f>VLOOKUP(A28,'Données projet'!$A$243:$I$263,9,0)</f>
        <v>14.739999999999998</v>
      </c>
      <c r="FY28" s="13">
        <f t="array" ref="FY28">INDEX(FX:FX,MIN(IF(ISNUMBER(FX28:FX224),ROW(FX28:FX224),"")))</f>
        <v>14.739999999999998</v>
      </c>
      <c r="FZ28" s="13">
        <f>IF('Données projet'!$A$244&gt;35,FZ27+FY28-GH27,IF(A28&lt;'Données projet'!$A$244,$FW$205^A28,IF(A28='Données projet'!$A$244,'Données projet'!$B$244,FZ27+FY28-GH27)))</f>
        <v>140.5</v>
      </c>
      <c r="GA28" s="18">
        <f>FZ28*VLOOKUP('Données projet'!$B$17,Paramètres!$A$1:$I$89,3,0)*VLOOKUP('Données projet'!$B$17,Paramètres!$A$1:$I$89,5,0)</f>
        <v>103.0146</v>
      </c>
      <c r="GB28" s="14">
        <f t="shared" si="49"/>
        <v>27.678938285581953</v>
      </c>
      <c r="GC28" s="22">
        <f t="shared" si="25"/>
        <v>227.62457918072189</v>
      </c>
      <c r="GD28" s="62">
        <f t="shared" si="26"/>
        <v>514.84680140294415</v>
      </c>
      <c r="GE28" s="62">
        <f ca="1">AVERAGE(OFFSET($GD$3,0,0,'Données projet'!$E$17+1,1))-AVERAGE(OFFSET($H$3,0,0,'Données projet'!$E$17+1,1))</f>
        <v>344.4426665022238</v>
      </c>
      <c r="GF28" s="62">
        <f t="shared" si="50"/>
        <v>376.41441893222185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5.0333333333333332</v>
      </c>
      <c r="GU28" s="13">
        <f>IF('Données projet'!$A$270&gt;35,GU27+GT28-HC27,IF(A28&lt;'Données projet'!$A$270,$GR$205^A28,IF(A28='Données projet'!$A$270,'Données projet'!$B$270,GU27+GT28-HC27)))</f>
        <v>65.435605091475125</v>
      </c>
      <c r="GV28" s="18">
        <f>GU28*VLOOKUP('Données projet'!$B$18,Paramètres!$A$1:$I$89,3,0)*VLOOKUP('Données projet'!$B$18,Paramètres!$A$1:$I$89,5,0)</f>
        <v>31.474526048999536</v>
      </c>
      <c r="GW28" s="14">
        <f t="shared" si="51"/>
        <v>9.7084257439724038</v>
      </c>
      <c r="GX28" s="22">
        <f t="shared" si="28"/>
        <v>71.726974372759472</v>
      </c>
      <c r="GY28" s="62">
        <f t="shared" si="29"/>
        <v>358.94919659498169</v>
      </c>
      <c r="GZ28" s="62">
        <f ca="1">AVERAGE(OFFSET($GY$3,0,0,'Données projet'!$E$18+1,1))-AVERAGE(OFFSET($H$3,0,0,'Données projet'!$E$18+1,1))</f>
        <v>441.17479680509746</v>
      </c>
      <c r="HA28" s="62">
        <f t="shared" si="52"/>
        <v>198.56576128410069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</v>
      </c>
      <c r="N29" s="14">
        <f>IF('Données projet'!$A$36&gt;35,N28+M29-V28,IF(A29&lt;'Données projet'!$A$36,$K$205^A29,IF(A29='Données projet'!$A$36,'Données projet'!$B$36,N28+M29-V28)))</f>
        <v>242</v>
      </c>
      <c r="O29" s="14">
        <f>N29*VLOOKUP('Données projet'!$B$9,Paramètres!$A$1:$I$89,3,0)*VLOOKUP('Données projet'!$B$9,Paramètres!$A$1:$I$89,5,0)</f>
        <v>135.27800000000002</v>
      </c>
      <c r="P29" s="14">
        <f t="shared" si="33"/>
        <v>35.213110998543605</v>
      </c>
      <c r="Q29" s="22">
        <f t="shared" si="2"/>
        <v>296.93868498913014</v>
      </c>
      <c r="R29" s="62">
        <f t="shared" si="0"/>
        <v>585.3831294335746</v>
      </c>
      <c r="S29" s="62">
        <f ca="1">AVERAGE(OFFSET($R$3,0,0,'Données projet'!$E$9+1,1))-AVERAGE(OFFSET($H$3,0,0,'Données projet'!$E$9+1,1))</f>
        <v>374.79806286316051</v>
      </c>
      <c r="T29" s="62">
        <f t="shared" si="34"/>
        <v>350.01856672839466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3.524381490434163</v>
      </c>
      <c r="AC29" s="24">
        <f t="shared" si="3"/>
        <v>3.524381490434163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</v>
      </c>
      <c r="AI29" s="14">
        <f>IF('Données projet'!$A$62&gt;35,AI28+AH29-AQ28,IF(A29&lt;'Données projet'!$A$62,$AF$205^A29,IF(A29='Données projet'!$A$62,'Données projet'!$B$62,AI28+AH29-AQ28)))</f>
        <v>156.00000000000003</v>
      </c>
      <c r="AJ29" s="14">
        <f>AI29*VLOOKUP('Données projet'!$B$10,Paramètres!$A$1:$I$89,3,0)*VLOOKUP('Données projet'!$B$10,Paramètres!$A$1:$I$89,5,0)</f>
        <v>136.28160000000005</v>
      </c>
      <c r="AK29" s="14">
        <f t="shared" si="35"/>
        <v>35.443842312892279</v>
      </c>
      <c r="AL29" s="22">
        <f t="shared" si="4"/>
        <v>299.08847869495418</v>
      </c>
      <c r="AM29" s="62">
        <f t="shared" si="5"/>
        <v>587.53292313939869</v>
      </c>
      <c r="AN29" s="62">
        <f ca="1">AVERAGE(OFFSET($AM$3,0,0,'Données projet'!$E$10+1,1))-AVERAGE(OFFSET($H$3,0,0,'Données projet'!$E$10+1,1))</f>
        <v>401.89597032936751</v>
      </c>
      <c r="AO29" s="62">
        <f t="shared" si="36"/>
        <v>417.85733543972361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projet'!$B$11,Paramètres!$A$1:$I$89,3,0)*VLOOKUP('Données projet'!$B$11,Paramètres!$A$1:$I$89,5,0)</f>
        <v>62.431199999999997</v>
      </c>
      <c r="BF29" s="14">
        <f t="shared" si="37"/>
        <v>17.781524466058684</v>
      </c>
      <c r="BG29" s="22">
        <f t="shared" si="7"/>
        <v>139.70382844505221</v>
      </c>
      <c r="BH29" s="62">
        <f t="shared" si="8"/>
        <v>428.14827288949664</v>
      </c>
      <c r="BI29" s="62">
        <f ca="1">AVERAGE(OFFSET($BH$3,0,0,'Données projet'!$E$11+1,1))-AVERAGE(OFFSET($H$3,0,0,'Données projet'!$E$11+1,1))</f>
        <v>430.40491895612814</v>
      </c>
      <c r="BJ29" s="62">
        <f t="shared" si="38"/>
        <v>231.36959598460686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6.5384615384615357</v>
      </c>
      <c r="BY29" s="13">
        <f>IF('Données projet'!$A$114&gt;35,BY28+BX29-CG28,IF(A29&lt;'Données projet'!$A$114,$BV$205^A29,IF(A29='Données projet'!$A$114,'Données projet'!$B$114,BY28+BX29-CG28)))</f>
        <v>90.512820512820525</v>
      </c>
      <c r="BZ29" s="14">
        <f>BY29*VLOOKUP('Données projet'!$B$12,Paramètres!$A$1:$I$89,3,0)*VLOOKUP('Données projet'!$B$12,Paramètres!$A$1:$I$89,5,0)</f>
        <v>86.132000000000019</v>
      </c>
      <c r="CA29" s="14">
        <f t="shared" si="39"/>
        <v>23.629984954025307</v>
      </c>
      <c r="CB29" s="22">
        <f t="shared" si="10"/>
        <v>191.16879046159409</v>
      </c>
      <c r="CC29" s="62">
        <f t="shared" si="11"/>
        <v>479.61323490603854</v>
      </c>
      <c r="CD29" s="62">
        <f ca="1">AVERAGE(OFFSET($CC$3,0,0,'Données projet'!$E$12+1,1))-AVERAGE(OFFSET($H$3,0,0,'Données projet'!$E$12+1,1))</f>
        <v>367.11183928586667</v>
      </c>
      <c r="CE29" s="62">
        <f t="shared" si="40"/>
        <v>281.52963027844595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</v>
      </c>
      <c r="CT29" s="13">
        <f>IF('Données projet'!$A$140&gt;35,CT28+CS29-DB28,IF(A29&lt;'Données projet'!$A$140,$CQ$205^A29,IF(A29='Données projet'!$A$140,'Données projet'!$B$140,CT28+CS29-DB28)))</f>
        <v>145.99999999999994</v>
      </c>
      <c r="CU29" s="18">
        <f>CT29*VLOOKUP('Données projet'!$B$13,Paramètres!$A$1:$I$89,3,0)*VLOOKUP('Données projet'!$B$13,Paramètres!$A$1:$I$89,5,0)</f>
        <v>87.307999999999979</v>
      </c>
      <c r="CV29" s="14">
        <f t="shared" si="41"/>
        <v>23.914836409796052</v>
      </c>
      <c r="CW29" s="22">
        <f t="shared" si="13"/>
        <v>193.7131067470614</v>
      </c>
      <c r="CX29" s="62">
        <f t="shared" si="14"/>
        <v>482.15755119150583</v>
      </c>
      <c r="CY29" s="62">
        <f ca="1">AVERAGE(OFFSET($CX$3,0,0,'Données projet'!$E$13+1,1))-AVERAGE(OFFSET($H$3,0,0,'Données projet'!$E$13+1,1))</f>
        <v>308.47522272937135</v>
      </c>
      <c r="CZ29" s="62">
        <f t="shared" si="42"/>
        <v>302.54354650449721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10.595211173622143</v>
      </c>
      <c r="DI29" s="24">
        <f t="shared" si="15"/>
        <v>10.595211173622143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14.260000000000002</v>
      </c>
      <c r="DO29" s="13">
        <f>IF('Données projet'!$A$166&gt;35,DO28+DN29-DW28,IF(A29&lt;'Données projet'!$A$166,$DL$205^A29,IF(A29='Données projet'!$A$166,'Données projet'!$B$166,DO28+DN29-DW28)))</f>
        <v>154.76</v>
      </c>
      <c r="DP29" s="18">
        <f>DO29*VLOOKUP('Données projet'!$B$14,Paramètres!$A$1:$I$89,3,0)*VLOOKUP('Données projet'!$B$14,Paramètres!$A$1:$I$89,5,0)</f>
        <v>123.127056</v>
      </c>
      <c r="DQ29" s="14">
        <f t="shared" si="43"/>
        <v>32.403238210173519</v>
      </c>
      <c r="DR29" s="22">
        <f t="shared" si="16"/>
        <v>270.88192908271884</v>
      </c>
      <c r="DS29" s="62">
        <f t="shared" si="17"/>
        <v>559.32637352716324</v>
      </c>
      <c r="DT29" s="62">
        <f ca="1">AVERAGE(OFFSET($DS$3,0,0,'Données projet'!$E$14+1,1))-AVERAGE(OFFSET($H$3,0,0,'Données projet'!$E$14+1,1))</f>
        <v>370.58277541710277</v>
      </c>
      <c r="DU29" s="62">
        <f t="shared" si="44"/>
        <v>404.61777090709171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14.166666666666666</v>
      </c>
      <c r="EJ29" s="13">
        <f>IF('Données projet'!$A$192&gt;35,EJ28+EI29-ER28,IF(A29&lt;'Données projet'!$A$192,$EG$205^A29,IF(A29='Données projet'!$A$192,'Données projet'!$B$192,EJ28+EI29-ER28)))</f>
        <v>167.33333333333331</v>
      </c>
      <c r="EK29" s="18">
        <f>EJ29*VLOOKUP('Données projet'!$B$15,Paramètres!$A$1:$I$89,3,0)*VLOOKUP('Données projet'!$B$15,Paramètres!$A$1:$I$89,5,0)</f>
        <v>104.416</v>
      </c>
      <c r="EL29" s="14">
        <f t="shared" si="45"/>
        <v>28.01138818767625</v>
      </c>
      <c r="EM29" s="22">
        <f t="shared" si="19"/>
        <v>230.64436776020281</v>
      </c>
      <c r="EN29" s="62">
        <f t="shared" si="20"/>
        <v>519.0888122046473</v>
      </c>
      <c r="EO29" s="62">
        <f ca="1">AVERAGE(OFFSET($EN$3,0,0,'Données projet'!$E$15+1,1))-AVERAGE(OFFSET($H$3,0,0,'Données projet'!$E$15+1,1))</f>
        <v>240.22884864766218</v>
      </c>
      <c r="EP29" s="62">
        <f t="shared" si="46"/>
        <v>343.23776884143166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2.7145411669677886</v>
      </c>
      <c r="EX29" s="23">
        <f>EXP(-LN(2)/2)*EX28+(1-EXP(-LN(2)/2))/(LN(2)/2)*ER29*EU29*VLOOKUP('Données projet'!$B$15,Paramètres!$A$1:$I$89,3,0)*0.475*44/12</f>
        <v>6.1629810539547494</v>
      </c>
      <c r="EY29" s="24">
        <f t="shared" si="21"/>
        <v>8.877522220922538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9.3000000000000007</v>
      </c>
      <c r="FE29" s="13">
        <f>IF('Données projet'!$A$218&gt;35,FE28+FD29-FM28,IF(A29&lt;'Données projet'!$A$218,$FB$205^A29,IF(A29='Données projet'!$A$218,'Données projet'!$B$218,FE28+FD29-FM28)))</f>
        <v>83.799999999999983</v>
      </c>
      <c r="FF29" s="18">
        <f>FE29*VLOOKUP('Données projet'!$B$16,Paramètres!$A$1:$I$89,3,0)*VLOOKUP('Données projet'!$B$16,Paramètres!$A$1:$I$89,5,0)</f>
        <v>39.218399999999988</v>
      </c>
      <c r="FG29" s="14">
        <f t="shared" si="47"/>
        <v>11.7912464178037</v>
      </c>
      <c r="FH29" s="22">
        <f t="shared" si="22"/>
        <v>88.841800844341421</v>
      </c>
      <c r="FI29" s="62">
        <f t="shared" si="23"/>
        <v>377.28624528878589</v>
      </c>
      <c r="FJ29" s="62">
        <f ca="1">AVERAGE(OFFSET($FI$3,0,0,'Données projet'!$E$16+1,1))-AVERAGE(OFFSET($H$3,0,0,'Données projet'!$E$16+1,1))</f>
        <v>399.92909819003523</v>
      </c>
      <c r="FK29" s="62">
        <f t="shared" si="48"/>
        <v>163.7053537268381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14.260000000000002</v>
      </c>
      <c r="FZ29" s="13">
        <f>IF('Données projet'!$A$244&gt;35,FZ28+FY29-GH28,IF(A29&lt;'Données projet'!$A$244,$FW$205^A29,IF(A29='Données projet'!$A$244,'Données projet'!$B$244,FZ28+FY29-GH28)))</f>
        <v>154.76</v>
      </c>
      <c r="GA29" s="18">
        <f>FZ29*VLOOKUP('Données projet'!$B$17,Paramètres!$A$1:$I$89,3,0)*VLOOKUP('Données projet'!$B$17,Paramètres!$A$1:$I$89,5,0)</f>
        <v>113.47003199999999</v>
      </c>
      <c r="GB29" s="14">
        <f t="shared" si="49"/>
        <v>30.147067487856493</v>
      </c>
      <c r="GC29" s="22">
        <f t="shared" si="25"/>
        <v>250.13311494134999</v>
      </c>
      <c r="GD29" s="62">
        <f t="shared" si="26"/>
        <v>538.57755938579442</v>
      </c>
      <c r="GE29" s="62">
        <f ca="1">AVERAGE(OFFSET($GD$3,0,0,'Données projet'!$E$17+1,1))-AVERAGE(OFFSET($H$3,0,0,'Données projet'!$E$17+1,1))</f>
        <v>344.4426665022238</v>
      </c>
      <c r="GF29" s="62">
        <f t="shared" si="50"/>
        <v>376.41441893222185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5.0333333333333332</v>
      </c>
      <c r="GU29" s="13">
        <f>IF('Données projet'!$A$270&gt;35,GU28+GT29-HC28,IF(A29&lt;'Données projet'!$A$270,$GR$205^A29,IF(A29='Données projet'!$A$270,'Données projet'!$B$270,GU28+GT29-HC28)))</f>
        <v>77.347572399619679</v>
      </c>
      <c r="GV29" s="18">
        <f>GU29*VLOOKUP('Données projet'!$B$18,Paramètres!$A$1:$I$89,3,0)*VLOOKUP('Données projet'!$B$18,Paramètres!$A$1:$I$89,5,0)</f>
        <v>37.204182324217065</v>
      </c>
      <c r="GW29" s="14">
        <f t="shared" si="51"/>
        <v>11.254519230056736</v>
      </c>
      <c r="GX29" s="22">
        <f t="shared" si="28"/>
        <v>84.398905207026857</v>
      </c>
      <c r="GY29" s="62">
        <f t="shared" si="29"/>
        <v>372.84334965147133</v>
      </c>
      <c r="GZ29" s="62">
        <f ca="1">AVERAGE(OFFSET($GY$3,0,0,'Données projet'!$E$18+1,1))-AVERAGE(OFFSET($H$3,0,0,'Données projet'!$E$18+1,1))</f>
        <v>441.17479680509746</v>
      </c>
      <c r="HA29" s="62">
        <f t="shared" si="52"/>
        <v>198.56576128410069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</v>
      </c>
      <c r="N30" s="14">
        <f>IF('Données projet'!$A$36&gt;35,N29+M30-V29,IF(A30&lt;'Données projet'!$A$36,$K$205^A30,IF(A30='Données projet'!$A$36,'Données projet'!$B$36,N29+M30-V29)))</f>
        <v>261</v>
      </c>
      <c r="O30" s="14">
        <f>N30*VLOOKUP('Données projet'!$B$9,Paramètres!$A$1:$I$89,3,0)*VLOOKUP('Données projet'!$B$9,Paramètres!$A$1:$I$89,5,0)</f>
        <v>145.899</v>
      </c>
      <c r="P30" s="14">
        <f t="shared" si="33"/>
        <v>37.645120410716935</v>
      </c>
      <c r="Q30" s="22">
        <f t="shared" si="2"/>
        <v>319.67267638199866</v>
      </c>
      <c r="R30" s="62">
        <f t="shared" si="0"/>
        <v>609.33934304866534</v>
      </c>
      <c r="S30" s="62">
        <f ca="1">AVERAGE(OFFSET($R$3,0,0,'Données projet'!$E$9+1,1))-AVERAGE(OFFSET($H$3,0,0,'Données projet'!$E$9+1,1))</f>
        <v>374.79806286316051</v>
      </c>
      <c r="T30" s="62">
        <f t="shared" si="34"/>
        <v>350.01856672839466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2.4921140513743483</v>
      </c>
      <c r="AC30" s="24">
        <f t="shared" si="3"/>
        <v>2.4921140513743483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</v>
      </c>
      <c r="AI30" s="14">
        <f>IF('Données projet'!$A$62&gt;35,AI29+AH30-AQ29,IF(A30&lt;'Données projet'!$A$62,$AF$205^A30,IF(A30='Données projet'!$A$62,'Données projet'!$B$62,AI29+AH30-AQ29)))</f>
        <v>167.00000000000003</v>
      </c>
      <c r="AJ30" s="14">
        <f>AI30*VLOOKUP('Données projet'!$B$10,Paramètres!$A$1:$I$89,3,0)*VLOOKUP('Données projet'!$B$10,Paramètres!$A$1:$I$89,5,0)</f>
        <v>145.89120000000005</v>
      </c>
      <c r="AK30" s="14">
        <f t="shared" si="35"/>
        <v>37.643342098399685</v>
      </c>
      <c r="AL30" s="22">
        <f t="shared" si="4"/>
        <v>319.65599415471291</v>
      </c>
      <c r="AM30" s="62">
        <f t="shared" si="5"/>
        <v>609.3226608213796</v>
      </c>
      <c r="AN30" s="62">
        <f ca="1">AVERAGE(OFFSET($AM$3,0,0,'Données projet'!$E$10+1,1))-AVERAGE(OFFSET($H$3,0,0,'Données projet'!$E$10+1,1))</f>
        <v>401.89597032936751</v>
      </c>
      <c r="AO30" s="62">
        <f t="shared" si="36"/>
        <v>417.85733543972361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projet'!$B$11,Paramètres!$A$1:$I$89,3,0)*VLOOKUP('Données projet'!$B$11,Paramètres!$A$1:$I$89,5,0)</f>
        <v>68.764799999999994</v>
      </c>
      <c r="BF30" s="14">
        <f t="shared" si="37"/>
        <v>19.366396769521369</v>
      </c>
      <c r="BG30" s="22">
        <f t="shared" si="7"/>
        <v>153.49516770691636</v>
      </c>
      <c r="BH30" s="62">
        <f t="shared" si="8"/>
        <v>443.16183437358302</v>
      </c>
      <c r="BI30" s="62">
        <f ca="1">AVERAGE(OFFSET($BH$3,0,0,'Données projet'!$E$11+1,1))-AVERAGE(OFFSET($H$3,0,0,'Données projet'!$E$11+1,1))</f>
        <v>430.40491895612814</v>
      </c>
      <c r="BJ30" s="62">
        <f t="shared" si="38"/>
        <v>231.36959598460686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6.5384615384615357</v>
      </c>
      <c r="BY30" s="13">
        <f>IF('Données projet'!$A$114&gt;35,BY29+BX30-CG29,IF(A30&lt;'Données projet'!$A$114,$BV$205^A30,IF(A30='Données projet'!$A$114,'Données projet'!$B$114,BY29+BX30-CG29)))</f>
        <v>97.051282051282058</v>
      </c>
      <c r="BZ30" s="14">
        <f>BY30*VLOOKUP('Données projet'!$B$12,Paramètres!$A$1:$I$89,3,0)*VLOOKUP('Données projet'!$B$12,Paramètres!$A$1:$I$89,5,0)</f>
        <v>92.354000000000013</v>
      </c>
      <c r="CA30" s="14">
        <f t="shared" si="39"/>
        <v>25.132097180965346</v>
      </c>
      <c r="CB30" s="22">
        <f t="shared" si="10"/>
        <v>204.62161925684799</v>
      </c>
      <c r="CC30" s="62">
        <f t="shared" si="11"/>
        <v>494.28828592351465</v>
      </c>
      <c r="CD30" s="62">
        <f ca="1">AVERAGE(OFFSET($CC$3,0,0,'Données projet'!$E$12+1,1))-AVERAGE(OFFSET($H$3,0,0,'Données projet'!$E$12+1,1))</f>
        <v>367.11183928586667</v>
      </c>
      <c r="CE30" s="62">
        <f t="shared" si="40"/>
        <v>281.52963027844595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</v>
      </c>
      <c r="CT30" s="13">
        <f>IF('Données projet'!$A$140&gt;35,CT29+CS30-DB29,IF(A30&lt;'Données projet'!$A$140,$CQ$205^A30,IF(A30='Données projet'!$A$140,'Données projet'!$B$140,CT29+CS30-DB29)))</f>
        <v>159.99999999999994</v>
      </c>
      <c r="CU30" s="18">
        <f>CT30*VLOOKUP('Données projet'!$B$13,Paramètres!$A$1:$I$89,3,0)*VLOOKUP('Données projet'!$B$13,Paramètres!$A$1:$I$89,5,0)</f>
        <v>95.679999999999978</v>
      </c>
      <c r="CV30" s="14">
        <f t="shared" si="41"/>
        <v>25.930186937101944</v>
      </c>
      <c r="CW30" s="22">
        <f t="shared" si="13"/>
        <v>211.80440891545254</v>
      </c>
      <c r="CX30" s="62">
        <f t="shared" si="14"/>
        <v>501.47107558211923</v>
      </c>
      <c r="CY30" s="62">
        <f ca="1">AVERAGE(OFFSET($CX$3,0,0,'Données projet'!$E$13+1,1))-AVERAGE(OFFSET($H$3,0,0,'Données projet'!$E$13+1,1))</f>
        <v>308.47522272937135</v>
      </c>
      <c r="CZ30" s="62">
        <f t="shared" si="42"/>
        <v>302.54354650449721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7.491945668971697</v>
      </c>
      <c r="DI30" s="24">
        <f t="shared" si="15"/>
        <v>7.491945668971697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14.260000000000002</v>
      </c>
      <c r="DO30" s="13">
        <f>IF('Données projet'!$A$166&gt;35,DO29+DN30-DW29,IF(A30&lt;'Données projet'!$A$166,$DL$205^A30,IF(A30='Données projet'!$A$166,'Données projet'!$B$166,DO29+DN30-DW29)))</f>
        <v>169.01999999999998</v>
      </c>
      <c r="DP30" s="18">
        <f>DO30*VLOOKUP('Données projet'!$B$14,Paramètres!$A$1:$I$89,3,0)*VLOOKUP('Données projet'!$B$14,Paramètres!$A$1:$I$89,5,0)</f>
        <v>134.47231199999999</v>
      </c>
      <c r="DQ30" s="14">
        <f t="shared" si="43"/>
        <v>35.027736208949172</v>
      </c>
      <c r="DR30" s="22">
        <f t="shared" si="16"/>
        <v>295.21258396391971</v>
      </c>
      <c r="DS30" s="62">
        <f t="shared" si="17"/>
        <v>584.8792506305864</v>
      </c>
      <c r="DT30" s="62">
        <f ca="1">AVERAGE(OFFSET($DS$3,0,0,'Données projet'!$E$14+1,1))-AVERAGE(OFFSET($H$3,0,0,'Données projet'!$E$14+1,1))</f>
        <v>370.58277541710277</v>
      </c>
      <c r="DU30" s="62">
        <f t="shared" si="44"/>
        <v>404.61777090709171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14.166666666666666</v>
      </c>
      <c r="EJ30" s="13">
        <f>IF('Données projet'!$A$192&gt;35,EJ29+EI30-ER29,IF(A30&lt;'Données projet'!$A$192,$EG$205^A30,IF(A30='Données projet'!$A$192,'Données projet'!$B$192,EJ29+EI30-ER29)))</f>
        <v>181.49999999999997</v>
      </c>
      <c r="EK30" s="18">
        <f>EJ30*VLOOKUP('Données projet'!$B$15,Paramètres!$A$1:$I$89,3,0)*VLOOKUP('Données projet'!$B$15,Paramètres!$A$1:$I$89,5,0)</f>
        <v>113.25599999999997</v>
      </c>
      <c r="EL30" s="14">
        <f t="shared" si="45"/>
        <v>30.096816336106439</v>
      </c>
      <c r="EM30" s="22">
        <f t="shared" si="19"/>
        <v>249.67282178538531</v>
      </c>
      <c r="EN30" s="62">
        <f t="shared" si="20"/>
        <v>539.33948845205202</v>
      </c>
      <c r="EO30" s="62">
        <f ca="1">AVERAGE(OFFSET($EN$3,0,0,'Données projet'!$E$15+1,1))-AVERAGE(OFFSET($H$3,0,0,'Données projet'!$E$15+1,1))</f>
        <v>240.22884864766218</v>
      </c>
      <c r="EP30" s="62">
        <f t="shared" si="46"/>
        <v>343.23776884143166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2.6403118960055387</v>
      </c>
      <c r="EX30" s="23">
        <f>EXP(-LN(2)/2)*EX29+(1-EXP(-LN(2)/2))/(LN(2)/2)*ER30*EU30*VLOOKUP('Données projet'!$B$15,Paramètres!$A$1:$I$89,3,0)*0.475*44/12</f>
        <v>4.3578856955756189</v>
      </c>
      <c r="EY30" s="24">
        <f t="shared" si="21"/>
        <v>6.9981975915811576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9.3000000000000007</v>
      </c>
      <c r="FE30" s="13">
        <f>IF('Données projet'!$A$218&gt;35,FE29+FD30-FM29,IF(A30&lt;'Données projet'!$A$218,$FB$205^A30,IF(A30='Données projet'!$A$218,'Données projet'!$B$218,FE29+FD30-FM29)))</f>
        <v>93.09999999999998</v>
      </c>
      <c r="FF30" s="18">
        <f>FE30*VLOOKUP('Données projet'!$B$16,Paramètres!$A$1:$I$89,3,0)*VLOOKUP('Données projet'!$B$16,Paramètres!$A$1:$I$89,5,0)</f>
        <v>43.570799999999991</v>
      </c>
      <c r="FG30" s="14">
        <f t="shared" si="47"/>
        <v>12.940326634618197</v>
      </c>
      <c r="FH30" s="22">
        <f t="shared" si="22"/>
        <v>98.42354555529333</v>
      </c>
      <c r="FI30" s="62">
        <f t="shared" si="23"/>
        <v>388.09021222196003</v>
      </c>
      <c r="FJ30" s="62">
        <f ca="1">AVERAGE(OFFSET($FI$3,0,0,'Données projet'!$E$16+1,1))-AVERAGE(OFFSET($H$3,0,0,'Données projet'!$E$16+1,1))</f>
        <v>399.92909819003523</v>
      </c>
      <c r="FK30" s="62">
        <f t="shared" si="48"/>
        <v>163.7053537268381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14.260000000000002</v>
      </c>
      <c r="FZ30" s="13">
        <f>IF('Données projet'!$A$244&gt;35,FZ29+FY30-GH29,IF(A30&lt;'Données projet'!$A$244,$FW$205^A30,IF(A30='Données projet'!$A$244,'Données projet'!$B$244,FZ29+FY30-GH29)))</f>
        <v>169.01999999999998</v>
      </c>
      <c r="GA30" s="18">
        <f>FZ30*VLOOKUP('Données projet'!$B$17,Paramètres!$A$1:$I$89,3,0)*VLOOKUP('Données projet'!$B$17,Paramètres!$A$1:$I$89,5,0)</f>
        <v>123.92546399999999</v>
      </c>
      <c r="GB30" s="14">
        <f t="shared" si="49"/>
        <v>32.58882709773377</v>
      </c>
      <c r="GC30" s="22">
        <f t="shared" si="25"/>
        <v>272.59572366188627</v>
      </c>
      <c r="GD30" s="62">
        <f t="shared" si="26"/>
        <v>562.26239032855301</v>
      </c>
      <c r="GE30" s="62">
        <f ca="1">AVERAGE(OFFSET($GD$3,0,0,'Données projet'!$E$17+1,1))-AVERAGE(OFFSET($H$3,0,0,'Données projet'!$E$17+1,1))</f>
        <v>344.4426665022238</v>
      </c>
      <c r="GF30" s="62">
        <f t="shared" si="50"/>
        <v>376.41441893222185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5.0333333333333332</v>
      </c>
      <c r="GU30" s="13">
        <f>IF('Données projet'!$A$270&gt;35,GU29+GT30-HC29,IF(A30&lt;'Données projet'!$A$270,$GR$205^A30,IF(A30='Données projet'!$A$270,'Données projet'!$B$270,GU29+GT30-HC29)))</f>
        <v>91.428006935230727</v>
      </c>
      <c r="GV30" s="18">
        <f>GU30*VLOOKUP('Données projet'!$B$18,Paramètres!$A$1:$I$89,3,0)*VLOOKUP('Données projet'!$B$18,Paramètres!$A$1:$I$89,5,0)</f>
        <v>43.976871335845978</v>
      </c>
      <c r="GW30" s="14">
        <f t="shared" si="51"/>
        <v>13.046832353675663</v>
      </c>
      <c r="GX30" s="22">
        <f t="shared" si="28"/>
        <v>99.316283925916835</v>
      </c>
      <c r="GY30" s="62">
        <f t="shared" si="29"/>
        <v>388.98295059258351</v>
      </c>
      <c r="GZ30" s="62">
        <f ca="1">AVERAGE(OFFSET($GY$3,0,0,'Données projet'!$E$18+1,1))-AVERAGE(OFFSET($H$3,0,0,'Données projet'!$E$18+1,1))</f>
        <v>441.17479680509746</v>
      </c>
      <c r="HA30" s="62">
        <f t="shared" si="52"/>
        <v>198.56576128410069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280</v>
      </c>
      <c r="L31" s="13">
        <f>VLOOKUP(A31,'Données projet'!$A$35:$I$55,9,0)</f>
        <v>19</v>
      </c>
      <c r="M31" s="13">
        <f t="array" ref="M31">INDEX(L:L,MIN(IF(ISNUMBER(L31:L227),ROW(L31:L227),"")))</f>
        <v>19</v>
      </c>
      <c r="N31" s="14">
        <f>IF('Données projet'!$A$36&gt;35,N30+M31-V30,IF(A31&lt;'Données projet'!$A$36,$K$205^A31,IF(A31='Données projet'!$A$36,'Données projet'!$B$36,N30+M31-V30)))</f>
        <v>280</v>
      </c>
      <c r="O31" s="14">
        <f>N31*VLOOKUP('Données projet'!$B$9,Paramètres!$A$1:$I$89,3,0)*VLOOKUP('Données projet'!$B$9,Paramètres!$A$1:$I$89,5,0)</f>
        <v>156.51999999999998</v>
      </c>
      <c r="P31" s="14">
        <f t="shared" si="33"/>
        <v>40.056589961286939</v>
      </c>
      <c r="Q31" s="22">
        <f t="shared" si="2"/>
        <v>342.37089418257466</v>
      </c>
      <c r="R31" s="62">
        <f t="shared" si="0"/>
        <v>633.25978307146352</v>
      </c>
      <c r="S31" s="62">
        <f ca="1">AVERAGE(OFFSET($R$3,0,0,'Données projet'!$E$9+1,1))-AVERAGE(OFFSET($H$3,0,0,'Données projet'!$E$9+1,1))</f>
        <v>374.79806286316051</v>
      </c>
      <c r="T31" s="62">
        <f t="shared" si="34"/>
        <v>350.01856672839466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64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0.16500000000000001</v>
      </c>
      <c r="Y31" s="17">
        <f>IF(ISNA(VLOOKUP(A31,'Données projet'!$A$35:$I$55,7,0)),0%,VLOOKUP(A31,'Données projet'!$A$35:$I$55,7,0))</f>
        <v>0.4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7.7999303451827418</v>
      </c>
      <c r="AB31" s="23">
        <f>EXP(-LN(2)/2)*AB30+(1-EXP(-LN(2)/2))/(LN(2)/2)*V31*Y31*VLOOKUP('Données projet'!$B$9,Paramètres!$A$1:$I$89,3,0)*0.475*44/12</f>
        <v>17.964887815739822</v>
      </c>
      <c r="AC31" s="24">
        <f t="shared" si="3"/>
        <v>25.764818160922562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</v>
      </c>
      <c r="AI31" s="14">
        <f>IF('Données projet'!$A$62&gt;35,AI30+AH31-AQ30,IF(A31&lt;'Données projet'!$A$62,$AF$205^A31,IF(A31='Données projet'!$A$62,'Données projet'!$B$62,AI30+AH31-AQ30)))</f>
        <v>178.00000000000003</v>
      </c>
      <c r="AJ31" s="14">
        <f>AI31*VLOOKUP('Données projet'!$B$10,Paramètres!$A$1:$I$89,3,0)*VLOOKUP('Données projet'!$B$10,Paramètres!$A$1:$I$89,5,0)</f>
        <v>155.50080000000003</v>
      </c>
      <c r="AK31" s="14">
        <f t="shared" si="35"/>
        <v>39.826029828200333</v>
      </c>
      <c r="AL31" s="22">
        <f t="shared" si="4"/>
        <v>340.19422861744891</v>
      </c>
      <c r="AM31" s="62">
        <f t="shared" si="5"/>
        <v>631.08311750633777</v>
      </c>
      <c r="AN31" s="62">
        <f ca="1">AVERAGE(OFFSET($AM$3,0,0,'Données projet'!$E$10+1,1))-AVERAGE(OFFSET($H$3,0,0,'Données projet'!$E$10+1,1))</f>
        <v>401.89597032936751</v>
      </c>
      <c r="AO31" s="62">
        <f t="shared" si="36"/>
        <v>417.85733543972361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projet'!$B$11,Paramètres!$A$1:$I$89,3,0)*VLOOKUP('Données projet'!$B$11,Paramètres!$A$1:$I$89,5,0)</f>
        <v>75.098399999999998</v>
      </c>
      <c r="BF31" s="14">
        <f t="shared" si="37"/>
        <v>20.934343091450742</v>
      </c>
      <c r="BG31" s="22">
        <f t="shared" si="7"/>
        <v>167.25702755094335</v>
      </c>
      <c r="BH31" s="62">
        <f t="shared" si="8"/>
        <v>458.14591643983221</v>
      </c>
      <c r="BI31" s="62">
        <f ca="1">AVERAGE(OFFSET($BH$3,0,0,'Données projet'!$E$11+1,1))-AVERAGE(OFFSET($H$3,0,0,'Données projet'!$E$11+1,1))</f>
        <v>430.40491895612814</v>
      </c>
      <c r="BJ31" s="62">
        <f t="shared" si="38"/>
        <v>231.36959598460686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6.5384615384615357</v>
      </c>
      <c r="BY31" s="13">
        <f>IF('Données projet'!$A$114&gt;35,BY30+BX31-CG30,IF(A31&lt;'Données projet'!$A$114,$BV$205^A31,IF(A31='Données projet'!$A$114,'Données projet'!$B$114,BY30+BX31-CG30)))</f>
        <v>103.58974358974359</v>
      </c>
      <c r="BZ31" s="14">
        <f>BY31*VLOOKUP('Données projet'!$B$12,Paramètres!$A$1:$I$89,3,0)*VLOOKUP('Données projet'!$B$12,Paramètres!$A$1:$I$89,5,0)</f>
        <v>98.576000000000008</v>
      </c>
      <c r="CA31" s="14">
        <f t="shared" si="39"/>
        <v>26.622466525409418</v>
      </c>
      <c r="CB31" s="22">
        <f t="shared" si="10"/>
        <v>218.05399586508807</v>
      </c>
      <c r="CC31" s="62">
        <f t="shared" si="11"/>
        <v>508.94288475397695</v>
      </c>
      <c r="CD31" s="62">
        <f ca="1">AVERAGE(OFFSET($CC$3,0,0,'Données projet'!$E$12+1,1))-AVERAGE(OFFSET($H$3,0,0,'Données projet'!$E$12+1,1))</f>
        <v>367.11183928586667</v>
      </c>
      <c r="CE31" s="62">
        <f t="shared" si="40"/>
        <v>281.52963027844595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</v>
      </c>
      <c r="CT31" s="13">
        <f>IF('Données projet'!$A$140&gt;35,CT30+CS31-DB30,IF(A31&lt;'Données projet'!$A$140,$CQ$205^A31,IF(A31='Données projet'!$A$140,'Données projet'!$B$140,CT30+CS31-DB30)))</f>
        <v>173.99999999999994</v>
      </c>
      <c r="CU31" s="18">
        <f>CT31*VLOOKUP('Données projet'!$B$13,Paramètres!$A$1:$I$89,3,0)*VLOOKUP('Données projet'!$B$13,Paramètres!$A$1:$I$89,5,0)</f>
        <v>104.05199999999998</v>
      </c>
      <c r="CV31" s="14">
        <f t="shared" si="41"/>
        <v>27.925087771564417</v>
      </c>
      <c r="CW31" s="22">
        <f t="shared" si="13"/>
        <v>229.86009453547459</v>
      </c>
      <c r="CX31" s="62">
        <f t="shared" si="14"/>
        <v>520.74898342436347</v>
      </c>
      <c r="CY31" s="62">
        <f ca="1">AVERAGE(OFFSET($CX$3,0,0,'Données projet'!$E$13+1,1))-AVERAGE(OFFSET($H$3,0,0,'Données projet'!$E$13+1,1))</f>
        <v>308.47522272937135</v>
      </c>
      <c r="CZ31" s="62">
        <f t="shared" si="42"/>
        <v>302.54354650449721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5.2976055868110725</v>
      </c>
      <c r="DI31" s="24">
        <f t="shared" si="15"/>
        <v>5.2976055868110725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14.260000000000002</v>
      </c>
      <c r="DO31" s="13">
        <f>IF('Données projet'!$A$166&gt;35,DO30+DN31-DW30,IF(A31&lt;'Données projet'!$A$166,$DL$205^A31,IF(A31='Données projet'!$A$166,'Données projet'!$B$166,DO30+DN31-DW30)))</f>
        <v>183.27999999999997</v>
      </c>
      <c r="DP31" s="18">
        <f>DO31*VLOOKUP('Données projet'!$B$14,Paramètres!$A$1:$I$89,3,0)*VLOOKUP('Données projet'!$B$14,Paramètres!$A$1:$I$89,5,0)</f>
        <v>145.81756799999999</v>
      </c>
      <c r="DQ31" s="14">
        <f t="shared" si="43"/>
        <v>37.626554284689291</v>
      </c>
      <c r="DR31" s="22">
        <f t="shared" si="16"/>
        <v>319.49851297916712</v>
      </c>
      <c r="DS31" s="62">
        <f t="shared" si="17"/>
        <v>610.38740186805603</v>
      </c>
      <c r="DT31" s="62">
        <f ca="1">AVERAGE(OFFSET($DS$3,0,0,'Données projet'!$E$14+1,1))-AVERAGE(OFFSET($H$3,0,0,'Données projet'!$E$14+1,1))</f>
        <v>370.58277541710277</v>
      </c>
      <c r="DU31" s="62">
        <f t="shared" si="44"/>
        <v>404.61777090709171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14.166666666666666</v>
      </c>
      <c r="EJ31" s="13">
        <f>IF('Données projet'!$A$192&gt;35,EJ30+EI31-ER30,IF(A31&lt;'Données projet'!$A$192,$EG$205^A31,IF(A31='Données projet'!$A$192,'Données projet'!$B$192,EJ30+EI31-ER30)))</f>
        <v>195.66666666666663</v>
      </c>
      <c r="EK31" s="18">
        <f>EJ31*VLOOKUP('Données projet'!$B$15,Paramètres!$A$1:$I$89,3,0)*VLOOKUP('Données projet'!$B$15,Paramètres!$A$1:$I$89,5,0)</f>
        <v>122.09599999999998</v>
      </c>
      <c r="EL31" s="14">
        <f t="shared" si="45"/>
        <v>32.163363121463028</v>
      </c>
      <c r="EM31" s="22">
        <f t="shared" si="19"/>
        <v>268.6683907698814</v>
      </c>
      <c r="EN31" s="62">
        <f t="shared" si="20"/>
        <v>559.55727965877031</v>
      </c>
      <c r="EO31" s="62">
        <f ca="1">AVERAGE(OFFSET($EN$3,0,0,'Données projet'!$E$15+1,1))-AVERAGE(OFFSET($H$3,0,0,'Données projet'!$E$15+1,1))</f>
        <v>240.22884864766218</v>
      </c>
      <c r="EP31" s="62">
        <f t="shared" si="46"/>
        <v>343.23776884143166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2.568112428361299</v>
      </c>
      <c r="EX31" s="23">
        <f>EXP(-LN(2)/2)*EX30+(1-EXP(-LN(2)/2))/(LN(2)/2)*ER31*EU31*VLOOKUP('Données projet'!$B$15,Paramètres!$A$1:$I$89,3,0)*0.475*44/12</f>
        <v>3.0814905269773747</v>
      </c>
      <c r="EY31" s="24">
        <f t="shared" si="21"/>
        <v>5.6496029553386737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9.3000000000000007</v>
      </c>
      <c r="FE31" s="13">
        <f>IF('Données projet'!$A$218&gt;35,FE30+FD31-FM30,IF(A31&lt;'Données projet'!$A$218,$FB$205^A31,IF(A31='Données projet'!$A$218,'Données projet'!$B$218,FE30+FD31-FM30)))</f>
        <v>102.39999999999998</v>
      </c>
      <c r="FF31" s="18">
        <f>FE31*VLOOKUP('Données projet'!$B$16,Paramètres!$A$1:$I$89,3,0)*VLOOKUP('Données projet'!$B$16,Paramètres!$A$1:$I$89,5,0)</f>
        <v>47.923199999999987</v>
      </c>
      <c r="FG31" s="14">
        <f t="shared" si="47"/>
        <v>14.076099961955951</v>
      </c>
      <c r="FH31" s="22">
        <f t="shared" si="22"/>
        <v>107.98211410040659</v>
      </c>
      <c r="FI31" s="62">
        <f t="shared" si="23"/>
        <v>398.87100298929545</v>
      </c>
      <c r="FJ31" s="62">
        <f ca="1">AVERAGE(OFFSET($FI$3,0,0,'Données projet'!$E$16+1,1))-AVERAGE(OFFSET($H$3,0,0,'Données projet'!$E$16+1,1))</f>
        <v>399.92909819003523</v>
      </c>
      <c r="FK31" s="62">
        <f t="shared" si="48"/>
        <v>163.7053537268381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14.260000000000002</v>
      </c>
      <c r="FZ31" s="13">
        <f>IF('Données projet'!$A$244&gt;35,FZ30+FY31-GH30,IF(A31&lt;'Données projet'!$A$244,$FW$205^A31,IF(A31='Données projet'!$A$244,'Données projet'!$B$244,FZ30+FY31-GH30)))</f>
        <v>183.27999999999997</v>
      </c>
      <c r="GA31" s="18">
        <f>FZ31*VLOOKUP('Données projet'!$B$17,Paramètres!$A$1:$I$89,3,0)*VLOOKUP('Données projet'!$B$17,Paramètres!$A$1:$I$89,5,0)</f>
        <v>134.38089599999998</v>
      </c>
      <c r="GB31" s="14">
        <f t="shared" si="49"/>
        <v>35.006694824713001</v>
      </c>
      <c r="GC31" s="22">
        <f t="shared" si="25"/>
        <v>295.01672068637509</v>
      </c>
      <c r="GD31" s="62">
        <f t="shared" si="26"/>
        <v>585.90560957526395</v>
      </c>
      <c r="GE31" s="62">
        <f ca="1">AVERAGE(OFFSET($GD$3,0,0,'Données projet'!$E$17+1,1))-AVERAGE(OFFSET($H$3,0,0,'Données projet'!$E$17+1,1))</f>
        <v>344.4426665022238</v>
      </c>
      <c r="GF31" s="62">
        <f t="shared" si="50"/>
        <v>376.41441893222185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5.0333333333333332</v>
      </c>
      <c r="GU31" s="13">
        <f>IF('Données projet'!$A$270&gt;35,GU30+GT31-HC30,IF(A31&lt;'Données projet'!$A$270,$GR$205^A31,IF(A31='Données projet'!$A$270,'Données projet'!$B$270,GU30+GT31-HC30)))</f>
        <v>108.07165878407967</v>
      </c>
      <c r="GV31" s="18">
        <f>GU31*VLOOKUP('Données projet'!$B$18,Paramètres!$A$1:$I$89,3,0)*VLOOKUP('Données projet'!$B$18,Paramètres!$A$1:$I$89,5,0)</f>
        <v>51.982467875142326</v>
      </c>
      <c r="GW31" s="14">
        <f t="shared" si="51"/>
        <v>15.124576268910957</v>
      </c>
      <c r="GX31" s="22">
        <f t="shared" si="28"/>
        <v>116.87810188422613</v>
      </c>
      <c r="GY31" s="62">
        <f t="shared" si="29"/>
        <v>407.76699077311497</v>
      </c>
      <c r="GZ31" s="62">
        <f ca="1">AVERAGE(OFFSET($GY$3,0,0,'Données projet'!$E$18+1,1))-AVERAGE(OFFSET($H$3,0,0,'Données projet'!$E$18+1,1))</f>
        <v>441.17479680509746</v>
      </c>
      <c r="HA31" s="62">
        <f t="shared" si="52"/>
        <v>198.56576128410069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19.857142857142858</v>
      </c>
      <c r="N32" s="14">
        <f>IF('Données projet'!$A$36&gt;35,N31+M32-V31,IF(A32&lt;'Données projet'!$A$36,$K$205^A32,IF(A32='Données projet'!$A$36,'Données projet'!$B$36,N31+M32-V31)))</f>
        <v>235.85714285714283</v>
      </c>
      <c r="O32" s="14">
        <f>N32*VLOOKUP('Données projet'!$B$9,Paramètres!$A$1:$I$89,3,0)*VLOOKUP('Données projet'!$B$9,Paramètres!$A$1:$I$89,5,0)</f>
        <v>131.84414285714283</v>
      </c>
      <c r="P32" s="14">
        <f t="shared" si="33"/>
        <v>34.422136630345072</v>
      </c>
      <c r="Q32" s="22">
        <f t="shared" si="2"/>
        <v>289.5804367740414</v>
      </c>
      <c r="R32" s="62">
        <f t="shared" si="0"/>
        <v>581.69154788515254</v>
      </c>
      <c r="S32" s="62">
        <f ca="1">AVERAGE(OFFSET($R$3,0,0,'Données projet'!$E$9+1,1))-AVERAGE(OFFSET($H$3,0,0,'Données projet'!$E$9+1,1))</f>
        <v>374.79806286316051</v>
      </c>
      <c r="T32" s="62">
        <f t="shared" si="34"/>
        <v>350.01856672839466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7.5866408397132101</v>
      </c>
      <c r="AB32" s="23">
        <f>EXP(-LN(2)/2)*AB31+(1-EXP(-LN(2)/2))/(LN(2)/2)*V32*Y32*VLOOKUP('Données projet'!$B$9,Paramètres!$A$1:$I$89,3,0)*0.475*44/12</f>
        <v>12.703093997765212</v>
      </c>
      <c r="AC32" s="24">
        <f t="shared" si="3"/>
        <v>20.28973483747842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</v>
      </c>
      <c r="AI32" s="14">
        <f>IF('Données projet'!$A$62&gt;35,AI31+AH32-AQ31,IF(A32&lt;'Données projet'!$A$62,$AF$205^A32,IF(A32='Données projet'!$A$62,'Données projet'!$B$62,AI31+AH32-AQ31)))</f>
        <v>189.00000000000003</v>
      </c>
      <c r="AJ32" s="14">
        <f>AI32*VLOOKUP('Données projet'!$B$10,Paramètres!$A$1:$I$89,3,0)*VLOOKUP('Données projet'!$B$10,Paramètres!$A$1:$I$89,5,0)</f>
        <v>165.11040000000006</v>
      </c>
      <c r="AK32" s="14">
        <f t="shared" si="35"/>
        <v>41.993062739333482</v>
      </c>
      <c r="AL32" s="22">
        <f t="shared" si="4"/>
        <v>360.70519760433922</v>
      </c>
      <c r="AM32" s="62">
        <f t="shared" si="5"/>
        <v>652.8163087154503</v>
      </c>
      <c r="AN32" s="62">
        <f ca="1">AVERAGE(OFFSET($AM$3,0,0,'Données projet'!$E$10+1,1))-AVERAGE(OFFSET($H$3,0,0,'Données projet'!$E$10+1,1))</f>
        <v>401.89597032936751</v>
      </c>
      <c r="AO32" s="62">
        <f t="shared" si="36"/>
        <v>417.85733543972361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projet'!$B$11,Paramètres!$A$1:$I$89,3,0)*VLOOKUP('Données projet'!$B$11,Paramètres!$A$1:$I$89,5,0)</f>
        <v>81.432000000000002</v>
      </c>
      <c r="BF32" s="14">
        <f t="shared" si="37"/>
        <v>22.486953220240881</v>
      </c>
      <c r="BG32" s="22">
        <f t="shared" si="7"/>
        <v>180.99217685858619</v>
      </c>
      <c r="BH32" s="62">
        <f t="shared" si="8"/>
        <v>473.10328796969736</v>
      </c>
      <c r="BI32" s="62">
        <f ca="1">AVERAGE(OFFSET($BH$3,0,0,'Données projet'!$E$11+1,1))-AVERAGE(OFFSET($H$3,0,0,'Données projet'!$E$11+1,1))</f>
        <v>430.40491895612814</v>
      </c>
      <c r="BJ32" s="62">
        <f t="shared" si="38"/>
        <v>231.36959598460686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6.5384615384615357</v>
      </c>
      <c r="BY32" s="13">
        <f>IF('Données projet'!$A$114&gt;35,BY31+BX32-CG31,IF(A32&lt;'Données projet'!$A$114,$BV$205^A32,IF(A32='Données projet'!$A$114,'Données projet'!$B$114,BY31+BX32-CG31)))</f>
        <v>110.12820512820512</v>
      </c>
      <c r="BZ32" s="14">
        <f>BY32*VLOOKUP('Données projet'!$B$12,Paramètres!$A$1:$I$89,3,0)*VLOOKUP('Données projet'!$B$12,Paramètres!$A$1:$I$89,5,0)</f>
        <v>104.79799999999999</v>
      </c>
      <c r="CA32" s="14">
        <f t="shared" si="39"/>
        <v>28.101918557678896</v>
      </c>
      <c r="CB32" s="22">
        <f t="shared" si="10"/>
        <v>231.46735815462407</v>
      </c>
      <c r="CC32" s="62">
        <f t="shared" si="11"/>
        <v>523.57846926573518</v>
      </c>
      <c r="CD32" s="62">
        <f ca="1">AVERAGE(OFFSET($CC$3,0,0,'Données projet'!$E$12+1,1))-AVERAGE(OFFSET($H$3,0,0,'Données projet'!$E$12+1,1))</f>
        <v>367.11183928586667</v>
      </c>
      <c r="CE32" s="62">
        <f t="shared" si="40"/>
        <v>281.52963027844595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</v>
      </c>
      <c r="CT32" s="13">
        <f>IF('Données projet'!$A$140&gt;35,CT31+CS32-DB31,IF(A32&lt;'Données projet'!$A$140,$CQ$205^A32,IF(A32='Données projet'!$A$140,'Données projet'!$B$140,CT31+CS32-DB31)))</f>
        <v>187.99999999999994</v>
      </c>
      <c r="CU32" s="18">
        <f>CT32*VLOOKUP('Données projet'!$B$13,Paramètres!$A$1:$I$89,3,0)*VLOOKUP('Données projet'!$B$13,Paramètres!$A$1:$I$89,5,0)</f>
        <v>112.42399999999998</v>
      </c>
      <c r="CV32" s="14">
        <f t="shared" si="41"/>
        <v>29.901371354345123</v>
      </c>
      <c r="CW32" s="22">
        <f t="shared" si="13"/>
        <v>247.88335510881768</v>
      </c>
      <c r="CX32" s="62">
        <f t="shared" si="14"/>
        <v>539.99446621992888</v>
      </c>
      <c r="CY32" s="62">
        <f ca="1">AVERAGE(OFFSET($CX$3,0,0,'Données projet'!$E$13+1,1))-AVERAGE(OFFSET($H$3,0,0,'Données projet'!$E$13+1,1))</f>
        <v>308.47522272937135</v>
      </c>
      <c r="CZ32" s="62">
        <f t="shared" si="42"/>
        <v>302.54354650449721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3.7459728344858489</v>
      </c>
      <c r="DI32" s="24">
        <f t="shared" si="15"/>
        <v>3.7459728344858489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14.260000000000002</v>
      </c>
      <c r="DO32" s="13">
        <f>IF('Données projet'!$A$166&gt;35,DO31+DN32-DW31,IF(A32&lt;'Données projet'!$A$166,$DL$205^A32,IF(A32='Données projet'!$A$166,'Données projet'!$B$166,DO31+DN32-DW31)))</f>
        <v>197.53999999999996</v>
      </c>
      <c r="DP32" s="18">
        <f>DO32*VLOOKUP('Données projet'!$B$14,Paramètres!$A$1:$I$89,3,0)*VLOOKUP('Données projet'!$B$14,Paramètres!$A$1:$I$89,5,0)</f>
        <v>157.162824</v>
      </c>
      <c r="DQ32" s="14">
        <f t="shared" si="43"/>
        <v>40.201917615639708</v>
      </c>
      <c r="DR32" s="22">
        <f t="shared" si="16"/>
        <v>343.7435916472391</v>
      </c>
      <c r="DS32" s="62">
        <f t="shared" si="17"/>
        <v>635.85470275835019</v>
      </c>
      <c r="DT32" s="62">
        <f ca="1">AVERAGE(OFFSET($DS$3,0,0,'Données projet'!$E$14+1,1))-AVERAGE(OFFSET($H$3,0,0,'Données projet'!$E$14+1,1))</f>
        <v>370.58277541710277</v>
      </c>
      <c r="DU32" s="62">
        <f t="shared" si="44"/>
        <v>404.61777090709171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14.166666666666666</v>
      </c>
      <c r="EJ32" s="13">
        <f>IF('Données projet'!$A$192&gt;35,EJ31+EI32-ER31,IF(A32&lt;'Données projet'!$A$192,$EG$205^A32,IF(A32='Données projet'!$A$192,'Données projet'!$B$192,EJ31+EI32-ER31)))</f>
        <v>209.83333333333329</v>
      </c>
      <c r="EK32" s="18">
        <f>EJ32*VLOOKUP('Données projet'!$B$15,Paramètres!$A$1:$I$89,3,0)*VLOOKUP('Données projet'!$B$15,Paramètres!$A$1:$I$89,5,0)</f>
        <v>130.93599999999998</v>
      </c>
      <c r="EL32" s="14">
        <f t="shared" si="45"/>
        <v>34.21255106176632</v>
      </c>
      <c r="EM32" s="22">
        <f t="shared" si="19"/>
        <v>287.63372643257628</v>
      </c>
      <c r="EN32" s="62">
        <f t="shared" si="20"/>
        <v>579.74483754368748</v>
      </c>
      <c r="EO32" s="62">
        <f ca="1">AVERAGE(OFFSET($EN$3,0,0,'Données projet'!$E$15+1,1))-AVERAGE(OFFSET($H$3,0,0,'Données projet'!$E$15+1,1))</f>
        <v>240.22884864766218</v>
      </c>
      <c r="EP32" s="62">
        <f t="shared" si="46"/>
        <v>343.23776884143166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2.4978872589565961</v>
      </c>
      <c r="EX32" s="23">
        <f>EXP(-LN(2)/2)*EX31+(1-EXP(-LN(2)/2))/(LN(2)/2)*ER32*EU32*VLOOKUP('Données projet'!$B$15,Paramètres!$A$1:$I$89,3,0)*0.475*44/12</f>
        <v>2.1789428477878094</v>
      </c>
      <c r="EY32" s="24">
        <f t="shared" si="21"/>
        <v>4.676830106744406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9.3000000000000007</v>
      </c>
      <c r="FE32" s="13">
        <f>IF('Données projet'!$A$218&gt;35,FE31+FD32-FM31,IF(A32&lt;'Données projet'!$A$218,$FB$205^A32,IF(A32='Données projet'!$A$218,'Données projet'!$B$218,FE31+FD32-FM31)))</f>
        <v>111.69999999999997</v>
      </c>
      <c r="FF32" s="18">
        <f>FE32*VLOOKUP('Données projet'!$B$16,Paramètres!$A$1:$I$89,3,0)*VLOOKUP('Données projet'!$B$16,Paramètres!$A$1:$I$89,5,0)</f>
        <v>52.27559999999999</v>
      </c>
      <c r="FG32" s="14">
        <f t="shared" si="47"/>
        <v>15.199912378332435</v>
      </c>
      <c r="FH32" s="22">
        <f t="shared" si="22"/>
        <v>117.51985072559563</v>
      </c>
      <c r="FI32" s="62">
        <f t="shared" si="23"/>
        <v>409.63096183670677</v>
      </c>
      <c r="FJ32" s="62">
        <f ca="1">AVERAGE(OFFSET($FI$3,0,0,'Données projet'!$E$16+1,1))-AVERAGE(OFFSET($H$3,0,0,'Données projet'!$E$16+1,1))</f>
        <v>399.92909819003523</v>
      </c>
      <c r="FK32" s="62">
        <f t="shared" si="48"/>
        <v>163.7053537268381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14.260000000000002</v>
      </c>
      <c r="FZ32" s="13">
        <f>IF('Données projet'!$A$244&gt;35,FZ31+FY32-GH31,IF(A32&lt;'Données projet'!$A$244,$FW$205^A32,IF(A32='Données projet'!$A$244,'Données projet'!$B$244,FZ31+FY32-GH31)))</f>
        <v>197.53999999999996</v>
      </c>
      <c r="GA32" s="18">
        <f>FZ32*VLOOKUP('Données projet'!$B$17,Paramètres!$A$1:$I$89,3,0)*VLOOKUP('Données projet'!$B$17,Paramètres!$A$1:$I$89,5,0)</f>
        <v>144.83632799999995</v>
      </c>
      <c r="GB32" s="14">
        <f t="shared" si="49"/>
        <v>37.402740912462832</v>
      </c>
      <c r="GC32" s="22">
        <f t="shared" si="25"/>
        <v>317.39971168920596</v>
      </c>
      <c r="GD32" s="62">
        <f t="shared" si="26"/>
        <v>609.5108228003171</v>
      </c>
      <c r="GE32" s="62">
        <f ca="1">AVERAGE(OFFSET($GD$3,0,0,'Données projet'!$E$17+1,1))-AVERAGE(OFFSET($H$3,0,0,'Données projet'!$E$17+1,1))</f>
        <v>344.4426665022238</v>
      </c>
      <c r="GF32" s="62">
        <f t="shared" si="50"/>
        <v>376.41441893222185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5.0333333333333332</v>
      </c>
      <c r="GU32" s="13">
        <f>IF('Données projet'!$A$270&gt;35,GU31+GT32-HC31,IF(A32&lt;'Données projet'!$A$270,$GR$205^A32,IF(A32='Données projet'!$A$270,'Données projet'!$B$270,GU31+GT32-HC31)))</f>
        <v>127.7451387583731</v>
      </c>
      <c r="GV32" s="18">
        <f>GU32*VLOOKUP('Données projet'!$B$18,Paramètres!$A$1:$I$89,3,0)*VLOOKUP('Données projet'!$B$18,Paramètres!$A$1:$I$89,5,0)</f>
        <v>61.445411742777466</v>
      </c>
      <c r="GW32" s="14">
        <f t="shared" si="51"/>
        <v>17.533206613914846</v>
      </c>
      <c r="GX32" s="22">
        <f t="shared" si="28"/>
        <v>137.55442697123911</v>
      </c>
      <c r="GY32" s="62">
        <f t="shared" si="29"/>
        <v>429.66553808235028</v>
      </c>
      <c r="GZ32" s="62">
        <f ca="1">AVERAGE(OFFSET($GY$3,0,0,'Données projet'!$E$18+1,1))-AVERAGE(OFFSET($H$3,0,0,'Données projet'!$E$18+1,1))</f>
        <v>441.17479680509746</v>
      </c>
      <c r="HA32" s="62">
        <f t="shared" si="52"/>
        <v>198.56576128410069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19.857142857142858</v>
      </c>
      <c r="N33" s="14">
        <f>IF('Données projet'!$A$36&gt;35,N32+M33-V32,IF(A33&lt;'Données projet'!$A$36,$K$205^A33,IF(A33='Données projet'!$A$36,'Données projet'!$B$36,N32+M33-V32)))</f>
        <v>255.71428571428569</v>
      </c>
      <c r="O33" s="14">
        <f>N33*VLOOKUP('Données projet'!$B$9,Paramètres!$A$1:$I$89,3,0)*VLOOKUP('Données projet'!$B$9,Paramètres!$A$1:$I$89,5,0)</f>
        <v>142.94428571428571</v>
      </c>
      <c r="P33" s="14">
        <f t="shared" si="33"/>
        <v>36.970680828333286</v>
      </c>
      <c r="Q33" s="22">
        <f t="shared" si="2"/>
        <v>313.35190006172803</v>
      </c>
      <c r="R33" s="62">
        <f t="shared" si="0"/>
        <v>606.68523339506135</v>
      </c>
      <c r="S33" s="62">
        <f ca="1">AVERAGE(OFFSET($R$3,0,0,'Données projet'!$E$9+1,1))-AVERAGE(OFFSET($H$3,0,0,'Données projet'!$E$9+1,1))</f>
        <v>374.79806286316051</v>
      </c>
      <c r="T33" s="62">
        <f t="shared" si="34"/>
        <v>350.01856672839466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7.3791837469871497</v>
      </c>
      <c r="AB33" s="23">
        <f>EXP(-LN(2)/2)*AB32+(1-EXP(-LN(2)/2))/(LN(2)/2)*V33*Y33*VLOOKUP('Données projet'!$B$9,Paramètres!$A$1:$I$89,3,0)*0.475*44/12</f>
        <v>8.9824439078699108</v>
      </c>
      <c r="AC33" s="24">
        <f t="shared" si="3"/>
        <v>16.36162765485706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200</v>
      </c>
      <c r="AG33" s="13">
        <f>VLOOKUP(A33,'Données projet'!$A$61:$I$81,9,0)</f>
        <v>11</v>
      </c>
      <c r="AH33" s="13">
        <f t="array" ref="AH33">INDEX(AG:AG,MIN(IF(ISNUMBER(AG33:AG229),ROW(AG33:AG229),"")))</f>
        <v>11</v>
      </c>
      <c r="AI33" s="14">
        <f>IF('Données projet'!$A$62&gt;35,AI32+AH33-AQ32,IF(A33&lt;'Données projet'!$A$62,$AF$205^A33,IF(A33='Données projet'!$A$62,'Données projet'!$B$62,AI32+AH33-AQ32)))</f>
        <v>200.00000000000003</v>
      </c>
      <c r="AJ33" s="14">
        <f>AI33*VLOOKUP('Données projet'!$B$10,Paramètres!$A$1:$I$89,3,0)*VLOOKUP('Données projet'!$B$10,Paramètres!$A$1:$I$89,5,0)</f>
        <v>174.72000000000006</v>
      </c>
      <c r="AK33" s="14">
        <f t="shared" si="35"/>
        <v>44.145455754865246</v>
      </c>
      <c r="AL33" s="22">
        <f t="shared" si="4"/>
        <v>381.19066877305704</v>
      </c>
      <c r="AM33" s="62">
        <f t="shared" si="5"/>
        <v>674.5240021063903</v>
      </c>
      <c r="AN33" s="62">
        <f ca="1">AVERAGE(OFFSET($AM$3,0,0,'Données projet'!$E$10+1,1))-AVERAGE(OFFSET($H$3,0,0,'Données projet'!$E$10+1,1))</f>
        <v>401.89597032936751</v>
      </c>
      <c r="AO33" s="62">
        <f t="shared" si="36"/>
        <v>417.85733543972361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63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projet'!$B$11,Paramètres!$A$1:$I$89,3,0)*VLOOKUP('Données projet'!$B$11,Paramètres!$A$1:$I$89,5,0)</f>
        <v>87.765600000000006</v>
      </c>
      <c r="BF33" s="14">
        <f t="shared" si="37"/>
        <v>24.025555589247954</v>
      </c>
      <c r="BG33" s="22">
        <f t="shared" si="7"/>
        <v>194.7029293179402</v>
      </c>
      <c r="BH33" s="62">
        <f t="shared" si="8"/>
        <v>488.03626265127355</v>
      </c>
      <c r="BI33" s="62">
        <f ca="1">AVERAGE(OFFSET($BH$3,0,0,'Données projet'!$E$11+1,1))-AVERAGE(OFFSET($H$3,0,0,'Données projet'!$E$11+1,1))</f>
        <v>430.40491895612814</v>
      </c>
      <c r="BJ33" s="62">
        <f t="shared" si="38"/>
        <v>231.36959598460686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116.66666666666666</v>
      </c>
      <c r="BW33" s="13">
        <f>VLOOKUP(A33,'Données projet'!$A$113:$I$133,9,0)</f>
        <v>6.5384615384615357</v>
      </c>
      <c r="BX33" s="13">
        <f t="array" ref="BX33">INDEX(BW:BW,MIN(IF(ISNUMBER(BW33:BW229),ROW(BW33:BW229),"")))</f>
        <v>6.5384615384615357</v>
      </c>
      <c r="BY33" s="13">
        <f>IF('Données projet'!$A$114&gt;35,BY32+BX33-CG32,IF(A33&lt;'Données projet'!$A$114,$BV$205^A33,IF(A33='Données projet'!$A$114,'Données projet'!$B$114,BY32+BX33-CG32)))</f>
        <v>116.66666666666666</v>
      </c>
      <c r="BZ33" s="14">
        <f>BY33*VLOOKUP('Données projet'!$B$12,Paramètres!$A$1:$I$89,3,0)*VLOOKUP('Données projet'!$B$12,Paramètres!$A$1:$I$89,5,0)</f>
        <v>111.02</v>
      </c>
      <c r="CA33" s="14">
        <f t="shared" si="39"/>
        <v>29.571175279490561</v>
      </c>
      <c r="CB33" s="22">
        <f t="shared" si="10"/>
        <v>244.86296361177938</v>
      </c>
      <c r="CC33" s="62">
        <f t="shared" si="11"/>
        <v>538.19629694511264</v>
      </c>
      <c r="CD33" s="62">
        <f ca="1">AVERAGE(OFFSET($CC$3,0,0,'Données projet'!$E$12+1,1))-AVERAGE(OFFSET($H$3,0,0,'Données projet'!$E$12+1,1))</f>
        <v>367.11183928586667</v>
      </c>
      <c r="CE33" s="62">
        <f t="shared" si="40"/>
        <v>281.52963027844595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25.641025641025639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202</v>
      </c>
      <c r="CR33" s="13">
        <f>VLOOKUP(A33,'Données projet'!$A$139:$I$159,9,0)</f>
        <v>14</v>
      </c>
      <c r="CS33" s="13">
        <f t="array" ref="CS33">INDEX(CR:CR,MIN(IF(ISNUMBER(CR33:CR229),ROW(CR33:CR229),"")))</f>
        <v>14</v>
      </c>
      <c r="CT33" s="13">
        <f>IF('Données projet'!$A$140&gt;35,CT32+CS33-DB32,IF(A33&lt;'Données projet'!$A$140,$CQ$205^A33,IF(A33='Données projet'!$A$140,'Données projet'!$B$140,CT32+CS33-DB32)))</f>
        <v>201.99999999999994</v>
      </c>
      <c r="CU33" s="18">
        <f>CT33*VLOOKUP('Données projet'!$B$13,Paramètres!$A$1:$I$89,3,0)*VLOOKUP('Données projet'!$B$13,Paramètres!$A$1:$I$89,5,0)</f>
        <v>120.79599999999996</v>
      </c>
      <c r="CV33" s="14">
        <f t="shared" si="41"/>
        <v>31.860581725070222</v>
      </c>
      <c r="CW33" s="22">
        <f t="shared" si="13"/>
        <v>265.87687983783059</v>
      </c>
      <c r="CX33" s="62">
        <f t="shared" si="14"/>
        <v>559.2102131711639</v>
      </c>
      <c r="CY33" s="62">
        <f ca="1">AVERAGE(OFFSET($CX$3,0,0,'Données projet'!$E$13+1,1))-AVERAGE(OFFSET($H$3,0,0,'Données projet'!$E$13+1,1))</f>
        <v>308.47522272937135</v>
      </c>
      <c r="CZ33" s="62">
        <f t="shared" si="42"/>
        <v>302.54354650449721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54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9.0000000000000011E-2</v>
      </c>
      <c r="DE33" s="17">
        <f>IF(ISNA(VLOOKUP(A33,'Données projet'!$A$139:$I$159,7,0)),0%,VLOOKUP(A33,'Données projet'!$A$139:$I$159,7,0))</f>
        <v>0.4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3.8401876937302988</v>
      </c>
      <c r="DH33" s="23">
        <f>EXP(-LN(2)/2)*DH32+(1-EXP(-LN(2)/2))/(LN(2)/2)*DB33*DE33*VLOOKUP('Données projet'!$B$13,Paramètres!$A$1:$I$89,3,0)*0.475*44/12</f>
        <v>17.273620934095391</v>
      </c>
      <c r="DI33" s="24">
        <f t="shared" si="15"/>
        <v>21.113808627825691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211.8</v>
      </c>
      <c r="DM33" s="13">
        <f>VLOOKUP(A33,'Données projet'!$A$165:$I$185,9,0)</f>
        <v>14.260000000000002</v>
      </c>
      <c r="DN33" s="13">
        <f t="array" ref="DN33">INDEX(DM:DM,MIN(IF(ISNUMBER(DM33:DM229),ROW(DM33:DM229),"")))</f>
        <v>14.260000000000002</v>
      </c>
      <c r="DO33" s="13">
        <f>IF('Données projet'!$A$166&gt;35,DO32+DN33-DW32,IF(A33&lt;'Données projet'!$A$166,$DL$205^A33,IF(A33='Données projet'!$A$166,'Données projet'!$B$166,DO32+DN33-DW32)))</f>
        <v>211.79999999999995</v>
      </c>
      <c r="DP33" s="18">
        <f>DO33*VLOOKUP('Données projet'!$B$14,Paramètres!$A$1:$I$89,3,0)*VLOOKUP('Données projet'!$B$14,Paramètres!$A$1:$I$89,5,0)</f>
        <v>168.50807999999995</v>
      </c>
      <c r="DQ33" s="14">
        <f t="shared" si="43"/>
        <v>42.755711908378117</v>
      </c>
      <c r="DR33" s="22">
        <f t="shared" si="16"/>
        <v>367.95110424042514</v>
      </c>
      <c r="DS33" s="62">
        <f t="shared" si="17"/>
        <v>661.2844375737584</v>
      </c>
      <c r="DT33" s="62">
        <f ca="1">AVERAGE(OFFSET($DS$3,0,0,'Données projet'!$E$14+1,1))-AVERAGE(OFFSET($H$3,0,0,'Données projet'!$E$14+1,1))</f>
        <v>370.58277541710277</v>
      </c>
      <c r="DU33" s="62">
        <f t="shared" si="44"/>
        <v>404.61777090709171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70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224</v>
      </c>
      <c r="EH33" s="13">
        <f>VLOOKUP(A33,'Données projet'!$A$191:$I$211,9,0)</f>
        <v>14.166666666666666</v>
      </c>
      <c r="EI33" s="13">
        <f t="array" ref="EI33">INDEX(EH:EH,MIN(IF(ISNUMBER(EH33:EH229),ROW(EH33:EH229),"")))</f>
        <v>14.166666666666666</v>
      </c>
      <c r="EJ33" s="13">
        <f>IF('Données projet'!$A$192&gt;35,EJ32+EI33-ER32,IF(A33&lt;'Données projet'!$A$192,$EG$205^A33,IF(A33='Données projet'!$A$192,'Données projet'!$B$192,EJ32+EI33-ER32)))</f>
        <v>223.99999999999994</v>
      </c>
      <c r="EK33" s="18">
        <f>EJ33*VLOOKUP('Données projet'!$B$15,Paramètres!$A$1:$I$89,3,0)*VLOOKUP('Données projet'!$B$15,Paramètres!$A$1:$I$89,5,0)</f>
        <v>139.77599999999995</v>
      </c>
      <c r="EL33" s="14">
        <f t="shared" si="45"/>
        <v>36.245685459195258</v>
      </c>
      <c r="EM33" s="22">
        <f t="shared" si="19"/>
        <v>306.57110217476503</v>
      </c>
      <c r="EN33" s="62">
        <f t="shared" si="20"/>
        <v>599.90443550809835</v>
      </c>
      <c r="EO33" s="62">
        <f ca="1">AVERAGE(OFFSET($EN$3,0,0,'Données projet'!$E$15+1,1))-AVERAGE(OFFSET($H$3,0,0,'Données projet'!$E$15+1,1))</f>
        <v>240.22884864766218</v>
      </c>
      <c r="EP33" s="62">
        <f t="shared" si="46"/>
        <v>343.23776884143166</v>
      </c>
      <c r="EQ33" s="16">
        <f>IF(ISNA(VLOOKUP(A33,'Données projet'!$A$191:$I$211,3,0)),0,VLOOKUP(A33,'Données projet'!$A$191:$I$211,3,0))</f>
        <v>4</v>
      </c>
      <c r="ER33" s="16">
        <f>IF(ISNA(VLOOKUP(A33,'Données projet'!$A$191:$I$211,4,0)),0,VLOOKUP(A33,'Données projet'!$A$191:$I$211,4,0))</f>
        <v>53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0.18</v>
      </c>
      <c r="EU33" s="17">
        <f>IF(ISNA(VLOOKUP(A33,'Données projet'!$A$191:$I$211,7,0)),0%,VLOOKUP(A33,'Données projet'!$A$191:$I$211,7,0))</f>
        <v>0.4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10.295474101669621</v>
      </c>
      <c r="EX33" s="23">
        <f>EXP(-LN(2)/2)*EX32+(1-EXP(-LN(2)/2))/(LN(2)/2)*ER33*EU33*VLOOKUP('Données projet'!$B$15,Paramètres!$A$1:$I$89,3,0)*0.475*44/12</f>
        <v>16.518819881006799</v>
      </c>
      <c r="EY33" s="24">
        <f t="shared" si="21"/>
        <v>26.814293982676418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121</v>
      </c>
      <c r="FC33" s="13">
        <f>VLOOKUP(A33,'Données projet'!$A$217:$I$237,9,0)</f>
        <v>9.3000000000000007</v>
      </c>
      <c r="FD33" s="13">
        <f t="array" ref="FD33">INDEX(FC:FC,MIN(IF(ISNUMBER(FC33:FC229),ROW(FC33:FC229),"")))</f>
        <v>9.3000000000000007</v>
      </c>
      <c r="FE33" s="13">
        <f>IF('Données projet'!$A$218&gt;35,FE32+FD33-FM32,IF(A33&lt;'Données projet'!$A$218,$FB$205^A33,IF(A33='Données projet'!$A$218,'Données projet'!$B$218,FE32+FD33-FM32)))</f>
        <v>120.99999999999997</v>
      </c>
      <c r="FF33" s="18">
        <f>FE33*VLOOKUP('Données projet'!$B$16,Paramètres!$A$1:$I$89,3,0)*VLOOKUP('Données projet'!$B$16,Paramètres!$A$1:$I$89,5,0)</f>
        <v>56.627999999999986</v>
      </c>
      <c r="FG33" s="14">
        <f t="shared" si="47"/>
        <v>16.312872953208519</v>
      </c>
      <c r="FH33" s="22">
        <f t="shared" si="22"/>
        <v>127.03868706017147</v>
      </c>
      <c r="FI33" s="62">
        <f t="shared" si="23"/>
        <v>420.37202039350478</v>
      </c>
      <c r="FJ33" s="62">
        <f ca="1">AVERAGE(OFFSET($FI$3,0,0,'Données projet'!$E$16+1,1))-AVERAGE(OFFSET($H$3,0,0,'Données projet'!$E$16+1,1))</f>
        <v>399.92909819003523</v>
      </c>
      <c r="FK33" s="62">
        <f t="shared" si="48"/>
        <v>163.7053537268381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211.8</v>
      </c>
      <c r="FX33" s="13">
        <f>VLOOKUP(A33,'Données projet'!$A$243:$I$263,9,0)</f>
        <v>14.260000000000002</v>
      </c>
      <c r="FY33" s="13">
        <f t="array" ref="FY33">INDEX(FX:FX,MIN(IF(ISNUMBER(FX33:FX229),ROW(FX33:FX229),"")))</f>
        <v>14.260000000000002</v>
      </c>
      <c r="FZ33" s="13">
        <f>IF('Données projet'!$A$244&gt;35,FZ32+FY33-GH32,IF(A33&lt;'Données projet'!$A$244,$FW$205^A33,IF(A33='Données projet'!$A$244,'Données projet'!$B$244,FZ32+FY33-GH32)))</f>
        <v>211.79999999999995</v>
      </c>
      <c r="GA33" s="18">
        <f>FZ33*VLOOKUP('Données projet'!$B$17,Paramètres!$A$1:$I$89,3,0)*VLOOKUP('Données projet'!$B$17,Paramètres!$A$1:$I$89,5,0)</f>
        <v>155.29175999999998</v>
      </c>
      <c r="GB33" s="14">
        <f t="shared" si="49"/>
        <v>39.778719769696814</v>
      </c>
      <c r="GC33" s="22">
        <f t="shared" si="25"/>
        <v>339.74775226555522</v>
      </c>
      <c r="GD33" s="62">
        <f t="shared" si="26"/>
        <v>633.08108559888854</v>
      </c>
      <c r="GE33" s="62">
        <f ca="1">AVERAGE(OFFSET($GD$3,0,0,'Données projet'!$E$17+1,1))-AVERAGE(OFFSET($H$3,0,0,'Données projet'!$E$17+1,1))</f>
        <v>344.4426665022238</v>
      </c>
      <c r="GF33" s="62">
        <f t="shared" si="50"/>
        <v>376.41441893222185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70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151</v>
      </c>
      <c r="GS33" s="13">
        <f>VLOOKUP(A33,'Données projet'!$A$269:$I$289,9,0)</f>
        <v>5.0333333333333332</v>
      </c>
      <c r="GT33" s="13">
        <f t="array" ref="GT33">INDEX(GS:GS,MIN(IF(ISNUMBER(GS33:GS229),ROW(GS33:GS229),"")))</f>
        <v>5.0333333333333332</v>
      </c>
      <c r="GU33" s="13">
        <f>IF('Données projet'!$A$270&gt;35,GU32+GT33-HC32,IF(A33&lt;'Données projet'!$A$270,$GR$205^A33,IF(A33='Données projet'!$A$270,'Données projet'!$B$270,GU32+GT33-HC32)))</f>
        <v>151</v>
      </c>
      <c r="GV33" s="18">
        <f>GU33*VLOOKUP('Données projet'!$B$18,Paramètres!$A$1:$I$89,3,0)*VLOOKUP('Données projet'!$B$18,Paramètres!$A$1:$I$89,5,0)</f>
        <v>72.631</v>
      </c>
      <c r="GW33" s="14">
        <f t="shared" si="51"/>
        <v>20.325417962163069</v>
      </c>
      <c r="GX33" s="22">
        <f t="shared" si="28"/>
        <v>161.89909461743403</v>
      </c>
      <c r="GY33" s="62">
        <f t="shared" si="29"/>
        <v>455.23242795076737</v>
      </c>
      <c r="GZ33" s="62">
        <f ca="1">AVERAGE(OFFSET($GY$3,0,0,'Données projet'!$E$18+1,1))-AVERAGE(OFFSET($H$3,0,0,'Données projet'!$E$18+1,1))</f>
        <v>441.17479680509746</v>
      </c>
      <c r="HA33" s="62">
        <f t="shared" si="52"/>
        <v>198.56576128410069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19.857142857142858</v>
      </c>
      <c r="N34" s="14">
        <f>IF('Données projet'!$A$36&gt;35,N33+M34-V33,IF(A34&lt;'Données projet'!$A$36,$K$205^A34,IF(A34='Données projet'!$A$36,'Données projet'!$B$36,N33+M34-V33)))</f>
        <v>275.57142857142856</v>
      </c>
      <c r="O34" s="14">
        <f>N34*VLOOKUP('Données projet'!$B$9,Paramètres!$A$1:$I$89,3,0)*VLOOKUP('Données projet'!$B$9,Paramètres!$A$1:$I$89,5,0)</f>
        <v>154.04442857142857</v>
      </c>
      <c r="P34" s="14">
        <f t="shared" si="33"/>
        <v>39.496268491280283</v>
      </c>
      <c r="Q34" s="22">
        <f t="shared" si="2"/>
        <v>337.08338071755128</v>
      </c>
      <c r="R34" s="62">
        <f t="shared" si="0"/>
        <v>630.41671405088459</v>
      </c>
      <c r="S34" s="62">
        <f ca="1">AVERAGE(OFFSET($R$3,0,0,'Données projet'!$E$9+1,1))-AVERAGE(OFFSET($H$3,0,0,'Données projet'!$E$9+1,1))</f>
        <v>374.79806286316051</v>
      </c>
      <c r="T34" s="62">
        <f t="shared" si="34"/>
        <v>350.01856672839466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7.1773995793713778</v>
      </c>
      <c r="AB34" s="23">
        <f>EXP(-LN(2)/2)*AB33+(1-EXP(-LN(2)/2))/(LN(2)/2)*V34*Y34*VLOOKUP('Données projet'!$B$9,Paramètres!$A$1:$I$89,3,0)*0.475*44/12</f>
        <v>6.3515469988826059</v>
      </c>
      <c r="AC34" s="24">
        <f t="shared" si="3"/>
        <v>13.528946578253983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10.4</v>
      </c>
      <c r="AI34" s="14">
        <f>IF('Données projet'!$A$62&gt;35,AI33+AH34-AQ33,IF(A34&lt;'Données projet'!$A$62,$AF$205^A34,IF(A34='Données projet'!$A$62,'Données projet'!$B$62,AI33+AH34-AQ33)))</f>
        <v>147.40000000000003</v>
      </c>
      <c r="AJ34" s="14">
        <f>AI34*VLOOKUP('Données projet'!$B$10,Paramètres!$A$1:$I$89,3,0)*VLOOKUP('Données projet'!$B$10,Paramètres!$A$1:$I$89,5,0)</f>
        <v>128.76864000000003</v>
      </c>
      <c r="AK34" s="14">
        <f t="shared" si="35"/>
        <v>33.711670780700224</v>
      </c>
      <c r="AL34" s="22">
        <f t="shared" si="4"/>
        <v>282.98654127638628</v>
      </c>
      <c r="AM34" s="62">
        <f t="shared" si="5"/>
        <v>576.31987460971959</v>
      </c>
      <c r="AN34" s="62">
        <f ca="1">AVERAGE(OFFSET($AM$3,0,0,'Données projet'!$E$10+1,1))-AVERAGE(OFFSET($H$3,0,0,'Données projet'!$E$10+1,1))</f>
        <v>401.89597032936751</v>
      </c>
      <c r="AO34" s="62">
        <f t="shared" si="36"/>
        <v>417.85733543972361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8.6</v>
      </c>
      <c r="BD34" s="13">
        <f>IF('Données projet'!$A$88&gt;35,BD33+BC34-BL33,IF(A34&lt;'Données projet'!$A$88,$BA$205^A34,IF(A34='Données projet'!$A$88,'Données projet'!$B$88,BD33+BC34-BL33)))</f>
        <v>105.6</v>
      </c>
      <c r="BE34" s="14">
        <f>BD34*VLOOKUP('Données projet'!$B$11,Paramètres!$A$1:$I$89,3,0)*VLOOKUP('Données projet'!$B$11,Paramètres!$A$1:$I$89,5,0)</f>
        <v>95.546879999999987</v>
      </c>
      <c r="BF34" s="14">
        <f t="shared" si="37"/>
        <v>25.898306910102065</v>
      </c>
      <c r="BG34" s="22">
        <f t="shared" si="7"/>
        <v>211.51703386842772</v>
      </c>
      <c r="BH34" s="62">
        <f t="shared" si="8"/>
        <v>504.85036720176106</v>
      </c>
      <c r="BI34" s="62">
        <f ca="1">AVERAGE(OFFSET($BH$3,0,0,'Données projet'!$E$11+1,1))-AVERAGE(OFFSET($H$3,0,0,'Données projet'!$E$11+1,1))</f>
        <v>430.40491895612814</v>
      </c>
      <c r="BJ34" s="62">
        <f t="shared" si="38"/>
        <v>231.36959598460686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6.4102564102564088</v>
      </c>
      <c r="BY34" s="13">
        <f>IF('Données projet'!$A$114&gt;35,BY33+BX34-CG33,IF(A34&lt;'Données projet'!$A$114,$BV$205^A34,IF(A34='Données projet'!$A$114,'Données projet'!$B$114,BY33+BX34-CG33)))</f>
        <v>97.435897435897431</v>
      </c>
      <c r="BZ34" s="14">
        <f>BY34*VLOOKUP('Données projet'!$B$12,Paramètres!$A$1:$I$89,3,0)*VLOOKUP('Données projet'!$B$12,Paramètres!$A$1:$I$89,5,0)</f>
        <v>92.72</v>
      </c>
      <c r="CA34" s="14">
        <f t="shared" si="39"/>
        <v>25.22008241222111</v>
      </c>
      <c r="CB34" s="22">
        <f t="shared" si="10"/>
        <v>205.41231020128509</v>
      </c>
      <c r="CC34" s="62">
        <f t="shared" si="11"/>
        <v>498.74564353461841</v>
      </c>
      <c r="CD34" s="62">
        <f ca="1">AVERAGE(OFFSET($CC$3,0,0,'Données projet'!$E$12+1,1))-AVERAGE(OFFSET($H$3,0,0,'Données projet'!$E$12+1,1))</f>
        <v>367.11183928586667</v>
      </c>
      <c r="CE34" s="62">
        <f t="shared" si="40"/>
        <v>281.52963027844595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19.2</v>
      </c>
      <c r="CT34" s="13">
        <f>IF('Données projet'!$A$140&gt;35,CT33+CS34-DB33,IF(A34&lt;'Données projet'!$A$140,$CQ$205^A34,IF(A34='Données projet'!$A$140,'Données projet'!$B$140,CT33+CS34-DB33)))</f>
        <v>167.19999999999993</v>
      </c>
      <c r="CU34" s="18">
        <f>CT34*VLOOKUP('Données projet'!$B$13,Paramètres!$A$1:$I$89,3,0)*VLOOKUP('Données projet'!$B$13,Paramètres!$A$1:$I$89,5,0)</f>
        <v>99.985599999999977</v>
      </c>
      <c r="CV34" s="14">
        <f t="shared" si="41"/>
        <v>26.95856691816941</v>
      </c>
      <c r="CW34" s="22">
        <f t="shared" si="13"/>
        <v>221.094424049145</v>
      </c>
      <c r="CX34" s="62">
        <f t="shared" si="14"/>
        <v>514.42775738247838</v>
      </c>
      <c r="CY34" s="62">
        <f ca="1">AVERAGE(OFFSET($CX$3,0,0,'Données projet'!$E$13+1,1))-AVERAGE(OFFSET($H$3,0,0,'Données projet'!$E$13+1,1))</f>
        <v>308.47522272937135</v>
      </c>
      <c r="CZ34" s="62">
        <f t="shared" si="42"/>
        <v>302.54354650449721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3.7351775592985499</v>
      </c>
      <c r="DH34" s="23">
        <f>EXP(-LN(2)/2)*DH33+(1-EXP(-LN(2)/2))/(LN(2)/2)*DB34*DE34*VLOOKUP('Données projet'!$B$13,Paramètres!$A$1:$I$89,3,0)*0.475*44/12</f>
        <v>12.214294498144756</v>
      </c>
      <c r="DI34" s="24">
        <f t="shared" si="15"/>
        <v>15.949472057443305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12.919999999999998</v>
      </c>
      <c r="DO34" s="13">
        <f>IF('Données projet'!$A$166&gt;35,DO33+DN34-DW33,IF(A34&lt;'Données projet'!$A$166,$DL$205^A34,IF(A34='Données projet'!$A$166,'Données projet'!$B$166,DO33+DN34-DW33)))</f>
        <v>154.71999999999994</v>
      </c>
      <c r="DP34" s="18">
        <f>DO34*VLOOKUP('Données projet'!$B$14,Paramètres!$A$1:$I$89,3,0)*VLOOKUP('Données projet'!$B$14,Paramètres!$A$1:$I$89,5,0)</f>
        <v>123.09523199999997</v>
      </c>
      <c r="DQ34" s="14">
        <f t="shared" si="43"/>
        <v>32.395837865893974</v>
      </c>
      <c r="DR34" s="22">
        <f t="shared" si="16"/>
        <v>270.81361334976526</v>
      </c>
      <c r="DS34" s="62">
        <f t="shared" si="17"/>
        <v>564.14694668309858</v>
      </c>
      <c r="DT34" s="62">
        <f ca="1">AVERAGE(OFFSET($DS$3,0,0,'Données projet'!$E$14+1,1))-AVERAGE(OFFSET($H$3,0,0,'Données projet'!$E$14+1,1))</f>
        <v>370.58277541710277</v>
      </c>
      <c r="DU34" s="62">
        <f t="shared" si="44"/>
        <v>404.61777090709171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12.833333333333334</v>
      </c>
      <c r="EJ34" s="13">
        <f>IF('Données projet'!$A$192&gt;35,EJ33+EI34-ER33,IF(A34&lt;'Données projet'!$A$192,$EG$205^A34,IF(A34='Données projet'!$A$192,'Données projet'!$B$192,EJ33+EI34-ER33)))</f>
        <v>183.83333333333329</v>
      </c>
      <c r="EK34" s="18">
        <f>EJ34*VLOOKUP('Données projet'!$B$15,Paramètres!$A$1:$I$89,3,0)*VLOOKUP('Données projet'!$B$15,Paramètres!$A$1:$I$89,5,0)</f>
        <v>114.71199999999997</v>
      </c>
      <c r="EL34" s="14">
        <f t="shared" si="45"/>
        <v>30.438443898016164</v>
      </c>
      <c r="EM34" s="22">
        <f t="shared" si="19"/>
        <v>252.80368978904474</v>
      </c>
      <c r="EN34" s="62">
        <f t="shared" si="20"/>
        <v>546.13702312237808</v>
      </c>
      <c r="EO34" s="62">
        <f ca="1">AVERAGE(OFFSET($EN$3,0,0,'Données projet'!$E$15+1,1))-AVERAGE(OFFSET($H$3,0,0,'Données projet'!$E$15+1,1))</f>
        <v>240.22884864766218</v>
      </c>
      <c r="EP34" s="62">
        <f t="shared" si="46"/>
        <v>343.23776884143166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10.013943820944013</v>
      </c>
      <c r="EX34" s="23">
        <f>EXP(-LN(2)/2)*EX33+(1-EXP(-LN(2)/2))/(LN(2)/2)*ER34*EU34*VLOOKUP('Données projet'!$B$15,Paramètres!$A$1:$I$89,3,0)*0.475*44/12</f>
        <v>11.680569555059066</v>
      </c>
      <c r="EY34" s="24">
        <f t="shared" si="21"/>
        <v>21.69451337600308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14.6</v>
      </c>
      <c r="FE34" s="13">
        <f>IF('Données projet'!$A$218&gt;35,FE33+FD34-FM33,IF(A34&lt;'Données projet'!$A$218,$FB$205^A34,IF(A34='Données projet'!$A$218,'Données projet'!$B$218,FE33+FD34-FM33)))</f>
        <v>135.59999999999997</v>
      </c>
      <c r="FF34" s="18">
        <f>FE34*VLOOKUP('Données projet'!$B$16,Paramètres!$A$1:$I$89,3,0)*VLOOKUP('Données projet'!$B$16,Paramètres!$A$1:$I$89,5,0)</f>
        <v>63.460799999999985</v>
      </c>
      <c r="FG34" s="14">
        <f t="shared" si="47"/>
        <v>18.04039167659279</v>
      </c>
      <c r="FH34" s="22">
        <f t="shared" si="22"/>
        <v>141.94790883673241</v>
      </c>
      <c r="FI34" s="62">
        <f t="shared" si="23"/>
        <v>435.28124217006575</v>
      </c>
      <c r="FJ34" s="62">
        <f ca="1">AVERAGE(OFFSET($FI$3,0,0,'Données projet'!$E$16+1,1))-AVERAGE(OFFSET($H$3,0,0,'Données projet'!$E$16+1,1))</f>
        <v>399.92909819003523</v>
      </c>
      <c r="FK34" s="62">
        <f t="shared" si="48"/>
        <v>163.7053537268381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12.919999999999998</v>
      </c>
      <c r="FZ34" s="13">
        <f>IF('Données projet'!$A$244&gt;35,FZ33+FY34-GH33,IF(A34&lt;'Données projet'!$A$244,$FW$205^A34,IF(A34='Données projet'!$A$244,'Données projet'!$B$244,FZ33+FY34-GH33)))</f>
        <v>154.71999999999994</v>
      </c>
      <c r="GA34" s="18">
        <f>FZ34*VLOOKUP('Données projet'!$B$17,Paramètres!$A$1:$I$89,3,0)*VLOOKUP('Données projet'!$B$17,Paramètres!$A$1:$I$89,5,0)</f>
        <v>113.44070399999997</v>
      </c>
      <c r="GB34" s="14">
        <f t="shared" si="49"/>
        <v>30.140182414303599</v>
      </c>
      <c r="GC34" s="22">
        <f t="shared" si="25"/>
        <v>250.07004383824537</v>
      </c>
      <c r="GD34" s="62">
        <f t="shared" si="26"/>
        <v>543.40337717157865</v>
      </c>
      <c r="GE34" s="62">
        <f ca="1">AVERAGE(OFFSET($GD$3,0,0,'Données projet'!$E$17+1,1))-AVERAGE(OFFSET($H$3,0,0,'Données projet'!$E$17+1,1))</f>
        <v>344.4426665022238</v>
      </c>
      <c r="GF34" s="62">
        <f t="shared" si="50"/>
        <v>376.41441893222185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14.4</v>
      </c>
      <c r="GU34" s="13">
        <f>IF('Données projet'!$A$270&gt;35,GU33+GT34-HC33,IF(A34&lt;'Données projet'!$A$270,$GR$205^A34,IF(A34='Données projet'!$A$270,'Données projet'!$B$270,GU33+GT34-HC33)))</f>
        <v>165.4</v>
      </c>
      <c r="GV34" s="18">
        <f>GU34*VLOOKUP('Données projet'!$B$18,Paramètres!$A$1:$I$89,3,0)*VLOOKUP('Données projet'!$B$18,Paramètres!$A$1:$I$89,5,0)</f>
        <v>79.557400000000001</v>
      </c>
      <c r="GW34" s="14">
        <f t="shared" si="51"/>
        <v>22.028931210488654</v>
      </c>
      <c r="GX34" s="22">
        <f t="shared" si="28"/>
        <v>176.92952685826774</v>
      </c>
      <c r="GY34" s="62">
        <f t="shared" si="29"/>
        <v>470.26286019160102</v>
      </c>
      <c r="GZ34" s="62">
        <f ca="1">AVERAGE(OFFSET($GY$3,0,0,'Données projet'!$E$18+1,1))-AVERAGE(OFFSET($H$3,0,0,'Données projet'!$E$18+1,1))</f>
        <v>441.17479680509746</v>
      </c>
      <c r="HA34" s="62">
        <f t="shared" si="52"/>
        <v>198.56576128410069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19.857142857142858</v>
      </c>
      <c r="N35" s="14">
        <f>IF('Données projet'!$A$36&gt;35,N34+M35-V34,IF(A35&lt;'Données projet'!$A$36,$K$205^A35,IF(A35='Données projet'!$A$36,'Données projet'!$B$36,N34+M35-V34)))</f>
        <v>295.42857142857139</v>
      </c>
      <c r="O35" s="14">
        <f>N35*VLOOKUP('Données projet'!$B$9,Paramètres!$A$1:$I$89,3,0)*VLOOKUP('Données projet'!$B$9,Paramètres!$A$1:$I$89,5,0)</f>
        <v>165.14457142857142</v>
      </c>
      <c r="P35" s="14">
        <f t="shared" si="33"/>
        <v>42.000741952671746</v>
      </c>
      <c r="Q35" s="22">
        <f t="shared" ref="Q35:Q66" si="53">(O35+P35)*0.475*44/12</f>
        <v>360.77808747233183</v>
      </c>
      <c r="R35" s="62">
        <f t="shared" si="0"/>
        <v>654.11142080566515</v>
      </c>
      <c r="S35" s="62">
        <f ca="1">AVERAGE(OFFSET($R$3,0,0,'Données projet'!$E$9+1,1))-AVERAGE(OFFSET($H$3,0,0,'Données projet'!$E$9+1,1))</f>
        <v>374.79806286316051</v>
      </c>
      <c r="T35" s="62">
        <f t="shared" si="34"/>
        <v>350.01856672839466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6.9811332104304276</v>
      </c>
      <c r="AB35" s="23">
        <f>EXP(-LN(2)/2)*AB34+(1-EXP(-LN(2)/2))/(LN(2)/2)*V35*Y35*VLOOKUP('Données projet'!$B$9,Paramètres!$A$1:$I$89,3,0)*0.475*44/12</f>
        <v>4.4912219539349554</v>
      </c>
      <c r="AC35" s="24">
        <f t="shared" si="3"/>
        <v>11.472355164365382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10.4</v>
      </c>
      <c r="AI35" s="14">
        <f>IF('Données projet'!$A$62&gt;35,AI34+AH35-AQ34,IF(A35&lt;'Données projet'!$A$62,$AF$205^A35,IF(A35='Données projet'!$A$62,'Données projet'!$B$62,AI34+AH35-AQ34)))</f>
        <v>157.80000000000004</v>
      </c>
      <c r="AJ35" s="14">
        <f>AI35*VLOOKUP('Données projet'!$B$10,Paramètres!$A$1:$I$89,3,0)*VLOOKUP('Données projet'!$B$10,Paramètres!$A$1:$I$89,5,0)</f>
        <v>137.85408000000007</v>
      </c>
      <c r="AK35" s="14">
        <f t="shared" si="35"/>
        <v>35.804964283629992</v>
      </c>
      <c r="AL35" s="22">
        <f t="shared" si="4"/>
        <v>302.45616879398904</v>
      </c>
      <c r="AM35" s="62">
        <f t="shared" si="5"/>
        <v>595.78950212732229</v>
      </c>
      <c r="AN35" s="62">
        <f ca="1">AVERAGE(OFFSET($AM$3,0,0,'Données projet'!$E$10+1,1))-AVERAGE(OFFSET($H$3,0,0,'Données projet'!$E$10+1,1))</f>
        <v>401.89597032936751</v>
      </c>
      <c r="AO35" s="62">
        <f t="shared" si="36"/>
        <v>417.85733543972361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8.6</v>
      </c>
      <c r="BD35" s="13">
        <f>IF('Données projet'!$A$88&gt;35,BD34+BC35-BL34,IF(A35&lt;'Données projet'!$A$88,$BA$205^A35,IF(A35='Données projet'!$A$88,'Données projet'!$B$88,BD34+BC35-BL34)))</f>
        <v>114.19999999999999</v>
      </c>
      <c r="BE35" s="14">
        <f>BD35*VLOOKUP('Données projet'!$B$11,Paramètres!$A$1:$I$89,3,0)*VLOOKUP('Données projet'!$B$11,Paramètres!$A$1:$I$89,5,0)</f>
        <v>103.32815999999998</v>
      </c>
      <c r="BF35" s="14">
        <f t="shared" si="37"/>
        <v>27.753368651496011</v>
      </c>
      <c r="BG35" s="22">
        <f t="shared" si="7"/>
        <v>228.30032906802219</v>
      </c>
      <c r="BH35" s="62">
        <f t="shared" si="8"/>
        <v>521.63366240135554</v>
      </c>
      <c r="BI35" s="62">
        <f ca="1">AVERAGE(OFFSET($BH$3,0,0,'Données projet'!$E$11+1,1))-AVERAGE(OFFSET($H$3,0,0,'Données projet'!$E$11+1,1))</f>
        <v>430.40491895612814</v>
      </c>
      <c r="BJ35" s="62">
        <f t="shared" si="38"/>
        <v>231.36959598460686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6.4102564102564088</v>
      </c>
      <c r="BY35" s="13">
        <f>IF('Données projet'!$A$114&gt;35,BY34+BX35-CG34,IF(A35&lt;'Données projet'!$A$114,$BV$205^A35,IF(A35='Données projet'!$A$114,'Données projet'!$B$114,BY34+BX35-CG34)))</f>
        <v>103.84615384615384</v>
      </c>
      <c r="BZ35" s="14">
        <f>BY35*VLOOKUP('Données projet'!$B$12,Paramètres!$A$1:$I$89,3,0)*VLOOKUP('Données projet'!$B$12,Paramètres!$A$1:$I$89,5,0)</f>
        <v>98.82</v>
      </c>
      <c r="CA35" s="14">
        <f t="shared" si="39"/>
        <v>26.680684905958366</v>
      </c>
      <c r="CB35" s="22">
        <f t="shared" si="10"/>
        <v>218.58035954454417</v>
      </c>
      <c r="CC35" s="62">
        <f t="shared" si="11"/>
        <v>511.91369287787745</v>
      </c>
      <c r="CD35" s="62">
        <f ca="1">AVERAGE(OFFSET($CC$3,0,0,'Données projet'!$E$12+1,1))-AVERAGE(OFFSET($H$3,0,0,'Données projet'!$E$12+1,1))</f>
        <v>367.11183928586667</v>
      </c>
      <c r="CE35" s="62">
        <f t="shared" si="40"/>
        <v>281.52963027844595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19.2</v>
      </c>
      <c r="CT35" s="13">
        <f>IF('Données projet'!$A$140&gt;35,CT34+CS35-DB34,IF(A35&lt;'Données projet'!$A$140,$CQ$205^A35,IF(A35='Données projet'!$A$140,'Données projet'!$B$140,CT34+CS35-DB34)))</f>
        <v>186.39999999999992</v>
      </c>
      <c r="CU35" s="18">
        <f>CT35*VLOOKUP('Données projet'!$B$13,Paramètres!$A$1:$I$89,3,0)*VLOOKUP('Données projet'!$B$13,Paramètres!$A$1:$I$89,5,0)</f>
        <v>111.46719999999996</v>
      </c>
      <c r="CV35" s="14">
        <f t="shared" si="41"/>
        <v>29.676401310795534</v>
      </c>
      <c r="CW35" s="22">
        <f t="shared" si="13"/>
        <v>245.82510561630218</v>
      </c>
      <c r="CX35" s="62">
        <f t="shared" si="14"/>
        <v>539.15843894963552</v>
      </c>
      <c r="CY35" s="62">
        <f ca="1">AVERAGE(OFFSET($CX$3,0,0,'Données projet'!$E$13+1,1))-AVERAGE(OFFSET($H$3,0,0,'Données projet'!$E$13+1,1))</f>
        <v>308.47522272937135</v>
      </c>
      <c r="CZ35" s="62">
        <f t="shared" si="42"/>
        <v>302.54354650449721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3.6330389325150803</v>
      </c>
      <c r="DH35" s="23">
        <f>EXP(-LN(2)/2)*DH34+(1-EXP(-LN(2)/2))/(LN(2)/2)*DB35*DE35*VLOOKUP('Données projet'!$B$13,Paramètres!$A$1:$I$89,3,0)*0.475*44/12</f>
        <v>8.6368104670476953</v>
      </c>
      <c r="DI35" s="24">
        <f t="shared" si="15"/>
        <v>12.269849399562776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12.919999999999998</v>
      </c>
      <c r="DO35" s="13">
        <f>IF('Données projet'!$A$166&gt;35,DO34+DN35-DW34,IF(A35&lt;'Données projet'!$A$166,$DL$205^A35,IF(A35='Données projet'!$A$166,'Données projet'!$B$166,DO34+DN35-DW34)))</f>
        <v>167.63999999999993</v>
      </c>
      <c r="DP35" s="18">
        <f>DO35*VLOOKUP('Données projet'!$B$14,Paramètres!$A$1:$I$89,3,0)*VLOOKUP('Données projet'!$B$14,Paramètres!$A$1:$I$89,5,0)</f>
        <v>133.37438399999996</v>
      </c>
      <c r="DQ35" s="14">
        <f t="shared" si="43"/>
        <v>34.774913711031935</v>
      </c>
      <c r="DR35" s="22">
        <f t="shared" si="16"/>
        <v>292.86002684671388</v>
      </c>
      <c r="DS35" s="62">
        <f t="shared" si="17"/>
        <v>586.19336018004719</v>
      </c>
      <c r="DT35" s="62">
        <f ca="1">AVERAGE(OFFSET($DS$3,0,0,'Données projet'!$E$14+1,1))-AVERAGE(OFFSET($H$3,0,0,'Données projet'!$E$14+1,1))</f>
        <v>370.58277541710277</v>
      </c>
      <c r="DU35" s="62">
        <f t="shared" si="44"/>
        <v>404.61777090709171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12.833333333333334</v>
      </c>
      <c r="EJ35" s="13">
        <f>IF('Données projet'!$A$192&gt;35,EJ34+EI35-ER34,IF(A35&lt;'Données projet'!$A$192,$EG$205^A35,IF(A35='Données projet'!$A$192,'Données projet'!$B$192,EJ34+EI35-ER34)))</f>
        <v>196.66666666666663</v>
      </c>
      <c r="EK35" s="18">
        <f>EJ35*VLOOKUP('Données projet'!$B$15,Paramètres!$A$1:$I$89,3,0)*VLOOKUP('Données projet'!$B$15,Paramètres!$A$1:$I$89,5,0)</f>
        <v>122.71999999999997</v>
      </c>
      <c r="EL35" s="14">
        <f t="shared" si="45"/>
        <v>32.308564708068729</v>
      </c>
      <c r="EM35" s="22">
        <f t="shared" si="19"/>
        <v>270.00808353321963</v>
      </c>
      <c r="EN35" s="62">
        <f t="shared" si="20"/>
        <v>563.34141686655289</v>
      </c>
      <c r="EO35" s="62">
        <f ca="1">AVERAGE(OFFSET($EN$3,0,0,'Données projet'!$E$15+1,1))-AVERAGE(OFFSET($H$3,0,0,'Données projet'!$E$15+1,1))</f>
        <v>240.22884864766218</v>
      </c>
      <c r="EP35" s="62">
        <f t="shared" si="46"/>
        <v>343.23776884143166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9.74011200054988</v>
      </c>
      <c r="EX35" s="23">
        <f>EXP(-LN(2)/2)*EX34+(1-EXP(-LN(2)/2))/(LN(2)/2)*ER35*EU35*VLOOKUP('Données projet'!$B$15,Paramètres!$A$1:$I$89,3,0)*0.475*44/12</f>
        <v>8.2594099405033994</v>
      </c>
      <c r="EY35" s="24">
        <f t="shared" si="21"/>
        <v>17.999521941053281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14.6</v>
      </c>
      <c r="FE35" s="13">
        <f>IF('Données projet'!$A$218&gt;35,FE34+FD35-FM34,IF(A35&lt;'Données projet'!$A$218,$FB$205^A35,IF(A35='Données projet'!$A$218,'Données projet'!$B$218,FE34+FD35-FM34)))</f>
        <v>150.19999999999996</v>
      </c>
      <c r="FF35" s="18">
        <f>FE35*VLOOKUP('Données projet'!$B$16,Paramètres!$A$1:$I$89,3,0)*VLOOKUP('Données projet'!$B$16,Paramètres!$A$1:$I$89,5,0)</f>
        <v>70.293599999999984</v>
      </c>
      <c r="FG35" s="14">
        <f t="shared" si="47"/>
        <v>19.746351028689723</v>
      </c>
      <c r="FH35" s="22">
        <f t="shared" si="22"/>
        <v>156.8195813749679</v>
      </c>
      <c r="FI35" s="62">
        <f t="shared" si="23"/>
        <v>450.15291470830118</v>
      </c>
      <c r="FJ35" s="62">
        <f ca="1">AVERAGE(OFFSET($FI$3,0,0,'Données projet'!$E$16+1,1))-AVERAGE(OFFSET($H$3,0,0,'Données projet'!$E$16+1,1))</f>
        <v>399.92909819003523</v>
      </c>
      <c r="FK35" s="62">
        <f t="shared" si="48"/>
        <v>163.7053537268381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12.919999999999998</v>
      </c>
      <c r="FZ35" s="13">
        <f>IF('Données projet'!$A$244&gt;35,FZ34+FY35-GH34,IF(A35&lt;'Données projet'!$A$244,$FW$205^A35,IF(A35='Données projet'!$A$244,'Données projet'!$B$244,FZ34+FY35-GH34)))</f>
        <v>167.63999999999993</v>
      </c>
      <c r="GA35" s="18">
        <f>FZ35*VLOOKUP('Données projet'!$B$17,Paramètres!$A$1:$I$89,3,0)*VLOOKUP('Données projet'!$B$17,Paramètres!$A$1:$I$89,5,0)</f>
        <v>122.91364799999994</v>
      </c>
      <c r="GB35" s="14">
        <f t="shared" si="49"/>
        <v>32.353608109504151</v>
      </c>
      <c r="GC35" s="22">
        <f t="shared" si="25"/>
        <v>270.42380439071962</v>
      </c>
      <c r="GD35" s="62">
        <f t="shared" si="26"/>
        <v>563.75713772405288</v>
      </c>
      <c r="GE35" s="62">
        <f ca="1">AVERAGE(OFFSET($GD$3,0,0,'Données projet'!$E$17+1,1))-AVERAGE(OFFSET($H$3,0,0,'Données projet'!$E$17+1,1))</f>
        <v>344.4426665022238</v>
      </c>
      <c r="GF35" s="62">
        <f t="shared" si="50"/>
        <v>376.41441893222185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14.4</v>
      </c>
      <c r="GU35" s="13">
        <f>IF('Données projet'!$A$270&gt;35,GU34+GT35-HC34,IF(A35&lt;'Données projet'!$A$270,$GR$205^A35,IF(A35='Données projet'!$A$270,'Données projet'!$B$270,GU34+GT35-HC34)))</f>
        <v>179.8</v>
      </c>
      <c r="GV35" s="18">
        <f>GU35*VLOOKUP('Données projet'!$B$18,Paramètres!$A$1:$I$89,3,0)*VLOOKUP('Données projet'!$B$18,Paramètres!$A$1:$I$89,5,0)</f>
        <v>86.483800000000016</v>
      </c>
      <c r="GW35" s="14">
        <f t="shared" si="51"/>
        <v>23.715245353330616</v>
      </c>
      <c r="GX35" s="22">
        <f t="shared" si="28"/>
        <v>191.93000399038419</v>
      </c>
      <c r="GY35" s="62">
        <f t="shared" si="29"/>
        <v>485.26333732371751</v>
      </c>
      <c r="GZ35" s="62">
        <f ca="1">AVERAGE(OFFSET($GY$3,0,0,'Données projet'!$E$18+1,1))-AVERAGE(OFFSET($H$3,0,0,'Données projet'!$E$18+1,1))</f>
        <v>441.17479680509746</v>
      </c>
      <c r="HA35" s="62">
        <f t="shared" si="52"/>
        <v>198.56576128410069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19.857142857142858</v>
      </c>
      <c r="N36" s="14">
        <f>IF('Données projet'!$A$36&gt;35,N35+M36-V35,IF(A36&lt;'Données projet'!$A$36,$K$205^A36,IF(A36='Données projet'!$A$36,'Données projet'!$B$36,N35+M36-V35)))</f>
        <v>315.28571428571422</v>
      </c>
      <c r="O36" s="14">
        <f>N36*VLOOKUP('Données projet'!$B$9,Paramètres!$A$1:$I$89,3,0)*VLOOKUP('Données projet'!$B$9,Paramètres!$A$1:$I$89,5,0)</f>
        <v>176.24471428571425</v>
      </c>
      <c r="P36" s="14">
        <f t="shared" si="33"/>
        <v>44.485681868533291</v>
      </c>
      <c r="Q36" s="22">
        <f t="shared" si="53"/>
        <v>384.43877330198114</v>
      </c>
      <c r="R36" s="62">
        <f t="shared" si="0"/>
        <v>677.77210663531446</v>
      </c>
      <c r="S36" s="62">
        <f ca="1">AVERAGE(OFFSET($R$3,0,0,'Données projet'!$E$9+1,1))-AVERAGE(OFFSET($H$3,0,0,'Données projet'!$E$9+1,1))</f>
        <v>374.79806286316051</v>
      </c>
      <c r="T36" s="62">
        <f t="shared" si="34"/>
        <v>350.01856672839466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6.7902337556693677</v>
      </c>
      <c r="AB36" s="23">
        <f>EXP(-LN(2)/2)*AB35+(1-EXP(-LN(2)/2))/(LN(2)/2)*V36*Y36*VLOOKUP('Données projet'!$B$9,Paramètres!$A$1:$I$89,3,0)*0.475*44/12</f>
        <v>3.1757734994413029</v>
      </c>
      <c r="AC36" s="24">
        <f t="shared" si="3"/>
        <v>9.9660072551106715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10.4</v>
      </c>
      <c r="AI36" s="14">
        <f>IF('Données projet'!$A$62&gt;35,AI35+AH36-AQ35,IF(A36&lt;'Données projet'!$A$62,$AF$205^A36,IF(A36='Données projet'!$A$62,'Données projet'!$B$62,AI35+AH36-AQ35)))</f>
        <v>168.20000000000005</v>
      </c>
      <c r="AJ36" s="14">
        <f>AI36*VLOOKUP('Données projet'!$B$10,Paramètres!$A$1:$I$89,3,0)*VLOOKUP('Données projet'!$B$10,Paramètres!$A$1:$I$89,5,0)</f>
        <v>146.93952000000007</v>
      </c>
      <c r="AK36" s="14">
        <f t="shared" si="35"/>
        <v>37.882248330654257</v>
      </c>
      <c r="AL36" s="22">
        <f t="shared" si="4"/>
        <v>321.89791317588958</v>
      </c>
      <c r="AM36" s="62">
        <f t="shared" si="5"/>
        <v>615.23124650922296</v>
      </c>
      <c r="AN36" s="62">
        <f ca="1">AVERAGE(OFFSET($AM$3,0,0,'Données projet'!$E$10+1,1))-AVERAGE(OFFSET($H$3,0,0,'Données projet'!$E$10+1,1))</f>
        <v>401.89597032936751</v>
      </c>
      <c r="AO36" s="62">
        <f t="shared" si="36"/>
        <v>417.85733543972361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8.6</v>
      </c>
      <c r="BD36" s="13">
        <f>IF('Données projet'!$A$88&gt;35,BD35+BC36-BL35,IF(A36&lt;'Données projet'!$A$88,$BA$205^A36,IF(A36='Données projet'!$A$88,'Données projet'!$B$88,BD35+BC36-BL35)))</f>
        <v>122.79999999999998</v>
      </c>
      <c r="BE36" s="14">
        <f>BD36*VLOOKUP('Données projet'!$B$11,Paramètres!$A$1:$I$89,3,0)*VLOOKUP('Données projet'!$B$11,Paramètres!$A$1:$I$89,5,0)</f>
        <v>111.10943999999999</v>
      </c>
      <c r="BF36" s="14">
        <f t="shared" si="37"/>
        <v>29.592224426586235</v>
      </c>
      <c r="BG36" s="22">
        <f t="shared" si="7"/>
        <v>245.05539887630434</v>
      </c>
      <c r="BH36" s="62">
        <f t="shared" si="8"/>
        <v>538.38873220963762</v>
      </c>
      <c r="BI36" s="62">
        <f ca="1">AVERAGE(OFFSET($BH$3,0,0,'Données projet'!$E$11+1,1))-AVERAGE(OFFSET($H$3,0,0,'Données projet'!$E$11+1,1))</f>
        <v>430.40491895612814</v>
      </c>
      <c r="BJ36" s="62">
        <f t="shared" si="38"/>
        <v>231.36959598460686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6.4102564102564088</v>
      </c>
      <c r="BY36" s="13">
        <f>IF('Données projet'!$A$114&gt;35,BY35+BX36-CG35,IF(A36&lt;'Données projet'!$A$114,$BV$205^A36,IF(A36='Données projet'!$A$114,'Données projet'!$B$114,BY35+BX36-CG35)))</f>
        <v>110.25641025641025</v>
      </c>
      <c r="BZ36" s="14">
        <f>BY36*VLOOKUP('Données projet'!$B$12,Paramètres!$A$1:$I$89,3,0)*VLOOKUP('Données projet'!$B$12,Paramètres!$A$1:$I$89,5,0)</f>
        <v>104.91999999999999</v>
      </c>
      <c r="CA36" s="14">
        <f t="shared" si="39"/>
        <v>28.130823299932707</v>
      </c>
      <c r="CB36" s="22">
        <f t="shared" si="10"/>
        <v>231.73018391404943</v>
      </c>
      <c r="CC36" s="62">
        <f t="shared" si="11"/>
        <v>525.06351724738272</v>
      </c>
      <c r="CD36" s="62">
        <f ca="1">AVERAGE(OFFSET($CC$3,0,0,'Données projet'!$E$12+1,1))-AVERAGE(OFFSET($H$3,0,0,'Données projet'!$E$12+1,1))</f>
        <v>367.11183928586667</v>
      </c>
      <c r="CE36" s="62">
        <f t="shared" si="40"/>
        <v>281.52963027844595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19.2</v>
      </c>
      <c r="CT36" s="13">
        <f>IF('Données projet'!$A$140&gt;35,CT35+CS36-DB35,IF(A36&lt;'Données projet'!$A$140,$CQ$205^A36,IF(A36='Données projet'!$A$140,'Données projet'!$B$140,CT35+CS36-DB35)))</f>
        <v>205.59999999999991</v>
      </c>
      <c r="CU36" s="18">
        <f>CT36*VLOOKUP('Données projet'!$B$13,Paramètres!$A$1:$I$89,3,0)*VLOOKUP('Données projet'!$B$13,Paramètres!$A$1:$I$89,5,0)</f>
        <v>122.94879999999996</v>
      </c>
      <c r="CV36" s="14">
        <f t="shared" si="41"/>
        <v>32.361783737668198</v>
      </c>
      <c r="CW36" s="22">
        <f t="shared" si="13"/>
        <v>270.49926667643871</v>
      </c>
      <c r="CX36" s="62">
        <f t="shared" si="14"/>
        <v>563.83260000977202</v>
      </c>
      <c r="CY36" s="62">
        <f ca="1">AVERAGE(OFFSET($CX$3,0,0,'Données projet'!$E$13+1,1))-AVERAGE(OFFSET($H$3,0,0,'Données projet'!$E$13+1,1))</f>
        <v>308.47522272937135</v>
      </c>
      <c r="CZ36" s="62">
        <f t="shared" si="42"/>
        <v>302.54354650449721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3.5336932918522415</v>
      </c>
      <c r="DH36" s="23">
        <f>EXP(-LN(2)/2)*DH35+(1-EXP(-LN(2)/2))/(LN(2)/2)*DB36*DE36*VLOOKUP('Données projet'!$B$13,Paramètres!$A$1:$I$89,3,0)*0.475*44/12</f>
        <v>6.1071472490723782</v>
      </c>
      <c r="DI36" s="24">
        <f t="shared" si="15"/>
        <v>9.6408405409246196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12.919999999999998</v>
      </c>
      <c r="DO36" s="13">
        <f>IF('Données projet'!$A$166&gt;35,DO35+DN36-DW35,IF(A36&lt;'Données projet'!$A$166,$DL$205^A36,IF(A36='Données projet'!$A$166,'Données projet'!$B$166,DO35+DN36-DW35)))</f>
        <v>180.55999999999992</v>
      </c>
      <c r="DP36" s="18">
        <f>DO36*VLOOKUP('Données projet'!$B$14,Paramètres!$A$1:$I$89,3,0)*VLOOKUP('Données projet'!$B$14,Paramètres!$A$1:$I$89,5,0)</f>
        <v>143.65353599999995</v>
      </c>
      <c r="DQ36" s="14">
        <f t="shared" si="43"/>
        <v>37.132720247116019</v>
      </c>
      <c r="DR36" s="22">
        <f t="shared" si="16"/>
        <v>314.86939629706029</v>
      </c>
      <c r="DS36" s="62">
        <f t="shared" si="17"/>
        <v>608.20272963039361</v>
      </c>
      <c r="DT36" s="62">
        <f ca="1">AVERAGE(OFFSET($DS$3,0,0,'Données projet'!$E$14+1,1))-AVERAGE(OFFSET($H$3,0,0,'Données projet'!$E$14+1,1))</f>
        <v>370.58277541710277</v>
      </c>
      <c r="DU36" s="62">
        <f t="shared" si="44"/>
        <v>404.61777090709171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12.833333333333334</v>
      </c>
      <c r="EJ36" s="13">
        <f>IF('Données projet'!$A$192&gt;35,EJ35+EI36-ER35,IF(A36&lt;'Données projet'!$A$192,$EG$205^A36,IF(A36='Données projet'!$A$192,'Données projet'!$B$192,EJ35+EI36-ER35)))</f>
        <v>209.49999999999997</v>
      </c>
      <c r="EK36" s="18">
        <f>EJ36*VLOOKUP('Données projet'!$B$15,Paramètres!$A$1:$I$89,3,0)*VLOOKUP('Données projet'!$B$15,Paramètres!$A$1:$I$89,5,0)</f>
        <v>130.72799999999998</v>
      </c>
      <c r="EL36" s="14">
        <f t="shared" si="45"/>
        <v>34.164524045585857</v>
      </c>
      <c r="EM36" s="22">
        <f t="shared" si="19"/>
        <v>287.18781271272866</v>
      </c>
      <c r="EN36" s="62">
        <f t="shared" si="20"/>
        <v>580.52114604606197</v>
      </c>
      <c r="EO36" s="62">
        <f ca="1">AVERAGE(OFFSET($EN$3,0,0,'Données projet'!$E$15+1,1))-AVERAGE(OFFSET($H$3,0,0,'Données projet'!$E$15+1,1))</f>
        <v>240.22884864766218</v>
      </c>
      <c r="EP36" s="62">
        <f t="shared" si="46"/>
        <v>343.23776884143166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9.4737681256846145</v>
      </c>
      <c r="EX36" s="23">
        <f>EXP(-LN(2)/2)*EX35+(1-EXP(-LN(2)/2))/(LN(2)/2)*ER36*EU36*VLOOKUP('Données projet'!$B$15,Paramètres!$A$1:$I$89,3,0)*0.475*44/12</f>
        <v>5.8402847775295328</v>
      </c>
      <c r="EY36" s="24">
        <f t="shared" si="21"/>
        <v>15.314052903214147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14.6</v>
      </c>
      <c r="FE36" s="13">
        <f>IF('Données projet'!$A$218&gt;35,FE35+FD36-FM35,IF(A36&lt;'Données projet'!$A$218,$FB$205^A36,IF(A36='Données projet'!$A$218,'Données projet'!$B$218,FE35+FD36-FM35)))</f>
        <v>164.79999999999995</v>
      </c>
      <c r="FF36" s="18">
        <f>FE36*VLOOKUP('Données projet'!$B$16,Paramètres!$A$1:$I$89,3,0)*VLOOKUP('Données projet'!$B$16,Paramètres!$A$1:$I$89,5,0)</f>
        <v>77.126399999999975</v>
      </c>
      <c r="FG36" s="14">
        <f t="shared" si="47"/>
        <v>21.43308513655586</v>
      </c>
      <c r="FH36" s="22">
        <f t="shared" si="22"/>
        <v>171.65776994616806</v>
      </c>
      <c r="FI36" s="62">
        <f t="shared" si="23"/>
        <v>464.99110327950137</v>
      </c>
      <c r="FJ36" s="62">
        <f ca="1">AVERAGE(OFFSET($FI$3,0,0,'Données projet'!$E$16+1,1))-AVERAGE(OFFSET($H$3,0,0,'Données projet'!$E$16+1,1))</f>
        <v>399.92909819003523</v>
      </c>
      <c r="FK36" s="62">
        <f t="shared" si="48"/>
        <v>163.7053537268381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12.919999999999998</v>
      </c>
      <c r="FZ36" s="13">
        <f>IF('Données projet'!$A$244&gt;35,FZ35+FY36-GH35,IF(A36&lt;'Données projet'!$A$244,$FW$205^A36,IF(A36='Données projet'!$A$244,'Données projet'!$B$244,FZ35+FY36-GH35)))</f>
        <v>180.55999999999992</v>
      </c>
      <c r="GA36" s="18">
        <f>FZ36*VLOOKUP('Données projet'!$B$17,Paramètres!$A$1:$I$89,3,0)*VLOOKUP('Données projet'!$B$17,Paramètres!$A$1:$I$89,5,0)</f>
        <v>132.38659199999992</v>
      </c>
      <c r="GB36" s="14">
        <f t="shared" si="49"/>
        <v>34.547245433823143</v>
      </c>
      <c r="GC36" s="22">
        <f t="shared" si="25"/>
        <v>290.74310019724186</v>
      </c>
      <c r="GD36" s="62">
        <f t="shared" si="26"/>
        <v>584.07643353057517</v>
      </c>
      <c r="GE36" s="62">
        <f ca="1">AVERAGE(OFFSET($GD$3,0,0,'Données projet'!$E$17+1,1))-AVERAGE(OFFSET($H$3,0,0,'Données projet'!$E$17+1,1))</f>
        <v>344.4426665022238</v>
      </c>
      <c r="GF36" s="62">
        <f t="shared" si="50"/>
        <v>376.41441893222185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14.4</v>
      </c>
      <c r="GU36" s="13">
        <f>IF('Données projet'!$A$270&gt;35,GU35+GT36-HC35,IF(A36&lt;'Données projet'!$A$270,$GR$205^A36,IF(A36='Données projet'!$A$270,'Données projet'!$B$270,GU35+GT36-HC35)))</f>
        <v>194.20000000000002</v>
      </c>
      <c r="GV36" s="18">
        <f>GU36*VLOOKUP('Données projet'!$B$18,Paramètres!$A$1:$I$89,3,0)*VLOOKUP('Données projet'!$B$18,Paramètres!$A$1:$I$89,5,0)</f>
        <v>93.410200000000003</v>
      </c>
      <c r="GW36" s="14">
        <f t="shared" si="51"/>
        <v>25.385894454022399</v>
      </c>
      <c r="GX36" s="22">
        <f t="shared" si="28"/>
        <v>206.90319784075567</v>
      </c>
      <c r="GY36" s="62">
        <f t="shared" si="29"/>
        <v>500.23653117408901</v>
      </c>
      <c r="GZ36" s="62">
        <f ca="1">AVERAGE(OFFSET($GY$3,0,0,'Données projet'!$E$18+1,1))-AVERAGE(OFFSET($H$3,0,0,'Données projet'!$E$18+1,1))</f>
        <v>441.17479680509746</v>
      </c>
      <c r="HA36" s="62">
        <f t="shared" si="52"/>
        <v>198.56576128410069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19.857142857142858</v>
      </c>
      <c r="N37" s="14">
        <f>IF('Données projet'!$A$36&gt;35,N36+M37-V36,IF(A37&lt;'Données projet'!$A$36,$K$205^A37,IF(A37='Données projet'!$A$36,'Données projet'!$B$36,N36+M37-V36)))</f>
        <v>335.14285714285705</v>
      </c>
      <c r="O37" s="14">
        <f>N37*VLOOKUP('Données projet'!$B$9,Paramètres!$A$1:$I$89,3,0)*VLOOKUP('Données projet'!$B$9,Paramètres!$A$1:$I$89,5,0)</f>
        <v>187.34485714285708</v>
      </c>
      <c r="P37" s="14">
        <f t="shared" si="33"/>
        <v>46.95245853654621</v>
      </c>
      <c r="Q37" s="22">
        <f t="shared" si="53"/>
        <v>408.06782480829406</v>
      </c>
      <c r="R37" s="62">
        <f t="shared" si="0"/>
        <v>701.40115814162732</v>
      </c>
      <c r="S37" s="62">
        <f ca="1">AVERAGE(OFFSET($R$3,0,0,'Données projet'!$E$9+1,1))-AVERAGE(OFFSET($H$3,0,0,'Données projet'!$E$9+1,1))</f>
        <v>374.79806286316051</v>
      </c>
      <c r="T37" s="62">
        <f t="shared" si="34"/>
        <v>350.01856672839466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6.6045544565377146</v>
      </c>
      <c r="AB37" s="23">
        <f>EXP(-LN(2)/2)*AB36+(1-EXP(-LN(2)/2))/(LN(2)/2)*V37*Y37*VLOOKUP('Données projet'!$B$9,Paramètres!$A$1:$I$89,3,0)*0.475*44/12</f>
        <v>2.2456109769674777</v>
      </c>
      <c r="AC37" s="24">
        <f t="shared" si="3"/>
        <v>8.8501654335051931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10.4</v>
      </c>
      <c r="AI37" s="14">
        <f>IF('Données projet'!$A$62&gt;35,AI36+AH37-AQ36,IF(A37&lt;'Données projet'!$A$62,$AF$205^A37,IF(A37='Données projet'!$A$62,'Données projet'!$B$62,AI36+AH37-AQ36)))</f>
        <v>178.60000000000005</v>
      </c>
      <c r="AJ37" s="14">
        <f>AI37*VLOOKUP('Données projet'!$B$10,Paramètres!$A$1:$I$89,3,0)*VLOOKUP('Données projet'!$B$10,Paramètres!$A$1:$I$89,5,0)</f>
        <v>156.02496000000005</v>
      </c>
      <c r="AK37" s="14">
        <f t="shared" si="35"/>
        <v>39.944625507905997</v>
      </c>
      <c r="AL37" s="22">
        <f t="shared" si="4"/>
        <v>341.31369475960304</v>
      </c>
      <c r="AM37" s="62">
        <f t="shared" si="5"/>
        <v>634.64702809293635</v>
      </c>
      <c r="AN37" s="62">
        <f ca="1">AVERAGE(OFFSET($AM$3,0,0,'Données projet'!$E$10+1,1))-AVERAGE(OFFSET($H$3,0,0,'Données projet'!$E$10+1,1))</f>
        <v>401.89597032936751</v>
      </c>
      <c r="AO37" s="62">
        <f t="shared" si="36"/>
        <v>417.85733543972361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8.6</v>
      </c>
      <c r="BD37" s="13">
        <f>IF('Données projet'!$A$88&gt;35,BD36+BC37-BL36,IF(A37&lt;'Données projet'!$A$88,$BA$205^A37,IF(A37='Données projet'!$A$88,'Données projet'!$B$88,BD36+BC37-BL36)))</f>
        <v>131.39999999999998</v>
      </c>
      <c r="BE37" s="14">
        <f>BD37*VLOOKUP('Données projet'!$B$11,Paramètres!$A$1:$I$89,3,0)*VLOOKUP('Données projet'!$B$11,Paramètres!$A$1:$I$89,5,0)</f>
        <v>118.89071999999996</v>
      </c>
      <c r="BF37" s="14">
        <f t="shared" si="37"/>
        <v>31.416138277101783</v>
      </c>
      <c r="BG37" s="22">
        <f t="shared" si="7"/>
        <v>261.78444483261882</v>
      </c>
      <c r="BH37" s="62">
        <f t="shared" si="8"/>
        <v>555.11777816595213</v>
      </c>
      <c r="BI37" s="62">
        <f ca="1">AVERAGE(OFFSET($BH$3,0,0,'Données projet'!$E$11+1,1))-AVERAGE(OFFSET($H$3,0,0,'Données projet'!$E$11+1,1))</f>
        <v>430.40491895612814</v>
      </c>
      <c r="BJ37" s="62">
        <f t="shared" si="38"/>
        <v>231.36959598460686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6.4102564102564088</v>
      </c>
      <c r="BY37" s="13">
        <f>IF('Données projet'!$A$114&gt;35,BY36+BX37-CG36,IF(A37&lt;'Données projet'!$A$114,$BV$205^A37,IF(A37='Données projet'!$A$114,'Données projet'!$B$114,BY36+BX37-CG36)))</f>
        <v>116.66666666666666</v>
      </c>
      <c r="BZ37" s="14">
        <f>BY37*VLOOKUP('Données projet'!$B$12,Paramètres!$A$1:$I$89,3,0)*VLOOKUP('Données projet'!$B$12,Paramètres!$A$1:$I$89,5,0)</f>
        <v>111.02</v>
      </c>
      <c r="CA37" s="14">
        <f t="shared" si="39"/>
        <v>29.571175279490561</v>
      </c>
      <c r="CB37" s="22">
        <f t="shared" si="10"/>
        <v>244.86296361177938</v>
      </c>
      <c r="CC37" s="62">
        <f t="shared" si="11"/>
        <v>538.19629694511264</v>
      </c>
      <c r="CD37" s="62">
        <f ca="1">AVERAGE(OFFSET($CC$3,0,0,'Données projet'!$E$12+1,1))-AVERAGE(OFFSET($H$3,0,0,'Données projet'!$E$12+1,1))</f>
        <v>367.11183928586667</v>
      </c>
      <c r="CE37" s="62">
        <f t="shared" si="40"/>
        <v>281.52963027844595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19.2</v>
      </c>
      <c r="CT37" s="13">
        <f>IF('Données projet'!$A$140&gt;35,CT36+CS37-DB36,IF(A37&lt;'Données projet'!$A$140,$CQ$205^A37,IF(A37='Données projet'!$A$140,'Données projet'!$B$140,CT36+CS37-DB36)))</f>
        <v>224.7999999999999</v>
      </c>
      <c r="CU37" s="18">
        <f>CT37*VLOOKUP('Données projet'!$B$13,Paramètres!$A$1:$I$89,3,0)*VLOOKUP('Données projet'!$B$13,Paramètres!$A$1:$I$89,5,0)</f>
        <v>134.43039999999996</v>
      </c>
      <c r="CV37" s="14">
        <f t="shared" si="41"/>
        <v>35.018089455699787</v>
      </c>
      <c r="CW37" s="22">
        <f t="shared" si="13"/>
        <v>295.12278580201036</v>
      </c>
      <c r="CX37" s="62">
        <f t="shared" si="14"/>
        <v>588.45611913534367</v>
      </c>
      <c r="CY37" s="62">
        <f ca="1">AVERAGE(OFFSET($CX$3,0,0,'Données projet'!$E$13+1,1))-AVERAGE(OFFSET($H$3,0,0,'Données projet'!$E$13+1,1))</f>
        <v>308.47522272937135</v>
      </c>
      <c r="CZ37" s="62">
        <f t="shared" si="42"/>
        <v>302.54354650449721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3.437064262957688</v>
      </c>
      <c r="DH37" s="23">
        <f>EXP(-LN(2)/2)*DH36+(1-EXP(-LN(2)/2))/(LN(2)/2)*DB37*DE37*VLOOKUP('Données projet'!$B$13,Paramètres!$A$1:$I$89,3,0)*0.475*44/12</f>
        <v>4.3184052335238476</v>
      </c>
      <c r="DI37" s="24">
        <f t="shared" si="15"/>
        <v>7.7554694964815356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12.919999999999998</v>
      </c>
      <c r="DO37" s="13">
        <f>IF('Données projet'!$A$166&gt;35,DO36+DN37-DW36,IF(A37&lt;'Données projet'!$A$166,$DL$205^A37,IF(A37='Données projet'!$A$166,'Données projet'!$B$166,DO36+DN37-DW36)))</f>
        <v>193.4799999999999</v>
      </c>
      <c r="DP37" s="18">
        <f>DO37*VLOOKUP('Données projet'!$B$14,Paramètres!$A$1:$I$89,3,0)*VLOOKUP('Données projet'!$B$14,Paramètres!$A$1:$I$89,5,0)</f>
        <v>153.93268799999993</v>
      </c>
      <c r="DQ37" s="14">
        <f t="shared" si="43"/>
        <v>39.470952496040077</v>
      </c>
      <c r="DR37" s="22">
        <f t="shared" si="16"/>
        <v>336.84467386393629</v>
      </c>
      <c r="DS37" s="62">
        <f t="shared" si="17"/>
        <v>630.17800719726961</v>
      </c>
      <c r="DT37" s="62">
        <f ca="1">AVERAGE(OFFSET($DS$3,0,0,'Données projet'!$E$14+1,1))-AVERAGE(OFFSET($H$3,0,0,'Données projet'!$E$14+1,1))</f>
        <v>370.58277541710277</v>
      </c>
      <c r="DU37" s="62">
        <f t="shared" si="44"/>
        <v>404.61777090709171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12.833333333333334</v>
      </c>
      <c r="EJ37" s="13">
        <f>IF('Données projet'!$A$192&gt;35,EJ36+EI37-ER36,IF(A37&lt;'Données projet'!$A$192,$EG$205^A37,IF(A37='Données projet'!$A$192,'Données projet'!$B$192,EJ36+EI37-ER36)))</f>
        <v>222.33333333333331</v>
      </c>
      <c r="EK37" s="18">
        <f>EJ37*VLOOKUP('Données projet'!$B$15,Paramètres!$A$1:$I$89,3,0)*VLOOKUP('Données projet'!$B$15,Paramètres!$A$1:$I$89,5,0)</f>
        <v>138.73599999999999</v>
      </c>
      <c r="EL37" s="14">
        <f t="shared" si="45"/>
        <v>36.007288175538044</v>
      </c>
      <c r="EM37" s="22">
        <f t="shared" si="19"/>
        <v>304.34456023906205</v>
      </c>
      <c r="EN37" s="62">
        <f t="shared" si="20"/>
        <v>597.67789357239531</v>
      </c>
      <c r="EO37" s="62">
        <f ca="1">AVERAGE(OFFSET($EN$3,0,0,'Données projet'!$E$15+1,1))-AVERAGE(OFFSET($H$3,0,0,'Données projet'!$E$15+1,1))</f>
        <v>240.22884864766218</v>
      </c>
      <c r="EP37" s="62">
        <f t="shared" si="46"/>
        <v>343.23776884143166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9.2147074380839555</v>
      </c>
      <c r="EX37" s="23">
        <f>EXP(-LN(2)/2)*EX36+(1-EXP(-LN(2)/2))/(LN(2)/2)*ER37*EU37*VLOOKUP('Données projet'!$B$15,Paramètres!$A$1:$I$89,3,0)*0.475*44/12</f>
        <v>4.1297049702516997</v>
      </c>
      <c r="EY37" s="24">
        <f t="shared" si="21"/>
        <v>13.344412408335655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14.6</v>
      </c>
      <c r="FE37" s="13">
        <f>IF('Données projet'!$A$218&gt;35,FE36+FD37-FM36,IF(A37&lt;'Données projet'!$A$218,$FB$205^A37,IF(A37='Données projet'!$A$218,'Données projet'!$B$218,FE36+FD37-FM36)))</f>
        <v>179.39999999999995</v>
      </c>
      <c r="FF37" s="18">
        <f>FE37*VLOOKUP('Données projet'!$B$16,Paramètres!$A$1:$I$89,3,0)*VLOOKUP('Données projet'!$B$16,Paramètres!$A$1:$I$89,5,0)</f>
        <v>83.959199999999967</v>
      </c>
      <c r="FG37" s="14">
        <f t="shared" si="47"/>
        <v>23.10249088081062</v>
      </c>
      <c r="FH37" s="22">
        <f t="shared" si="22"/>
        <v>186.46577828407843</v>
      </c>
      <c r="FI37" s="62">
        <f t="shared" si="23"/>
        <v>479.79911161741177</v>
      </c>
      <c r="FJ37" s="62">
        <f ca="1">AVERAGE(OFFSET($FI$3,0,0,'Données projet'!$E$16+1,1))-AVERAGE(OFFSET($H$3,0,0,'Données projet'!$E$16+1,1))</f>
        <v>399.92909819003523</v>
      </c>
      <c r="FK37" s="62">
        <f t="shared" si="48"/>
        <v>163.7053537268381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12.919999999999998</v>
      </c>
      <c r="FZ37" s="13">
        <f>IF('Données projet'!$A$244&gt;35,FZ36+FY37-GH36,IF(A37&lt;'Données projet'!$A$244,$FW$205^A37,IF(A37='Données projet'!$A$244,'Données projet'!$B$244,FZ36+FY37-GH36)))</f>
        <v>193.4799999999999</v>
      </c>
      <c r="GA37" s="18">
        <f>FZ37*VLOOKUP('Données projet'!$B$17,Paramètres!$A$1:$I$89,3,0)*VLOOKUP('Données projet'!$B$17,Paramètres!$A$1:$I$89,5,0)</f>
        <v>141.85953599999993</v>
      </c>
      <c r="GB37" s="14">
        <f t="shared" si="49"/>
        <v>36.722671388271863</v>
      </c>
      <c r="GC37" s="22">
        <f t="shared" si="25"/>
        <v>311.03067786790672</v>
      </c>
      <c r="GD37" s="62">
        <f t="shared" si="26"/>
        <v>604.36401120124003</v>
      </c>
      <c r="GE37" s="62">
        <f ca="1">AVERAGE(OFFSET($GD$3,0,0,'Données projet'!$E$17+1,1))-AVERAGE(OFFSET($H$3,0,0,'Données projet'!$E$17+1,1))</f>
        <v>344.4426665022238</v>
      </c>
      <c r="GF37" s="62">
        <f t="shared" si="50"/>
        <v>376.41441893222185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14.4</v>
      </c>
      <c r="GU37" s="13">
        <f>IF('Données projet'!$A$270&gt;35,GU36+GT37-HC36,IF(A37&lt;'Données projet'!$A$270,$GR$205^A37,IF(A37='Données projet'!$A$270,'Données projet'!$B$270,GU36+GT37-HC36)))</f>
        <v>208.60000000000002</v>
      </c>
      <c r="GV37" s="18">
        <f>GU37*VLOOKUP('Données projet'!$B$18,Paramètres!$A$1:$I$89,3,0)*VLOOKUP('Données projet'!$B$18,Paramètres!$A$1:$I$89,5,0)</f>
        <v>100.3366</v>
      </c>
      <c r="GW37" s="14">
        <f t="shared" si="51"/>
        <v>27.042172167015469</v>
      </c>
      <c r="GX37" s="22">
        <f t="shared" si="28"/>
        <v>221.85136152421862</v>
      </c>
      <c r="GY37" s="62">
        <f t="shared" si="29"/>
        <v>515.1846948575519</v>
      </c>
      <c r="GZ37" s="62">
        <f ca="1">AVERAGE(OFFSET($GY$3,0,0,'Données projet'!$E$18+1,1))-AVERAGE(OFFSET($H$3,0,0,'Données projet'!$E$18+1,1))</f>
        <v>441.17479680509746</v>
      </c>
      <c r="HA37" s="62">
        <f t="shared" si="52"/>
        <v>198.56576128410069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355</v>
      </c>
      <c r="L38" s="13">
        <f>VLOOKUP(A38,'Données projet'!$A$35:$I$55,9,0)</f>
        <v>19.857142857142858</v>
      </c>
      <c r="M38" s="13">
        <f t="array" ref="M38">INDEX(L:L,MIN(IF(ISNUMBER(L38:L234),ROW(L38:L234),"")))</f>
        <v>19.857142857142858</v>
      </c>
      <c r="N38" s="14">
        <f>IF('Données projet'!$A$36&gt;35,N37+M38-V37,IF(A38&lt;'Données projet'!$A$36,$K$205^A38,IF(A38='Données projet'!$A$36,'Données projet'!$B$36,N37+M38-V37)))</f>
        <v>354.99999999999989</v>
      </c>
      <c r="O38" s="14">
        <f>N38*VLOOKUP('Données projet'!$B$9,Paramètres!$A$1:$I$89,3,0)*VLOOKUP('Données projet'!$B$9,Paramètres!$A$1:$I$89,5,0)</f>
        <v>198.44499999999994</v>
      </c>
      <c r="P38" s="14">
        <f t="shared" si="33"/>
        <v>49.40227070134226</v>
      </c>
      <c r="Q38" s="22">
        <f t="shared" si="53"/>
        <v>431.66732980483766</v>
      </c>
      <c r="R38" s="62">
        <f t="shared" si="0"/>
        <v>725.00066313817092</v>
      </c>
      <c r="S38" s="62">
        <f ca="1">AVERAGE(OFFSET($R$3,0,0,'Données projet'!$E$9+1,1))-AVERAGE(OFFSET($H$3,0,0,'Données projet'!$E$9+1,1))</f>
        <v>374.79806286316051</v>
      </c>
      <c r="T38" s="62">
        <f t="shared" si="34"/>
        <v>350.01856672839466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73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6.4239525676052667</v>
      </c>
      <c r="AB38" s="23">
        <f>EXP(-LN(2)/2)*AB37+(1-EXP(-LN(2)/2))/(LN(2)/2)*V38*Y38*VLOOKUP('Données projet'!$B$9,Paramètres!$A$1:$I$89,3,0)*0.475*44/12</f>
        <v>1.5878867497206515</v>
      </c>
      <c r="AC38" s="24">
        <f t="shared" si="3"/>
        <v>8.0118393173259186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189</v>
      </c>
      <c r="AG38" s="13">
        <f>VLOOKUP(A38,'Données projet'!$A$61:$I$81,9,0)</f>
        <v>10.4</v>
      </c>
      <c r="AH38" s="13">
        <f t="array" ref="AH38">INDEX(AG:AG,MIN(IF(ISNUMBER(AG38:AG234),ROW(AG38:AG234),"")))</f>
        <v>10.4</v>
      </c>
      <c r="AI38" s="14">
        <f>IF('Données projet'!$A$62&gt;35,AI37+AH38-AQ37,IF(A38&lt;'Données projet'!$A$62,$AF$205^A38,IF(A38='Données projet'!$A$62,'Données projet'!$B$62,AI37+AH38-AQ37)))</f>
        <v>189.00000000000006</v>
      </c>
      <c r="AJ38" s="14">
        <f>AI38*VLOOKUP('Données projet'!$B$10,Paramètres!$A$1:$I$89,3,0)*VLOOKUP('Données projet'!$B$10,Paramètres!$A$1:$I$89,5,0)</f>
        <v>165.11040000000008</v>
      </c>
      <c r="AK38" s="14">
        <f t="shared" si="35"/>
        <v>41.993062739333482</v>
      </c>
      <c r="AL38" s="22">
        <f t="shared" si="4"/>
        <v>360.70519760433928</v>
      </c>
      <c r="AM38" s="62">
        <f t="shared" si="5"/>
        <v>654.03853093767259</v>
      </c>
      <c r="AN38" s="62">
        <f ca="1">AVERAGE(OFFSET($AM$3,0,0,'Données projet'!$E$10+1,1))-AVERAGE(OFFSET($H$3,0,0,'Données projet'!$E$10+1,1))</f>
        <v>401.89597032936751</v>
      </c>
      <c r="AO38" s="62">
        <f t="shared" si="36"/>
        <v>417.85733543972361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140</v>
      </c>
      <c r="BB38" s="13">
        <f>VLOOKUP(A38,'Données projet'!$A$87:$I$107,9,0)</f>
        <v>8.6</v>
      </c>
      <c r="BC38" s="13">
        <f t="array" ref="BC38">INDEX(BB:BB,MIN(IF(ISNUMBER(BB38:BB234),ROW(BB38:BB234),"")))</f>
        <v>8.6</v>
      </c>
      <c r="BD38" s="13">
        <f>IF('Données projet'!$A$88&gt;35,BD37+BC38-BL37,IF(A38&lt;'Données projet'!$A$88,$BA$205^A38,IF(A38='Données projet'!$A$88,'Données projet'!$B$88,BD37+BC38-BL37)))</f>
        <v>139.99999999999997</v>
      </c>
      <c r="BE38" s="14">
        <f>BD38*VLOOKUP('Données projet'!$B$11,Paramètres!$A$1:$I$89,3,0)*VLOOKUP('Données projet'!$B$11,Paramètres!$A$1:$I$89,5,0)</f>
        <v>126.67199999999997</v>
      </c>
      <c r="BF38" s="14">
        <f t="shared" si="37"/>
        <v>33.226199426361319</v>
      </c>
      <c r="BG38" s="22">
        <f t="shared" si="7"/>
        <v>278.48936400091259</v>
      </c>
      <c r="BH38" s="62">
        <f t="shared" si="8"/>
        <v>571.82269733424596</v>
      </c>
      <c r="BI38" s="62">
        <f ca="1">AVERAGE(OFFSET($BH$3,0,0,'Données projet'!$E$11+1,1))-AVERAGE(OFFSET($H$3,0,0,'Données projet'!$E$11+1,1))</f>
        <v>430.40491895612814</v>
      </c>
      <c r="BJ38" s="62">
        <f t="shared" si="38"/>
        <v>231.36959598460686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123.07692307692307</v>
      </c>
      <c r="BW38" s="13">
        <f>VLOOKUP(A38,'Données projet'!$A$113:$I$133,9,0)</f>
        <v>6.4102564102564088</v>
      </c>
      <c r="BX38" s="13">
        <f t="array" ref="BX38">INDEX(BW:BW,MIN(IF(ISNUMBER(BW38:BW234),ROW(BW38:BW234),"")))</f>
        <v>6.4102564102564088</v>
      </c>
      <c r="BY38" s="13">
        <f>IF('Données projet'!$A$114&gt;35,BY37+BX38-CG37,IF(A38&lt;'Données projet'!$A$114,$BV$205^A38,IF(A38='Données projet'!$A$114,'Données projet'!$B$114,BY37+BX38-CG37)))</f>
        <v>123.07692307692307</v>
      </c>
      <c r="BZ38" s="14">
        <f>BY38*VLOOKUP('Données projet'!$B$12,Paramètres!$A$1:$I$89,3,0)*VLOOKUP('Données projet'!$B$12,Paramètres!$A$1:$I$89,5,0)</f>
        <v>117.11999999999999</v>
      </c>
      <c r="CA38" s="14">
        <f t="shared" si="39"/>
        <v>31.002339853075508</v>
      </c>
      <c r="CB38" s="22">
        <f t="shared" si="10"/>
        <v>257.97974191077316</v>
      </c>
      <c r="CC38" s="62">
        <f t="shared" si="11"/>
        <v>551.31307524410647</v>
      </c>
      <c r="CD38" s="62">
        <f ca="1">AVERAGE(OFFSET($CC$3,0,0,'Données projet'!$E$12+1,1))-AVERAGE(OFFSET($H$3,0,0,'Données projet'!$E$12+1,1))</f>
        <v>367.11183928586667</v>
      </c>
      <c r="CE38" s="62">
        <f t="shared" si="40"/>
        <v>281.52963027844595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244</v>
      </c>
      <c r="CR38" s="13">
        <f>VLOOKUP(A38,'Données projet'!$A$139:$I$159,9,0)</f>
        <v>19.2</v>
      </c>
      <c r="CS38" s="13">
        <f t="array" ref="CS38">INDEX(CR:CR,MIN(IF(ISNUMBER(CR38:CR234),ROW(CR38:CR234),"")))</f>
        <v>19.2</v>
      </c>
      <c r="CT38" s="13">
        <f>IF('Données projet'!$A$140&gt;35,CT37+CS38-DB37,IF(A38&lt;'Données projet'!$A$140,$CQ$205^A38,IF(A38='Données projet'!$A$140,'Données projet'!$B$140,CT37+CS38-DB37)))</f>
        <v>243.99999999999989</v>
      </c>
      <c r="CU38" s="18">
        <f>CT38*VLOOKUP('Données projet'!$B$13,Paramètres!$A$1:$I$89,3,0)*VLOOKUP('Données projet'!$B$13,Paramètres!$A$1:$I$89,5,0)</f>
        <v>145.91199999999995</v>
      </c>
      <c r="CV38" s="14">
        <f t="shared" si="41"/>
        <v>37.648084239987597</v>
      </c>
      <c r="CW38" s="22">
        <f t="shared" si="13"/>
        <v>319.70048005131156</v>
      </c>
      <c r="CX38" s="62">
        <f t="shared" si="14"/>
        <v>613.03381338464487</v>
      </c>
      <c r="CY38" s="62">
        <f ca="1">AVERAGE(OFFSET($CX$3,0,0,'Données projet'!$E$13+1,1))-AVERAGE(OFFSET($H$3,0,0,'Données projet'!$E$13+1,1))</f>
        <v>308.47522272937135</v>
      </c>
      <c r="CZ38" s="62">
        <f t="shared" si="42"/>
        <v>302.54354650449721</v>
      </c>
      <c r="DA38" s="16">
        <f>IF(ISNA(VLOOKUP(A38,'Données projet'!$A$139:$I$159,3,0)),0,VLOOKUP(A38,'Données projet'!$A$139:$I$159,3,0))</f>
        <v>5</v>
      </c>
      <c r="DB38" s="16">
        <f>IF(ISNA(VLOOKUP(A38,'Données projet'!$A$139:$I$159,4,0)),0,VLOOKUP(A38,'Données projet'!$A$139:$I$159,4,0))</f>
        <v>52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3.343077559939756</v>
      </c>
      <c r="DH38" s="23">
        <f>EXP(-LN(2)/2)*DH37+(1-EXP(-LN(2)/2))/(LN(2)/2)*DB38*DE38*VLOOKUP('Données projet'!$B$13,Paramètres!$A$1:$I$89,3,0)*0.475*44/12</f>
        <v>3.0535736245361891</v>
      </c>
      <c r="DI38" s="24">
        <f t="shared" si="15"/>
        <v>6.3966511844759451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206.4</v>
      </c>
      <c r="DM38" s="13">
        <f>VLOOKUP(A38,'Données projet'!$A$165:$I$185,9,0)</f>
        <v>12.919999999999998</v>
      </c>
      <c r="DN38" s="13">
        <f t="array" ref="DN38">INDEX(DM:DM,MIN(IF(ISNUMBER(DM38:DM234),ROW(DM38:DM234),"")))</f>
        <v>12.919999999999998</v>
      </c>
      <c r="DO38" s="13">
        <f>IF('Données projet'!$A$166&gt;35,DO37+DN38-DW37,IF(A38&lt;'Données projet'!$A$166,$DL$205^A38,IF(A38='Données projet'!$A$166,'Données projet'!$B$166,DO37+DN38-DW37)))</f>
        <v>206.39999999999989</v>
      </c>
      <c r="DP38" s="18">
        <f>DO38*VLOOKUP('Données projet'!$B$14,Paramètres!$A$1:$I$89,3,0)*VLOOKUP('Données projet'!$B$14,Paramètres!$A$1:$I$89,5,0)</f>
        <v>164.21183999999994</v>
      </c>
      <c r="DQ38" s="14">
        <f t="shared" si="43"/>
        <v>41.79106629541738</v>
      </c>
      <c r="DR38" s="22">
        <f t="shared" si="16"/>
        <v>358.78839513118515</v>
      </c>
      <c r="DS38" s="62">
        <f t="shared" si="17"/>
        <v>652.12172846451847</v>
      </c>
      <c r="DT38" s="62">
        <f ca="1">AVERAGE(OFFSET($DS$3,0,0,'Données projet'!$E$14+1,1))-AVERAGE(OFFSET($H$3,0,0,'Données projet'!$E$14+1,1))</f>
        <v>370.58277541710277</v>
      </c>
      <c r="DU38" s="62">
        <f t="shared" si="44"/>
        <v>404.61777090709171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12.833333333333334</v>
      </c>
      <c r="EJ38" s="13">
        <f>IF('Données projet'!$A$192&gt;35,EJ37+EI38-ER37,IF(A38&lt;'Données projet'!$A$192,$EG$205^A38,IF(A38='Données projet'!$A$192,'Données projet'!$B$192,EJ37+EI38-ER37)))</f>
        <v>235.16666666666666</v>
      </c>
      <c r="EK38" s="18">
        <f>EJ38*VLOOKUP('Données projet'!$B$15,Paramètres!$A$1:$I$89,3,0)*VLOOKUP('Données projet'!$B$15,Paramètres!$A$1:$I$89,5,0)</f>
        <v>146.744</v>
      </c>
      <c r="EL38" s="14">
        <f t="shared" si="45"/>
        <v>37.837705514258651</v>
      </c>
      <c r="EM38" s="22">
        <f t="shared" si="19"/>
        <v>321.47980377066716</v>
      </c>
      <c r="EN38" s="62">
        <f t="shared" si="20"/>
        <v>614.81313710400048</v>
      </c>
      <c r="EO38" s="62">
        <f ca="1">AVERAGE(OFFSET($EN$3,0,0,'Données projet'!$E$15+1,1))-AVERAGE(OFFSET($H$3,0,0,'Données projet'!$E$15+1,1))</f>
        <v>240.22884864766218</v>
      </c>
      <c r="EP38" s="62">
        <f t="shared" si="46"/>
        <v>343.23776884143166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8.9627307786091457</v>
      </c>
      <c r="EX38" s="23">
        <f>EXP(-LN(2)/2)*EX37+(1-EXP(-LN(2)/2))/(LN(2)/2)*ER38*EU38*VLOOKUP('Données projet'!$B$15,Paramètres!$A$1:$I$89,3,0)*0.475*44/12</f>
        <v>2.9201423887647664</v>
      </c>
      <c r="EY38" s="24">
        <f t="shared" si="21"/>
        <v>11.882873167373912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14.6</v>
      </c>
      <c r="FE38" s="13">
        <f>IF('Données projet'!$A$218&gt;35,FE37+FD38-FM37,IF(A38&lt;'Données projet'!$A$218,$FB$205^A38,IF(A38='Données projet'!$A$218,'Données projet'!$B$218,FE37+FD38-FM37)))</f>
        <v>193.99999999999994</v>
      </c>
      <c r="FF38" s="18">
        <f>FE38*VLOOKUP('Données projet'!$B$16,Paramètres!$A$1:$I$89,3,0)*VLOOKUP('Données projet'!$B$16,Paramètres!$A$1:$I$89,5,0)</f>
        <v>90.791999999999973</v>
      </c>
      <c r="FG38" s="14">
        <f t="shared" si="47"/>
        <v>24.756138813110173</v>
      </c>
      <c r="FH38" s="22">
        <f t="shared" si="22"/>
        <v>201.24634176616681</v>
      </c>
      <c r="FI38" s="62">
        <f t="shared" si="23"/>
        <v>494.57967509950015</v>
      </c>
      <c r="FJ38" s="62">
        <f ca="1">AVERAGE(OFFSET($FI$3,0,0,'Données projet'!$E$16+1,1))-AVERAGE(OFFSET($H$3,0,0,'Données projet'!$E$16+1,1))</f>
        <v>399.92909819003523</v>
      </c>
      <c r="FK38" s="62">
        <f t="shared" si="48"/>
        <v>163.7053537268381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206.4</v>
      </c>
      <c r="FX38" s="13">
        <f>VLOOKUP(A38,'Données projet'!$A$243:$I$263,9,0)</f>
        <v>12.919999999999998</v>
      </c>
      <c r="FY38" s="13">
        <f t="array" ref="FY38">INDEX(FX:FX,MIN(IF(ISNUMBER(FX38:FX234),ROW(FX38:FX234),"")))</f>
        <v>12.919999999999998</v>
      </c>
      <c r="FZ38" s="13">
        <f>IF('Données projet'!$A$244&gt;35,FZ37+FY38-GH37,IF(A38&lt;'Données projet'!$A$244,$FW$205^A38,IF(A38='Données projet'!$A$244,'Données projet'!$B$244,FZ37+FY38-GH37)))</f>
        <v>206.39999999999989</v>
      </c>
      <c r="GA38" s="18">
        <f>FZ38*VLOOKUP('Données projet'!$B$17,Paramètres!$A$1:$I$89,3,0)*VLOOKUP('Données projet'!$B$17,Paramètres!$A$1:$I$89,5,0)</f>
        <v>151.33247999999992</v>
      </c>
      <c r="GB38" s="14">
        <f t="shared" si="49"/>
        <v>38.881240443489794</v>
      </c>
      <c r="GC38" s="22">
        <f t="shared" si="25"/>
        <v>331.28889643907786</v>
      </c>
      <c r="GD38" s="62">
        <f t="shared" si="26"/>
        <v>624.62222977241117</v>
      </c>
      <c r="GE38" s="62">
        <f ca="1">AVERAGE(OFFSET($GD$3,0,0,'Données projet'!$E$17+1,1))-AVERAGE(OFFSET($H$3,0,0,'Données projet'!$E$17+1,1))</f>
        <v>344.4426665022238</v>
      </c>
      <c r="GF38" s="62">
        <f t="shared" si="50"/>
        <v>376.41441893222185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14.4</v>
      </c>
      <c r="GU38" s="13">
        <f>IF('Données projet'!$A$270&gt;35,GU37+GT38-HC37,IF(A38&lt;'Données projet'!$A$270,$GR$205^A38,IF(A38='Données projet'!$A$270,'Données projet'!$B$270,GU37+GT38-HC37)))</f>
        <v>223.00000000000003</v>
      </c>
      <c r="GV38" s="18">
        <f>GU38*VLOOKUP('Données projet'!$B$18,Paramètres!$A$1:$I$89,3,0)*VLOOKUP('Données projet'!$B$18,Paramètres!$A$1:$I$89,5,0)</f>
        <v>107.26300000000001</v>
      </c>
      <c r="GW38" s="14">
        <f t="shared" si="51"/>
        <v>28.685183428688116</v>
      </c>
      <c r="GX38" s="22">
        <f t="shared" si="28"/>
        <v>236.77641947163178</v>
      </c>
      <c r="GY38" s="62">
        <f t="shared" si="29"/>
        <v>530.10975280496507</v>
      </c>
      <c r="GZ38" s="62">
        <f ca="1">AVERAGE(OFFSET($GY$3,0,0,'Données projet'!$E$18+1,1))-AVERAGE(OFFSET($H$3,0,0,'Données projet'!$E$18+1,1))</f>
        <v>441.17479680509746</v>
      </c>
      <c r="HA38" s="62">
        <f t="shared" si="52"/>
        <v>198.56576128410069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301.57142857142844</v>
      </c>
      <c r="O39" s="14">
        <f>N39*VLOOKUP('Données projet'!$B$9,Paramètres!$A$1:$I$89,3,0)*VLOOKUP('Données projet'!$B$9,Paramètres!$A$1:$I$89,5,0)</f>
        <v>168.5784285714285</v>
      </c>
      <c r="P39" s="14">
        <f t="shared" si="33"/>
        <v>42.771483439273169</v>
      </c>
      <c r="Q39" s="22">
        <f t="shared" si="53"/>
        <v>368.10109675197208</v>
      </c>
      <c r="R39" s="62">
        <f t="shared" si="0"/>
        <v>661.43443008530539</v>
      </c>
      <c r="S39" s="62">
        <f ca="1">AVERAGE(OFFSET($R$3,0,0,'Données projet'!$E$9+1,1))-AVERAGE(OFFSET($H$3,0,0,'Données projet'!$E$9+1,1))</f>
        <v>374.79806286316051</v>
      </c>
      <c r="T39" s="62">
        <f t="shared" si="34"/>
        <v>350.01856672839466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6.2482892468231173</v>
      </c>
      <c r="AB39" s="23">
        <f>EXP(-LN(2)/2)*AB38+(1-EXP(-LN(2)/2))/(LN(2)/2)*V39*Y39*VLOOKUP('Données projet'!$B$9,Paramètres!$A$1:$I$89,3,0)*0.475*44/12</f>
        <v>1.1228054884837388</v>
      </c>
      <c r="AC39" s="24">
        <f t="shared" si="3"/>
        <v>7.3710947353068565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9.8000000000000007</v>
      </c>
      <c r="AI39" s="14">
        <f>IF('Données projet'!$A$62&gt;35,AI38+AH39-AQ38,IF(A39&lt;'Données projet'!$A$62,$AF$205^A39,IF(A39='Données projet'!$A$62,'Données projet'!$B$62,AI38+AH39-AQ38)))</f>
        <v>198.80000000000007</v>
      </c>
      <c r="AJ39" s="14">
        <f>AI39*VLOOKUP('Données projet'!$B$10,Paramètres!$A$1:$I$89,3,0)*VLOOKUP('Données projet'!$B$10,Paramètres!$A$1:$I$89,5,0)</f>
        <v>173.67168000000007</v>
      </c>
      <c r="AK39" s="14">
        <f t="shared" si="35"/>
        <v>43.911332296264412</v>
      </c>
      <c r="AL39" s="22">
        <f t="shared" si="4"/>
        <v>378.95707974932731</v>
      </c>
      <c r="AM39" s="62">
        <f t="shared" si="5"/>
        <v>672.29041308266062</v>
      </c>
      <c r="AN39" s="62">
        <f ca="1">AVERAGE(OFFSET($AM$3,0,0,'Données projet'!$E$10+1,1))-AVERAGE(OFFSET($H$3,0,0,'Données projet'!$E$10+1,1))</f>
        <v>401.89597032936751</v>
      </c>
      <c r="AO39" s="62">
        <f t="shared" si="36"/>
        <v>417.85733543972361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7.8</v>
      </c>
      <c r="BD39" s="13">
        <f>IF('Données projet'!$A$88&gt;35,BD38+BC39-BL38,IF(A39&lt;'Données projet'!$A$88,$BA$205^A39,IF(A39='Données projet'!$A$88,'Données projet'!$B$88,BD38+BC39-BL38)))</f>
        <v>105.79999999999998</v>
      </c>
      <c r="BE39" s="14">
        <f>BD39*VLOOKUP('Données projet'!$B$11,Paramètres!$A$1:$I$89,3,0)*VLOOKUP('Données projet'!$B$11,Paramètres!$A$1:$I$89,5,0)</f>
        <v>95.727839999999972</v>
      </c>
      <c r="BF39" s="14">
        <f t="shared" si="37"/>
        <v>25.941642560384413</v>
      </c>
      <c r="BG39" s="22">
        <f t="shared" si="7"/>
        <v>211.90768212600278</v>
      </c>
      <c r="BH39" s="62">
        <f t="shared" si="8"/>
        <v>505.2410154593361</v>
      </c>
      <c r="BI39" s="62">
        <f ca="1">AVERAGE(OFFSET($BH$3,0,0,'Données projet'!$E$11+1,1))-AVERAGE(OFFSET($H$3,0,0,'Données projet'!$E$11+1,1))</f>
        <v>430.40491895612814</v>
      </c>
      <c r="BJ39" s="62">
        <f t="shared" si="38"/>
        <v>231.36959598460686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5.8974358974359005</v>
      </c>
      <c r="BY39" s="13">
        <f>IF('Données projet'!$A$114&gt;35,BY38+BX39-CG38,IF(A39&lt;'Données projet'!$A$114,$BV$205^A39,IF(A39='Données projet'!$A$114,'Données projet'!$B$114,BY38+BX39-CG38)))</f>
        <v>128.97435897435898</v>
      </c>
      <c r="BZ39" s="14">
        <f>BY39*VLOOKUP('Données projet'!$B$12,Paramètres!$A$1:$I$89,3,0)*VLOOKUP('Données projet'!$B$12,Paramètres!$A$1:$I$89,5,0)</f>
        <v>122.73200000000001</v>
      </c>
      <c r="CA39" s="14">
        <f t="shared" si="39"/>
        <v>32.311356202721527</v>
      </c>
      <c r="CB39" s="22">
        <f t="shared" si="10"/>
        <v>270.03384538640671</v>
      </c>
      <c r="CC39" s="62">
        <f t="shared" si="11"/>
        <v>563.36717871973997</v>
      </c>
      <c r="CD39" s="62">
        <f ca="1">AVERAGE(OFFSET($CC$3,0,0,'Données projet'!$E$12+1,1))-AVERAGE(OFFSET($H$3,0,0,'Données projet'!$E$12+1,1))</f>
        <v>367.11183928586667</v>
      </c>
      <c r="CE39" s="62">
        <f t="shared" si="40"/>
        <v>281.52963027844595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18.399999999999999</v>
      </c>
      <c r="CT39" s="13">
        <f>IF('Données projet'!$A$140&gt;35,CT38+CS39-DB38,IF(A39&lt;'Données projet'!$A$140,$CQ$205^A39,IF(A39='Données projet'!$A$140,'Données projet'!$B$140,CT38+CS39-DB38)))</f>
        <v>210.39999999999986</v>
      </c>
      <c r="CU39" s="18">
        <f>CT39*VLOOKUP('Données projet'!$B$13,Paramètres!$A$1:$I$89,3,0)*VLOOKUP('Données projet'!$B$13,Paramètres!$A$1:$I$89,5,0)</f>
        <v>125.81919999999992</v>
      </c>
      <c r="CV39" s="14">
        <f t="shared" si="41"/>
        <v>33.028469001524932</v>
      </c>
      <c r="CW39" s="22">
        <f t="shared" si="13"/>
        <v>276.65969017765576</v>
      </c>
      <c r="CX39" s="62">
        <f t="shared" si="14"/>
        <v>569.99302351098913</v>
      </c>
      <c r="CY39" s="62">
        <f ca="1">AVERAGE(OFFSET($CX$3,0,0,'Données projet'!$E$13+1,1))-AVERAGE(OFFSET($H$3,0,0,'Données projet'!$E$13+1,1))</f>
        <v>308.47522272937135</v>
      </c>
      <c r="CZ39" s="62">
        <f t="shared" si="42"/>
        <v>302.54354650449721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3.2516609282583953</v>
      </c>
      <c r="DH39" s="23">
        <f>EXP(-LN(2)/2)*DH38+(1-EXP(-LN(2)/2))/(LN(2)/2)*DB39*DE39*VLOOKUP('Données projet'!$B$13,Paramètres!$A$1:$I$89,3,0)*0.475*44/12</f>
        <v>2.1592026167619238</v>
      </c>
      <c r="DI39" s="24">
        <f t="shared" si="15"/>
        <v>5.4108635450203195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11.340000000000003</v>
      </c>
      <c r="DO39" s="13">
        <f>IF('Données projet'!$A$166&gt;35,DO38+DN39-DW38,IF(A39&lt;'Données projet'!$A$166,$DL$205^A39,IF(A39='Données projet'!$A$166,'Données projet'!$B$166,DO38+DN39-DW38)))</f>
        <v>217.7399999999999</v>
      </c>
      <c r="DP39" s="18">
        <f>DO39*VLOOKUP('Données projet'!$B$14,Paramètres!$A$1:$I$89,3,0)*VLOOKUP('Données projet'!$B$14,Paramètres!$A$1:$I$89,5,0)</f>
        <v>173.23394399999992</v>
      </c>
      <c r="DQ39" s="14">
        <f t="shared" si="43"/>
        <v>43.813523178063591</v>
      </c>
      <c r="DR39" s="22">
        <f t="shared" si="16"/>
        <v>378.02433866846064</v>
      </c>
      <c r="DS39" s="62">
        <f t="shared" si="17"/>
        <v>671.35767200179396</v>
      </c>
      <c r="DT39" s="62">
        <f ca="1">AVERAGE(OFFSET($DS$3,0,0,'Données projet'!$E$14+1,1))-AVERAGE(OFFSET($H$3,0,0,'Données projet'!$E$14+1,1))</f>
        <v>370.58277541710277</v>
      </c>
      <c r="DU39" s="62">
        <f t="shared" si="44"/>
        <v>404.61777090709171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>
        <f>VLOOKUP(A39,'Données projet'!$A$191:$I$211,2,0)</f>
        <v>248</v>
      </c>
      <c r="EH39" s="13">
        <f>VLOOKUP(A39,'Données projet'!$A$191:$I$211,9,0)</f>
        <v>12.833333333333334</v>
      </c>
      <c r="EI39" s="13">
        <f t="array" ref="EI39">INDEX(EH:EH,MIN(IF(ISNUMBER(EH39:EH235),ROW(EH39:EH235),"")))</f>
        <v>12.833333333333334</v>
      </c>
      <c r="EJ39" s="13">
        <f>IF('Données projet'!$A$192&gt;35,EJ38+EI39-ER38,IF(A39&lt;'Données projet'!$A$192,$EG$205^A39,IF(A39='Données projet'!$A$192,'Données projet'!$B$192,EJ38+EI39-ER38)))</f>
        <v>248</v>
      </c>
      <c r="EK39" s="18">
        <f>EJ39*VLOOKUP('Données projet'!$B$15,Paramètres!$A$1:$I$89,3,0)*VLOOKUP('Données projet'!$B$15,Paramètres!$A$1:$I$89,5,0)</f>
        <v>154.75199999999998</v>
      </c>
      <c r="EL39" s="14">
        <f t="shared" si="45"/>
        <v>39.656526650076415</v>
      </c>
      <c r="EM39" s="22">
        <f t="shared" si="19"/>
        <v>338.5948505822164</v>
      </c>
      <c r="EN39" s="62">
        <f t="shared" si="20"/>
        <v>631.92818391554965</v>
      </c>
      <c r="EO39" s="62">
        <f ca="1">AVERAGE(OFFSET($EN$3,0,0,'Données projet'!$E$15+1,1))-AVERAGE(OFFSET($H$3,0,0,'Données projet'!$E$15+1,1))</f>
        <v>240.22884864766218</v>
      </c>
      <c r="EP39" s="62">
        <f t="shared" si="46"/>
        <v>343.23776884143166</v>
      </c>
      <c r="EQ39" s="16">
        <f>IF(ISNA(VLOOKUP(A39,'Données projet'!$A$191:$I$211,3,0)),0,VLOOKUP(A39,'Données projet'!$A$191:$I$211,3,0))</f>
        <v>5</v>
      </c>
      <c r="ER39" s="16">
        <f>IF(ISNA(VLOOKUP(A39,'Données projet'!$A$191:$I$211,4,0)),0,VLOOKUP(A39,'Données projet'!$A$191:$I$211,4,0))</f>
        <v>62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8.7176444341385508</v>
      </c>
      <c r="EX39" s="23">
        <f>EXP(-LN(2)/2)*EX38+(1-EXP(-LN(2)/2))/(LN(2)/2)*ER39*EU39*VLOOKUP('Données projet'!$B$15,Paramètres!$A$1:$I$89,3,0)*0.475*44/12</f>
        <v>2.0648524851258498</v>
      </c>
      <c r="EY39" s="24">
        <f t="shared" si="21"/>
        <v>10.7824969192644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14.6</v>
      </c>
      <c r="FE39" s="13">
        <f>IF('Données projet'!$A$218&gt;35,FE38+FD39-FM38,IF(A39&lt;'Données projet'!$A$218,$FB$205^A39,IF(A39='Données projet'!$A$218,'Données projet'!$B$218,FE38+FD39-FM38)))</f>
        <v>208.59999999999994</v>
      </c>
      <c r="FF39" s="18">
        <f>FE39*VLOOKUP('Données projet'!$B$16,Paramètres!$A$1:$I$89,3,0)*VLOOKUP('Données projet'!$B$16,Paramètres!$A$1:$I$89,5,0)</f>
        <v>97.624799999999965</v>
      </c>
      <c r="FG39" s="14">
        <f t="shared" si="47"/>
        <v>26.395349675372152</v>
      </c>
      <c r="FH39" s="22">
        <f t="shared" si="22"/>
        <v>216.00176068460644</v>
      </c>
      <c r="FI39" s="62">
        <f t="shared" si="23"/>
        <v>509.33509401793975</v>
      </c>
      <c r="FJ39" s="62">
        <f ca="1">AVERAGE(OFFSET($FI$3,0,0,'Données projet'!$E$16+1,1))-AVERAGE(OFFSET($H$3,0,0,'Données projet'!$E$16+1,1))</f>
        <v>399.92909819003523</v>
      </c>
      <c r="FK39" s="62">
        <f t="shared" si="48"/>
        <v>163.7053537268381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11.340000000000003</v>
      </c>
      <c r="FZ39" s="13">
        <f>IF('Données projet'!$A$244&gt;35,FZ38+FY39-GH38,IF(A39&lt;'Données projet'!$A$244,$FW$205^A39,IF(A39='Données projet'!$A$244,'Données projet'!$B$244,FZ38+FY39-GH38)))</f>
        <v>217.7399999999999</v>
      </c>
      <c r="GA39" s="18">
        <f>FZ39*VLOOKUP('Données projet'!$B$17,Paramètres!$A$1:$I$89,3,0)*VLOOKUP('Données projet'!$B$17,Paramètres!$A$1:$I$89,5,0)</f>
        <v>159.64696799999993</v>
      </c>
      <c r="GB39" s="14">
        <f t="shared" si="49"/>
        <v>40.762877819882384</v>
      </c>
      <c r="GC39" s="22">
        <f t="shared" si="25"/>
        <v>349.04714813629499</v>
      </c>
      <c r="GD39" s="62">
        <f t="shared" si="26"/>
        <v>642.38048146962831</v>
      </c>
      <c r="GE39" s="62">
        <f ca="1">AVERAGE(OFFSET($GD$3,0,0,'Données projet'!$E$17+1,1))-AVERAGE(OFFSET($H$3,0,0,'Données projet'!$E$17+1,1))</f>
        <v>344.4426665022238</v>
      </c>
      <c r="GF39" s="62">
        <f t="shared" si="50"/>
        <v>376.41441893222185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14.4</v>
      </c>
      <c r="GU39" s="13">
        <f>IF('Données projet'!$A$270&gt;35,GU38+GT39-HC38,IF(A39&lt;'Données projet'!$A$270,$GR$205^A39,IF(A39='Données projet'!$A$270,'Données projet'!$B$270,GU38+GT39-HC38)))</f>
        <v>237.40000000000003</v>
      </c>
      <c r="GV39" s="18">
        <f>GU39*VLOOKUP('Données projet'!$B$18,Paramètres!$A$1:$I$89,3,0)*VLOOKUP('Données projet'!$B$18,Paramètres!$A$1:$I$89,5,0)</f>
        <v>114.18940000000002</v>
      </c>
      <c r="GW39" s="14">
        <f t="shared" si="51"/>
        <v>30.315882406203716</v>
      </c>
      <c r="GX39" s="22">
        <f t="shared" si="28"/>
        <v>251.68003352413817</v>
      </c>
      <c r="GY39" s="62">
        <f t="shared" si="29"/>
        <v>545.01336685747151</v>
      </c>
      <c r="GZ39" s="62">
        <f ca="1">AVERAGE(OFFSET($GY$3,0,0,'Données projet'!$E$18+1,1))-AVERAGE(OFFSET($H$3,0,0,'Données projet'!$E$18+1,1))</f>
        <v>441.17479680509746</v>
      </c>
      <c r="HA39" s="62">
        <f t="shared" si="52"/>
        <v>198.56576128410069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321.142857142857</v>
      </c>
      <c r="O40" s="14">
        <f>N40*VLOOKUP('Données projet'!$B$9,Paramètres!$A$1:$I$89,3,0)*VLOOKUP('Données projet'!$B$9,Paramètres!$A$1:$I$89,5,0)</f>
        <v>179.51885714285706</v>
      </c>
      <c r="P40" s="14">
        <f t="shared" si="33"/>
        <v>45.215124075787188</v>
      </c>
      <c r="Q40" s="22">
        <f t="shared" si="53"/>
        <v>391.41168395580547</v>
      </c>
      <c r="R40" s="62">
        <f t="shared" si="0"/>
        <v>684.74501728913879</v>
      </c>
      <c r="S40" s="62">
        <f ca="1">AVERAGE(OFFSET($R$3,0,0,'Données projet'!$E$9+1,1))-AVERAGE(OFFSET($H$3,0,0,'Données projet'!$E$9+1,1))</f>
        <v>374.79806286316051</v>
      </c>
      <c r="T40" s="62">
        <f t="shared" si="34"/>
        <v>350.01856672839466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6.0774294487854883</v>
      </c>
      <c r="AB40" s="23">
        <f>EXP(-LN(2)/2)*AB39+(1-EXP(-LN(2)/2))/(LN(2)/2)*V40*Y40*VLOOKUP('Données projet'!$B$9,Paramètres!$A$1:$I$89,3,0)*0.475*44/12</f>
        <v>0.79394337486032573</v>
      </c>
      <c r="AC40" s="24">
        <f t="shared" si="3"/>
        <v>6.8713728236458138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9.8000000000000007</v>
      </c>
      <c r="AI40" s="14">
        <f>IF('Données projet'!$A$62&gt;35,AI39+AH40-AQ39,IF(A40&lt;'Données projet'!$A$62,$AF$205^A40,IF(A40='Données projet'!$A$62,'Données projet'!$B$62,AI39+AH40-AQ39)))</f>
        <v>208.60000000000008</v>
      </c>
      <c r="AJ40" s="14">
        <f>AI40*VLOOKUP('Données projet'!$B$10,Paramètres!$A$1:$I$89,3,0)*VLOOKUP('Données projet'!$B$10,Paramètres!$A$1:$I$89,5,0)</f>
        <v>182.23296000000011</v>
      </c>
      <c r="AK40" s="14">
        <f t="shared" si="35"/>
        <v>45.818621592366334</v>
      </c>
      <c r="AL40" s="22">
        <f t="shared" si="4"/>
        <v>397.18983794003816</v>
      </c>
      <c r="AM40" s="62">
        <f t="shared" si="5"/>
        <v>690.52317127337142</v>
      </c>
      <c r="AN40" s="62">
        <f ca="1">AVERAGE(OFFSET($AM$3,0,0,'Données projet'!$E$10+1,1))-AVERAGE(OFFSET($H$3,0,0,'Données projet'!$E$10+1,1))</f>
        <v>401.89597032936751</v>
      </c>
      <c r="AO40" s="62">
        <f t="shared" si="36"/>
        <v>417.85733543972361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7.8</v>
      </c>
      <c r="BD40" s="13">
        <f>IF('Données projet'!$A$88&gt;35,BD39+BC40-BL39,IF(A40&lt;'Données projet'!$A$88,$BA$205^A40,IF(A40='Données projet'!$A$88,'Données projet'!$B$88,BD39+BC40-BL39)))</f>
        <v>113.59999999999998</v>
      </c>
      <c r="BE40" s="14">
        <f>BD40*VLOOKUP('Données projet'!$B$11,Paramètres!$A$1:$I$89,3,0)*VLOOKUP('Données projet'!$B$11,Paramètres!$A$1:$I$89,5,0)</f>
        <v>102.78527999999999</v>
      </c>
      <c r="BF40" s="14">
        <f t="shared" si="37"/>
        <v>27.624487443976534</v>
      </c>
      <c r="BG40" s="22">
        <f t="shared" si="7"/>
        <v>227.1303449649258</v>
      </c>
      <c r="BH40" s="62">
        <f t="shared" si="8"/>
        <v>520.46367829825908</v>
      </c>
      <c r="BI40" s="62">
        <f ca="1">AVERAGE(OFFSET($BH$3,0,0,'Données projet'!$E$11+1,1))-AVERAGE(OFFSET($H$3,0,0,'Données projet'!$E$11+1,1))</f>
        <v>430.40491895612814</v>
      </c>
      <c r="BJ40" s="62">
        <f t="shared" si="38"/>
        <v>231.36959598460686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5.8974358974359005</v>
      </c>
      <c r="BY40" s="13">
        <f>IF('Données projet'!$A$114&gt;35,BY39+BX40-CG39,IF(A40&lt;'Données projet'!$A$114,$BV$205^A40,IF(A40='Données projet'!$A$114,'Données projet'!$B$114,BY39+BX40-CG39)))</f>
        <v>134.87179487179489</v>
      </c>
      <c r="BZ40" s="14">
        <f>BY40*VLOOKUP('Données projet'!$B$12,Paramètres!$A$1:$I$89,3,0)*VLOOKUP('Données projet'!$B$12,Paramètres!$A$1:$I$89,5,0)</f>
        <v>128.34400000000002</v>
      </c>
      <c r="CA40" s="14">
        <f t="shared" si="39"/>
        <v>33.613421309084202</v>
      </c>
      <c r="CB40" s="22">
        <f t="shared" si="10"/>
        <v>282.07584211332164</v>
      </c>
      <c r="CC40" s="62">
        <f t="shared" si="11"/>
        <v>575.4091754466549</v>
      </c>
      <c r="CD40" s="62">
        <f ca="1">AVERAGE(OFFSET($CC$3,0,0,'Données projet'!$E$12+1,1))-AVERAGE(OFFSET($H$3,0,0,'Données projet'!$E$12+1,1))</f>
        <v>367.11183928586667</v>
      </c>
      <c r="CE40" s="62">
        <f t="shared" si="40"/>
        <v>281.52963027844595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18.399999999999999</v>
      </c>
      <c r="CT40" s="13">
        <f>IF('Données projet'!$A$140&gt;35,CT39+CS40-DB39,IF(A40&lt;'Données projet'!$A$140,$CQ$205^A40,IF(A40='Données projet'!$A$140,'Données projet'!$B$140,CT39+CS40-DB39)))</f>
        <v>228.79999999999987</v>
      </c>
      <c r="CU40" s="18">
        <f>CT40*VLOOKUP('Données projet'!$B$13,Paramètres!$A$1:$I$89,3,0)*VLOOKUP('Données projet'!$B$13,Paramètres!$A$1:$I$89,5,0)</f>
        <v>136.82239999999993</v>
      </c>
      <c r="CV40" s="14">
        <f t="shared" si="41"/>
        <v>35.568092141139893</v>
      </c>
      <c r="CW40" s="22">
        <f t="shared" si="13"/>
        <v>300.24677381248517</v>
      </c>
      <c r="CX40" s="62">
        <f t="shared" si="14"/>
        <v>593.58010714581849</v>
      </c>
      <c r="CY40" s="62">
        <f ca="1">AVERAGE(OFFSET($CX$3,0,0,'Données projet'!$E$13+1,1))-AVERAGE(OFFSET($H$3,0,0,'Données projet'!$E$13+1,1))</f>
        <v>308.47522272937135</v>
      </c>
      <c r="CZ40" s="62">
        <f t="shared" si="42"/>
        <v>302.54354650449721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3.1627440891777532</v>
      </c>
      <c r="DH40" s="23">
        <f>EXP(-LN(2)/2)*DH39+(1-EXP(-LN(2)/2))/(LN(2)/2)*DB40*DE40*VLOOKUP('Données projet'!$B$13,Paramètres!$A$1:$I$89,3,0)*0.475*44/12</f>
        <v>1.5267868122680945</v>
      </c>
      <c r="DI40" s="24">
        <f t="shared" si="15"/>
        <v>4.6895309014458473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11.340000000000003</v>
      </c>
      <c r="DO40" s="13">
        <f>IF('Données projet'!$A$166&gt;35,DO39+DN40-DW39,IF(A40&lt;'Données projet'!$A$166,$DL$205^A40,IF(A40='Données projet'!$A$166,'Données projet'!$B$166,DO39+DN40-DW39)))</f>
        <v>229.0799999999999</v>
      </c>
      <c r="DP40" s="18">
        <f>DO40*VLOOKUP('Données projet'!$B$14,Paramètres!$A$1:$I$89,3,0)*VLOOKUP('Données projet'!$B$14,Paramètres!$A$1:$I$89,5,0)</f>
        <v>182.25604799999994</v>
      </c>
      <c r="DQ40" s="14">
        <f t="shared" si="43"/>
        <v>45.823750842861273</v>
      </c>
      <c r="DR40" s="22">
        <f t="shared" si="16"/>
        <v>397.23898298464991</v>
      </c>
      <c r="DS40" s="62">
        <f t="shared" si="17"/>
        <v>690.57231631798322</v>
      </c>
      <c r="DT40" s="62">
        <f ca="1">AVERAGE(OFFSET($DS$3,0,0,'Données projet'!$E$14+1,1))-AVERAGE(OFFSET($H$3,0,0,'Données projet'!$E$14+1,1))</f>
        <v>370.58277541710277</v>
      </c>
      <c r="DU40" s="62">
        <f t="shared" si="44"/>
        <v>404.61777090709171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11.5</v>
      </c>
      <c r="EJ40" s="13">
        <f>IF('Données projet'!$A$192&gt;35,EJ39+EI40-ER39,IF(A40&lt;'Données projet'!$A$192,$EG$205^A40,IF(A40='Données projet'!$A$192,'Données projet'!$B$192,EJ39+EI40-ER39)))</f>
        <v>197.5</v>
      </c>
      <c r="EK40" s="18">
        <f>EJ40*VLOOKUP('Données projet'!$B$15,Paramètres!$A$1:$I$89,3,0)*VLOOKUP('Données projet'!$B$15,Paramètres!$A$1:$I$89,5,0)</f>
        <v>123.24</v>
      </c>
      <c r="EL40" s="14">
        <f t="shared" si="45"/>
        <v>32.429500380369056</v>
      </c>
      <c r="EM40" s="22">
        <f t="shared" si="19"/>
        <v>271.12437982914275</v>
      </c>
      <c r="EN40" s="62">
        <f t="shared" si="20"/>
        <v>564.45771316247601</v>
      </c>
      <c r="EO40" s="62">
        <f ca="1">AVERAGE(OFFSET($EN$3,0,0,'Données projet'!$E$15+1,1))-AVERAGE(OFFSET($H$3,0,0,'Données projet'!$E$15+1,1))</f>
        <v>240.22884864766218</v>
      </c>
      <c r="EP40" s="62">
        <f t="shared" si="46"/>
        <v>343.23776884143166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8.4792599886460351</v>
      </c>
      <c r="EX40" s="23">
        <f>EXP(-LN(2)/2)*EX39+(1-EXP(-LN(2)/2))/(LN(2)/2)*ER40*EU40*VLOOKUP('Données projet'!$B$15,Paramètres!$A$1:$I$89,3,0)*0.475*44/12</f>
        <v>1.4600711943823832</v>
      </c>
      <c r="EY40" s="24">
        <f t="shared" si="21"/>
        <v>9.9393311830284183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14.6</v>
      </c>
      <c r="FE40" s="13">
        <f>IF('Données projet'!$A$218&gt;35,FE39+FD40-FM39,IF(A40&lt;'Données projet'!$A$218,$FB$205^A40,IF(A40='Données projet'!$A$218,'Données projet'!$B$218,FE39+FD40-FM39)))</f>
        <v>223.19999999999993</v>
      </c>
      <c r="FF40" s="18">
        <f>FE40*VLOOKUP('Données projet'!$B$16,Paramètres!$A$1:$I$89,3,0)*VLOOKUP('Données projet'!$B$16,Paramètres!$A$1:$I$89,5,0)</f>
        <v>104.45759999999997</v>
      </c>
      <c r="FG40" s="14">
        <f t="shared" si="47"/>
        <v>28.021248860498247</v>
      </c>
      <c r="FH40" s="22">
        <f t="shared" si="22"/>
        <v>230.73399509870103</v>
      </c>
      <c r="FI40" s="62">
        <f t="shared" si="23"/>
        <v>524.0673284320344</v>
      </c>
      <c r="FJ40" s="62">
        <f ca="1">AVERAGE(OFFSET($FI$3,0,0,'Données projet'!$E$16+1,1))-AVERAGE(OFFSET($H$3,0,0,'Données projet'!$E$16+1,1))</f>
        <v>399.92909819003523</v>
      </c>
      <c r="FK40" s="62">
        <f t="shared" si="48"/>
        <v>163.7053537268381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11.340000000000003</v>
      </c>
      <c r="FZ40" s="13">
        <f>IF('Données projet'!$A$244&gt;35,FZ39+FY40-GH39,IF(A40&lt;'Données projet'!$A$244,$FW$205^A40,IF(A40='Données projet'!$A$244,'Données projet'!$B$244,FZ39+FY40-GH39)))</f>
        <v>229.0799999999999</v>
      </c>
      <c r="GA40" s="18">
        <f>FZ40*VLOOKUP('Données projet'!$B$17,Paramètres!$A$1:$I$89,3,0)*VLOOKUP('Données projet'!$B$17,Paramètres!$A$1:$I$89,5,0)</f>
        <v>167.96145599999994</v>
      </c>
      <c r="GB40" s="14">
        <f t="shared" si="49"/>
        <v>42.633137473671702</v>
      </c>
      <c r="GC40" s="22">
        <f t="shared" si="25"/>
        <v>366.78558363331143</v>
      </c>
      <c r="GD40" s="62">
        <f t="shared" si="26"/>
        <v>660.11891696664475</v>
      </c>
      <c r="GE40" s="62">
        <f ca="1">AVERAGE(OFFSET($GD$3,0,0,'Données projet'!$E$17+1,1))-AVERAGE(OFFSET($H$3,0,0,'Données projet'!$E$17+1,1))</f>
        <v>344.4426665022238</v>
      </c>
      <c r="GF40" s="62">
        <f t="shared" si="50"/>
        <v>376.41441893222185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14.4</v>
      </c>
      <c r="GU40" s="13">
        <f>IF('Données projet'!$A$270&gt;35,GU39+GT40-HC39,IF(A40&lt;'Données projet'!$A$270,$GR$205^A40,IF(A40='Données projet'!$A$270,'Données projet'!$B$270,GU39+GT40-HC39)))</f>
        <v>251.80000000000004</v>
      </c>
      <c r="GV40" s="18">
        <f>GU40*VLOOKUP('Données projet'!$B$18,Paramètres!$A$1:$I$89,3,0)*VLOOKUP('Données projet'!$B$18,Paramètres!$A$1:$I$89,5,0)</f>
        <v>121.11580000000002</v>
      </c>
      <c r="GW40" s="14">
        <f t="shared" si="51"/>
        <v>31.935100972181814</v>
      </c>
      <c r="GX40" s="22">
        <f t="shared" si="28"/>
        <v>266.56365252655002</v>
      </c>
      <c r="GY40" s="62">
        <f t="shared" si="29"/>
        <v>559.89698585988333</v>
      </c>
      <c r="GZ40" s="62">
        <f ca="1">AVERAGE(OFFSET($GY$3,0,0,'Données projet'!$E$18+1,1))-AVERAGE(OFFSET($H$3,0,0,'Données projet'!$E$18+1,1))</f>
        <v>441.17479680509746</v>
      </c>
      <c r="HA40" s="62">
        <f t="shared" si="52"/>
        <v>198.56576128410069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340.71428571428555</v>
      </c>
      <c r="O41" s="14">
        <f>N41*VLOOKUP('Données projet'!$B$9,Paramètres!$A$1:$I$89,3,0)*VLOOKUP('Données projet'!$B$9,Paramètres!$A$1:$I$89,5,0)</f>
        <v>190.45928571428561</v>
      </c>
      <c r="P41" s="14">
        <f t="shared" si="33"/>
        <v>47.641480128932045</v>
      </c>
      <c r="Q41" s="22">
        <f t="shared" si="53"/>
        <v>414.6921671769374</v>
      </c>
      <c r="R41" s="62">
        <f t="shared" si="0"/>
        <v>708.02550051027072</v>
      </c>
      <c r="S41" s="62">
        <f ca="1">AVERAGE(OFFSET($R$3,0,0,'Données projet'!$E$9+1,1))-AVERAGE(OFFSET($H$3,0,0,'Données projet'!$E$9+1,1))</f>
        <v>374.79806286316051</v>
      </c>
      <c r="T41" s="62">
        <f t="shared" si="34"/>
        <v>350.01856672839466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5.9112418209103241</v>
      </c>
      <c r="AB41" s="23">
        <f>EXP(-LN(2)/2)*AB40+(1-EXP(-LN(2)/2))/(LN(2)/2)*V41*Y41*VLOOKUP('Données projet'!$B$9,Paramètres!$A$1:$I$89,3,0)*0.475*44/12</f>
        <v>0.56140274424186942</v>
      </c>
      <c r="AC41" s="24">
        <f t="shared" si="3"/>
        <v>6.4726445651521933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9.8000000000000007</v>
      </c>
      <c r="AI41" s="14">
        <f>IF('Données projet'!$A$62&gt;35,AI40+AH41-AQ40,IF(A41&lt;'Données projet'!$A$62,$AF$205^A41,IF(A41='Données projet'!$A$62,'Données projet'!$B$62,AI40+AH41-AQ40)))</f>
        <v>218.40000000000009</v>
      </c>
      <c r="AJ41" s="14">
        <f>AI41*VLOOKUP('Données projet'!$B$10,Paramètres!$A$1:$I$89,3,0)*VLOOKUP('Données projet'!$B$10,Paramètres!$A$1:$I$89,5,0)</f>
        <v>190.79424000000009</v>
      </c>
      <c r="AK41" s="14">
        <f t="shared" si="35"/>
        <v>47.715505384501149</v>
      </c>
      <c r="AL41" s="22">
        <f t="shared" si="4"/>
        <v>415.40447321133962</v>
      </c>
      <c r="AM41" s="62">
        <f t="shared" si="5"/>
        <v>708.73780654467294</v>
      </c>
      <c r="AN41" s="62">
        <f ca="1">AVERAGE(OFFSET($AM$3,0,0,'Données projet'!$E$10+1,1))-AVERAGE(OFFSET($H$3,0,0,'Données projet'!$E$10+1,1))</f>
        <v>401.89597032936751</v>
      </c>
      <c r="AO41" s="62">
        <f t="shared" si="36"/>
        <v>417.85733543972361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7.8</v>
      </c>
      <c r="BD41" s="13">
        <f>IF('Données projet'!$A$88&gt;35,BD40+BC41-BL40,IF(A41&lt;'Données projet'!$A$88,$BA$205^A41,IF(A41='Données projet'!$A$88,'Données projet'!$B$88,BD40+BC41-BL40)))</f>
        <v>121.39999999999998</v>
      </c>
      <c r="BE41" s="14">
        <f>BD41*VLOOKUP('Données projet'!$B$11,Paramètres!$A$1:$I$89,3,0)*VLOOKUP('Données projet'!$B$11,Paramètres!$A$1:$I$89,5,0)</f>
        <v>109.84271999999997</v>
      </c>
      <c r="BF41" s="14">
        <f t="shared" si="37"/>
        <v>29.293925092514947</v>
      </c>
      <c r="BG41" s="22">
        <f t="shared" si="7"/>
        <v>242.32965686946343</v>
      </c>
      <c r="BH41" s="62">
        <f t="shared" si="8"/>
        <v>535.66299020279678</v>
      </c>
      <c r="BI41" s="62">
        <f ca="1">AVERAGE(OFFSET($BH$3,0,0,'Données projet'!$E$11+1,1))-AVERAGE(OFFSET($H$3,0,0,'Données projet'!$E$11+1,1))</f>
        <v>430.40491895612814</v>
      </c>
      <c r="BJ41" s="62">
        <f t="shared" si="38"/>
        <v>231.36959598460686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5.8974358974359005</v>
      </c>
      <c r="BY41" s="13">
        <f>IF('Données projet'!$A$114&gt;35,BY40+BX41-CG40,IF(A41&lt;'Données projet'!$A$114,$BV$205^A41,IF(A41='Données projet'!$A$114,'Données projet'!$B$114,BY40+BX41-CG40)))</f>
        <v>140.7692307692308</v>
      </c>
      <c r="BZ41" s="14">
        <f>BY41*VLOOKUP('Données projet'!$B$12,Paramètres!$A$1:$I$89,3,0)*VLOOKUP('Données projet'!$B$12,Paramètres!$A$1:$I$89,5,0)</f>
        <v>133.95600000000002</v>
      </c>
      <c r="CA41" s="14">
        <f t="shared" si="39"/>
        <v>34.908873862106219</v>
      </c>
      <c r="CB41" s="22">
        <f t="shared" si="10"/>
        <v>294.10632197650165</v>
      </c>
      <c r="CC41" s="62">
        <f t="shared" si="11"/>
        <v>587.43965530983496</v>
      </c>
      <c r="CD41" s="62">
        <f ca="1">AVERAGE(OFFSET($CC$3,0,0,'Données projet'!$E$12+1,1))-AVERAGE(OFFSET($H$3,0,0,'Données projet'!$E$12+1,1))</f>
        <v>367.11183928586667</v>
      </c>
      <c r="CE41" s="62">
        <f t="shared" si="40"/>
        <v>281.52963027844595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18.399999999999999</v>
      </c>
      <c r="CT41" s="13">
        <f>IF('Données projet'!$A$140&gt;35,CT40+CS41-DB40,IF(A41&lt;'Données projet'!$A$140,$CQ$205^A41,IF(A41='Données projet'!$A$140,'Données projet'!$B$140,CT40+CS41-DB40)))</f>
        <v>247.19999999999987</v>
      </c>
      <c r="CU41" s="18">
        <f>CT41*VLOOKUP('Données projet'!$B$13,Paramètres!$A$1:$I$89,3,0)*VLOOKUP('Données projet'!$B$13,Paramètres!$A$1:$I$89,5,0)</f>
        <v>147.82559999999992</v>
      </c>
      <c r="CV41" s="14">
        <f t="shared" si="41"/>
        <v>38.084026262138629</v>
      </c>
      <c r="CW41" s="22">
        <f t="shared" si="13"/>
        <v>323.79259907322461</v>
      </c>
      <c r="CX41" s="62">
        <f t="shared" si="14"/>
        <v>617.12593240655792</v>
      </c>
      <c r="CY41" s="62">
        <f ca="1">AVERAGE(OFFSET($CX$3,0,0,'Données projet'!$E$13+1,1))-AVERAGE(OFFSET($H$3,0,0,'Données projet'!$E$13+1,1))</f>
        <v>308.47522272937135</v>
      </c>
      <c r="CZ41" s="62">
        <f t="shared" si="42"/>
        <v>302.54354650449721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3.0762586857377046</v>
      </c>
      <c r="DH41" s="23">
        <f>EXP(-LN(2)/2)*DH40+(1-EXP(-LN(2)/2))/(LN(2)/2)*DB41*DE41*VLOOKUP('Données projet'!$B$13,Paramètres!$A$1:$I$89,3,0)*0.475*44/12</f>
        <v>1.0796013083809619</v>
      </c>
      <c r="DI41" s="24">
        <f t="shared" si="15"/>
        <v>4.155859994118666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11.340000000000003</v>
      </c>
      <c r="DO41" s="13">
        <f>IF('Données projet'!$A$166&gt;35,DO40+DN41-DW40,IF(A41&lt;'Données projet'!$A$166,$DL$205^A41,IF(A41='Données projet'!$A$166,'Données projet'!$B$166,DO40+DN41-DW40)))</f>
        <v>240.4199999999999</v>
      </c>
      <c r="DP41" s="18">
        <f>DO41*VLOOKUP('Données projet'!$B$14,Paramètres!$A$1:$I$89,3,0)*VLOOKUP('Données projet'!$B$14,Paramètres!$A$1:$I$89,5,0)</f>
        <v>191.27815199999995</v>
      </c>
      <c r="DQ41" s="14">
        <f t="shared" si="43"/>
        <v>47.822423751245466</v>
      </c>
      <c r="DR41" s="22">
        <f t="shared" si="16"/>
        <v>416.43350276675238</v>
      </c>
      <c r="DS41" s="62">
        <f t="shared" si="17"/>
        <v>709.7668361000857</v>
      </c>
      <c r="DT41" s="62">
        <f ca="1">AVERAGE(OFFSET($DS$3,0,0,'Données projet'!$E$14+1,1))-AVERAGE(OFFSET($H$3,0,0,'Données projet'!$E$14+1,1))</f>
        <v>370.58277541710277</v>
      </c>
      <c r="DU41" s="62">
        <f t="shared" si="44"/>
        <v>404.61777090709171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11.5</v>
      </c>
      <c r="EJ41" s="13">
        <f>IF('Données projet'!$A$192&gt;35,EJ40+EI41-ER40,IF(A41&lt;'Données projet'!$A$192,$EG$205^A41,IF(A41='Données projet'!$A$192,'Données projet'!$B$192,EJ40+EI41-ER40)))</f>
        <v>209</v>
      </c>
      <c r="EK41" s="18">
        <f>EJ41*VLOOKUP('Données projet'!$B$15,Paramètres!$A$1:$I$89,3,0)*VLOOKUP('Données projet'!$B$15,Paramètres!$A$1:$I$89,5,0)</f>
        <v>130.416</v>
      </c>
      <c r="EL41" s="14">
        <f t="shared" si="45"/>
        <v>34.092466837179941</v>
      </c>
      <c r="EM41" s="22">
        <f t="shared" si="19"/>
        <v>286.51891307475506</v>
      </c>
      <c r="EN41" s="62">
        <f t="shared" si="20"/>
        <v>579.85224640808838</v>
      </c>
      <c r="EO41" s="62">
        <f ca="1">AVERAGE(OFFSET($EN$3,0,0,'Données projet'!$E$15+1,1))-AVERAGE(OFFSET($H$3,0,0,'Données projet'!$E$15+1,1))</f>
        <v>240.22884864766218</v>
      </c>
      <c r="EP41" s="62">
        <f t="shared" si="46"/>
        <v>343.23776884143166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8.2473941783516054</v>
      </c>
      <c r="EX41" s="23">
        <f>EXP(-LN(2)/2)*EX40+(1-EXP(-LN(2)/2))/(LN(2)/2)*ER41*EU41*VLOOKUP('Données projet'!$B$15,Paramètres!$A$1:$I$89,3,0)*0.475*44/12</f>
        <v>1.0324262425629249</v>
      </c>
      <c r="EY41" s="24">
        <f t="shared" si="21"/>
        <v>9.2798204209145307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14.6</v>
      </c>
      <c r="FE41" s="13">
        <f>IF('Données projet'!$A$218&gt;35,FE40+FD41-FM40,IF(A41&lt;'Données projet'!$A$218,$FB$205^A41,IF(A41='Données projet'!$A$218,'Données projet'!$B$218,FE40+FD41-FM40)))</f>
        <v>237.79999999999993</v>
      </c>
      <c r="FF41" s="18">
        <f>FE41*VLOOKUP('Données projet'!$B$16,Paramètres!$A$1:$I$89,3,0)*VLOOKUP('Données projet'!$B$16,Paramètres!$A$1:$I$89,5,0)</f>
        <v>111.29039999999998</v>
      </c>
      <c r="FG41" s="14">
        <f t="shared" si="47"/>
        <v>29.634806205918217</v>
      </c>
      <c r="FH41" s="22">
        <f t="shared" si="22"/>
        <v>245.44473414197418</v>
      </c>
      <c r="FI41" s="62">
        <f t="shared" si="23"/>
        <v>538.77806747530747</v>
      </c>
      <c r="FJ41" s="62">
        <f ca="1">AVERAGE(OFFSET($FI$3,0,0,'Données projet'!$E$16+1,1))-AVERAGE(OFFSET($H$3,0,0,'Données projet'!$E$16+1,1))</f>
        <v>399.92909819003523</v>
      </c>
      <c r="FK41" s="62">
        <f t="shared" si="48"/>
        <v>163.7053537268381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11.340000000000003</v>
      </c>
      <c r="FZ41" s="13">
        <f>IF('Données projet'!$A$244&gt;35,FZ40+FY41-GH40,IF(A41&lt;'Données projet'!$A$244,$FW$205^A41,IF(A41='Données projet'!$A$244,'Données projet'!$B$244,FZ40+FY41-GH40)))</f>
        <v>240.4199999999999</v>
      </c>
      <c r="GA41" s="18">
        <f>FZ41*VLOOKUP('Données projet'!$B$17,Paramètres!$A$1:$I$89,3,0)*VLOOKUP('Données projet'!$B$17,Paramètres!$A$1:$I$89,5,0)</f>
        <v>176.27594399999992</v>
      </c>
      <c r="GB41" s="14">
        <f t="shared" si="49"/>
        <v>44.492646904932492</v>
      </c>
      <c r="GC41" s="22">
        <f t="shared" si="25"/>
        <v>384.50529582609062</v>
      </c>
      <c r="GD41" s="62">
        <f t="shared" si="26"/>
        <v>677.83862915942393</v>
      </c>
      <c r="GE41" s="62">
        <f ca="1">AVERAGE(OFFSET($GD$3,0,0,'Données projet'!$E$17+1,1))-AVERAGE(OFFSET($H$3,0,0,'Données projet'!$E$17+1,1))</f>
        <v>344.4426665022238</v>
      </c>
      <c r="GF41" s="62">
        <f t="shared" si="50"/>
        <v>376.41441893222185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14.4</v>
      </c>
      <c r="GU41" s="13">
        <f>IF('Données projet'!$A$270&gt;35,GU40+GT41-HC40,IF(A41&lt;'Données projet'!$A$270,$GR$205^A41,IF(A41='Données projet'!$A$270,'Données projet'!$B$270,GU40+GT41-HC40)))</f>
        <v>266.20000000000005</v>
      </c>
      <c r="GV41" s="18">
        <f>GU41*VLOOKUP('Données projet'!$B$18,Paramètres!$A$1:$I$89,3,0)*VLOOKUP('Données projet'!$B$18,Paramètres!$A$1:$I$89,5,0)</f>
        <v>128.04220000000004</v>
      </c>
      <c r="GW41" s="14">
        <f t="shared" si="51"/>
        <v>33.543570478388581</v>
      </c>
      <c r="GX41" s="22">
        <f t="shared" si="28"/>
        <v>281.42855024986017</v>
      </c>
      <c r="GY41" s="62">
        <f t="shared" si="29"/>
        <v>574.76188358319348</v>
      </c>
      <c r="GZ41" s="62">
        <f ca="1">AVERAGE(OFFSET($GY$3,0,0,'Données projet'!$E$18+1,1))-AVERAGE(OFFSET($H$3,0,0,'Données projet'!$E$18+1,1))</f>
        <v>441.17479680509746</v>
      </c>
      <c r="HA41" s="62">
        <f t="shared" si="52"/>
        <v>198.56576128410069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360.28571428571411</v>
      </c>
      <c r="O42" s="14">
        <f>N42*VLOOKUP('Données projet'!$B$9,Paramètres!$A$1:$I$89,3,0)*VLOOKUP('Données projet'!$B$9,Paramètres!$A$1:$I$89,5,0)</f>
        <v>201.39971428571417</v>
      </c>
      <c r="P42" s="14">
        <f t="shared" si="33"/>
        <v>50.051657588658017</v>
      </c>
      <c r="Q42" s="22">
        <f t="shared" si="53"/>
        <v>437.94447268119819</v>
      </c>
      <c r="R42" s="62">
        <f t="shared" si="0"/>
        <v>731.27780601453151</v>
      </c>
      <c r="S42" s="62">
        <f ca="1">AVERAGE(OFFSET($R$3,0,0,'Données projet'!$E$9+1,1))-AVERAGE(OFFSET($H$3,0,0,'Données projet'!$E$9+1,1))</f>
        <v>374.79806286316051</v>
      </c>
      <c r="T42" s="62">
        <f t="shared" si="34"/>
        <v>350.01856672839466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5.7495986024588346</v>
      </c>
      <c r="AB42" s="23">
        <f>EXP(-LN(2)/2)*AB41+(1-EXP(-LN(2)/2))/(LN(2)/2)*V42*Y42*VLOOKUP('Données projet'!$B$9,Paramètres!$A$1:$I$89,3,0)*0.475*44/12</f>
        <v>0.39697168743016287</v>
      </c>
      <c r="AC42" s="24">
        <f t="shared" si="3"/>
        <v>6.1465702898889978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9.8000000000000007</v>
      </c>
      <c r="AI42" s="14">
        <f>IF('Données projet'!$A$62&gt;35,AI41+AH42-AQ41,IF(A42&lt;'Données projet'!$A$62,$AF$205^A42,IF(A42='Données projet'!$A$62,'Données projet'!$B$62,AI41+AH42-AQ41)))</f>
        <v>228.2000000000001</v>
      </c>
      <c r="AJ42" s="14">
        <f>AI42*VLOOKUP('Données projet'!$B$10,Paramètres!$A$1:$I$89,3,0)*VLOOKUP('Données projet'!$B$10,Paramètres!$A$1:$I$89,5,0)</f>
        <v>199.35552000000013</v>
      </c>
      <c r="AK42" s="14">
        <f t="shared" si="35"/>
        <v>49.602503932783222</v>
      </c>
      <c r="AL42" s="22">
        <f t="shared" si="4"/>
        <v>433.60189168293101</v>
      </c>
      <c r="AM42" s="62">
        <f t="shared" si="5"/>
        <v>726.93522501626433</v>
      </c>
      <c r="AN42" s="62">
        <f ca="1">AVERAGE(OFFSET($AM$3,0,0,'Données projet'!$E$10+1,1))-AVERAGE(OFFSET($H$3,0,0,'Données projet'!$E$10+1,1))</f>
        <v>401.89597032936751</v>
      </c>
      <c r="AO42" s="62">
        <f t="shared" si="36"/>
        <v>417.85733543972361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7.8</v>
      </c>
      <c r="BD42" s="13">
        <f>IF('Données projet'!$A$88&gt;35,BD41+BC42-BL41,IF(A42&lt;'Données projet'!$A$88,$BA$205^A42,IF(A42='Données projet'!$A$88,'Données projet'!$B$88,BD41+BC42-BL41)))</f>
        <v>129.19999999999999</v>
      </c>
      <c r="BE42" s="14">
        <f>BD42*VLOOKUP('Données projet'!$B$11,Paramètres!$A$1:$I$89,3,0)*VLOOKUP('Données projet'!$B$11,Paramètres!$A$1:$I$89,5,0)</f>
        <v>116.90016</v>
      </c>
      <c r="BF42" s="14">
        <f t="shared" si="37"/>
        <v>30.950914970772502</v>
      </c>
      <c r="BG42" s="22">
        <f t="shared" si="7"/>
        <v>257.5072889074288</v>
      </c>
      <c r="BH42" s="62">
        <f t="shared" si="8"/>
        <v>550.84062224076206</v>
      </c>
      <c r="BI42" s="62">
        <f ca="1">AVERAGE(OFFSET($BH$3,0,0,'Données projet'!$E$11+1,1))-AVERAGE(OFFSET($H$3,0,0,'Données projet'!$E$11+1,1))</f>
        <v>430.40491895612814</v>
      </c>
      <c r="BJ42" s="62">
        <f t="shared" si="38"/>
        <v>231.36959598460686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5.8974358974359005</v>
      </c>
      <c r="BY42" s="13">
        <f>IF('Données projet'!$A$114&gt;35,BY41+BX42-CG41,IF(A42&lt;'Données projet'!$A$114,$BV$205^A42,IF(A42='Données projet'!$A$114,'Données projet'!$B$114,BY41+BX42-CG41)))</f>
        <v>146.66666666666671</v>
      </c>
      <c r="BZ42" s="14">
        <f>BY42*VLOOKUP('Données projet'!$B$12,Paramètres!$A$1:$I$89,3,0)*VLOOKUP('Données projet'!$B$12,Paramètres!$A$1:$I$89,5,0)</f>
        <v>139.56800000000004</v>
      </c>
      <c r="CA42" s="14">
        <f t="shared" si="39"/>
        <v>36.198022567902328</v>
      </c>
      <c r="CB42" s="22">
        <f t="shared" si="10"/>
        <v>306.12582263909667</v>
      </c>
      <c r="CC42" s="62">
        <f t="shared" si="11"/>
        <v>599.45915597242993</v>
      </c>
      <c r="CD42" s="62">
        <f ca="1">AVERAGE(OFFSET($CC$3,0,0,'Données projet'!$E$12+1,1))-AVERAGE(OFFSET($H$3,0,0,'Données projet'!$E$12+1,1))</f>
        <v>367.11183928586667</v>
      </c>
      <c r="CE42" s="62">
        <f t="shared" si="40"/>
        <v>281.52963027844595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18.399999999999999</v>
      </c>
      <c r="CT42" s="13">
        <f>IF('Données projet'!$A$140&gt;35,CT41+CS42-DB41,IF(A42&lt;'Données projet'!$A$140,$CQ$205^A42,IF(A42='Données projet'!$A$140,'Données projet'!$B$140,CT41+CS42-DB41)))</f>
        <v>265.59999999999985</v>
      </c>
      <c r="CU42" s="18">
        <f>CT42*VLOOKUP('Données projet'!$B$13,Paramètres!$A$1:$I$89,3,0)*VLOOKUP('Données projet'!$B$13,Paramètres!$A$1:$I$89,5,0)</f>
        <v>158.82879999999992</v>
      </c>
      <c r="CV42" s="14">
        <f t="shared" si="41"/>
        <v>40.578235128063113</v>
      </c>
      <c r="CW42" s="22">
        <f t="shared" si="13"/>
        <v>347.30058618137645</v>
      </c>
      <c r="CX42" s="62">
        <f t="shared" si="14"/>
        <v>640.63391951470976</v>
      </c>
      <c r="CY42" s="62">
        <f ca="1">AVERAGE(OFFSET($CX$3,0,0,'Données projet'!$E$13+1,1))-AVERAGE(OFFSET($H$3,0,0,'Données projet'!$E$13+1,1))</f>
        <v>308.47522272937135</v>
      </c>
      <c r="CZ42" s="62">
        <f t="shared" si="42"/>
        <v>302.54354650449721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2.9921382302027935</v>
      </c>
      <c r="DH42" s="23">
        <f>EXP(-LN(2)/2)*DH41+(1-EXP(-LN(2)/2))/(LN(2)/2)*DB42*DE42*VLOOKUP('Données projet'!$B$13,Paramètres!$A$1:$I$89,3,0)*0.475*44/12</f>
        <v>0.76339340613404727</v>
      </c>
      <c r="DI42" s="24">
        <f t="shared" si="15"/>
        <v>3.7555316363368405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11.340000000000003</v>
      </c>
      <c r="DO42" s="13">
        <f>IF('Données projet'!$A$166&gt;35,DO41+DN42-DW41,IF(A42&lt;'Données projet'!$A$166,$DL$205^A42,IF(A42='Données projet'!$A$166,'Données projet'!$B$166,DO41+DN42-DW41)))</f>
        <v>251.75999999999991</v>
      </c>
      <c r="DP42" s="18">
        <f>DO42*VLOOKUP('Données projet'!$B$14,Paramètres!$A$1:$I$89,3,0)*VLOOKUP('Données projet'!$B$14,Paramètres!$A$1:$I$89,5,0)</f>
        <v>200.30025599999993</v>
      </c>
      <c r="DQ42" s="14">
        <f t="shared" si="43"/>
        <v>49.810149143959919</v>
      </c>
      <c r="DR42" s="22">
        <f t="shared" si="16"/>
        <v>435.60895562573</v>
      </c>
      <c r="DS42" s="62">
        <f t="shared" si="17"/>
        <v>728.94228895906326</v>
      </c>
      <c r="DT42" s="62">
        <f ca="1">AVERAGE(OFFSET($DS$3,0,0,'Données projet'!$E$14+1,1))-AVERAGE(OFFSET($H$3,0,0,'Données projet'!$E$14+1,1))</f>
        <v>370.58277541710277</v>
      </c>
      <c r="DU42" s="62">
        <f t="shared" si="44"/>
        <v>404.61777090709171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11.5</v>
      </c>
      <c r="EJ42" s="13">
        <f>IF('Données projet'!$A$192&gt;35,EJ41+EI42-ER41,IF(A42&lt;'Données projet'!$A$192,$EG$205^A42,IF(A42='Données projet'!$A$192,'Données projet'!$B$192,EJ41+EI42-ER41)))</f>
        <v>220.5</v>
      </c>
      <c r="EK42" s="18">
        <f>EJ42*VLOOKUP('Données projet'!$B$15,Paramètres!$A$1:$I$89,3,0)*VLOOKUP('Données projet'!$B$15,Paramètres!$A$1:$I$89,5,0)</f>
        <v>137.59199999999998</v>
      </c>
      <c r="EL42" s="14">
        <f t="shared" si="45"/>
        <v>35.744810729505772</v>
      </c>
      <c r="EM42" s="22">
        <f t="shared" si="19"/>
        <v>301.89494535388923</v>
      </c>
      <c r="EN42" s="62">
        <f t="shared" si="20"/>
        <v>595.22827868722254</v>
      </c>
      <c r="EO42" s="62">
        <f ca="1">AVERAGE(OFFSET($EN$3,0,0,'Données projet'!$E$15+1,1))-AVERAGE(OFFSET($H$3,0,0,'Données projet'!$E$15+1,1))</f>
        <v>240.22884864766218</v>
      </c>
      <c r="EP42" s="62">
        <f t="shared" si="46"/>
        <v>343.23776884143166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8.0218687508329705</v>
      </c>
      <c r="EX42" s="23">
        <f>EXP(-LN(2)/2)*EX41+(1-EXP(-LN(2)/2))/(LN(2)/2)*ER42*EU42*VLOOKUP('Données projet'!$B$15,Paramètres!$A$1:$I$89,3,0)*0.475*44/12</f>
        <v>0.7300355971911916</v>
      </c>
      <c r="EY42" s="24">
        <f t="shared" si="21"/>
        <v>8.7519043480241621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14.6</v>
      </c>
      <c r="FE42" s="13">
        <f>IF('Données projet'!$A$218&gt;35,FE41+FD42-FM41,IF(A42&lt;'Données projet'!$A$218,$FB$205^A42,IF(A42='Données projet'!$A$218,'Données projet'!$B$218,FE41+FD42-FM41)))</f>
        <v>252.39999999999992</v>
      </c>
      <c r="FF42" s="18">
        <f>FE42*VLOOKUP('Données projet'!$B$16,Paramètres!$A$1:$I$89,3,0)*VLOOKUP('Données projet'!$B$16,Paramètres!$A$1:$I$89,5,0)</f>
        <v>118.12319999999995</v>
      </c>
      <c r="FG42" s="14">
        <f t="shared" si="47"/>
        <v>31.236865730893584</v>
      </c>
      <c r="FH42" s="22">
        <f t="shared" si="22"/>
        <v>260.13544781463958</v>
      </c>
      <c r="FI42" s="62">
        <f t="shared" si="23"/>
        <v>553.46878114797289</v>
      </c>
      <c r="FJ42" s="62">
        <f ca="1">AVERAGE(OFFSET($FI$3,0,0,'Données projet'!$E$16+1,1))-AVERAGE(OFFSET($H$3,0,0,'Données projet'!$E$16+1,1))</f>
        <v>399.92909819003523</v>
      </c>
      <c r="FK42" s="62">
        <f t="shared" si="48"/>
        <v>163.7053537268381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11.340000000000003</v>
      </c>
      <c r="FZ42" s="13">
        <f>IF('Données projet'!$A$244&gt;35,FZ41+FY42-GH41,IF(A42&lt;'Données projet'!$A$244,$FW$205^A42,IF(A42='Données projet'!$A$244,'Données projet'!$B$244,FZ41+FY42-GH41)))</f>
        <v>251.75999999999991</v>
      </c>
      <c r="GA42" s="18">
        <f>FZ42*VLOOKUP('Données projet'!$B$17,Paramètres!$A$1:$I$89,3,0)*VLOOKUP('Données projet'!$B$17,Paramètres!$A$1:$I$89,5,0)</f>
        <v>184.59043199999994</v>
      </c>
      <c r="GB42" s="14">
        <f t="shared" si="49"/>
        <v>46.341971073486597</v>
      </c>
      <c r="GC42" s="22">
        <f t="shared" si="25"/>
        <v>402.20726868632238</v>
      </c>
      <c r="GD42" s="62">
        <f t="shared" si="26"/>
        <v>695.54060201965569</v>
      </c>
      <c r="GE42" s="62">
        <f ca="1">AVERAGE(OFFSET($GD$3,0,0,'Données projet'!$E$17+1,1))-AVERAGE(OFFSET($H$3,0,0,'Données projet'!$E$17+1,1))</f>
        <v>344.4426665022238</v>
      </c>
      <c r="GF42" s="62">
        <f t="shared" si="50"/>
        <v>376.41441893222185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14.4</v>
      </c>
      <c r="GU42" s="13">
        <f>IF('Données projet'!$A$270&gt;35,GU41+GT42-HC41,IF(A42&lt;'Données projet'!$A$270,$GR$205^A42,IF(A42='Données projet'!$A$270,'Données projet'!$B$270,GU41+GT42-HC41)))</f>
        <v>280.60000000000002</v>
      </c>
      <c r="GV42" s="18">
        <f>GU42*VLOOKUP('Données projet'!$B$18,Paramètres!$A$1:$I$89,3,0)*VLOOKUP('Données projet'!$B$18,Paramètres!$A$1:$I$89,5,0)</f>
        <v>134.96860000000001</v>
      </c>
      <c r="GW42" s="14">
        <f t="shared" si="51"/>
        <v>35.141938683339475</v>
      </c>
      <c r="GX42" s="22">
        <f t="shared" si="28"/>
        <v>296.2758548734829</v>
      </c>
      <c r="GY42" s="62">
        <f t="shared" si="29"/>
        <v>589.60918820681627</v>
      </c>
      <c r="GZ42" s="62">
        <f ca="1">AVERAGE(OFFSET($GY$3,0,0,'Données projet'!$E$18+1,1))-AVERAGE(OFFSET($H$3,0,0,'Données projet'!$E$18+1,1))</f>
        <v>441.17479680509746</v>
      </c>
      <c r="HA42" s="62">
        <f t="shared" si="52"/>
        <v>198.56576128410069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379.85714285714266</v>
      </c>
      <c r="O43" s="14">
        <f>N43*VLOOKUP('Données projet'!$B$9,Paramètres!$A$1:$I$89,3,0)*VLOOKUP('Données projet'!$B$9,Paramètres!$A$1:$I$89,5,0)</f>
        <v>212.34014285714278</v>
      </c>
      <c r="P43" s="14">
        <f t="shared" si="33"/>
        <v>52.446635499473253</v>
      </c>
      <c r="Q43" s="22">
        <f t="shared" si="53"/>
        <v>461.17030563777286</v>
      </c>
      <c r="R43" s="62">
        <f t="shared" si="0"/>
        <v>754.50363897110617</v>
      </c>
      <c r="S43" s="62">
        <f ca="1">AVERAGE(OFFSET($R$3,0,0,'Données projet'!$E$9+1,1))-AVERAGE(OFFSET($H$3,0,0,'Données projet'!$E$9+1,1))</f>
        <v>374.79806286316051</v>
      </c>
      <c r="T43" s="62">
        <f t="shared" si="34"/>
        <v>350.01856672839466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5.5923755263163484</v>
      </c>
      <c r="AB43" s="23">
        <f>EXP(-LN(2)/2)*AB42+(1-EXP(-LN(2)/2))/(LN(2)/2)*V43*Y43*VLOOKUP('Données projet'!$B$9,Paramètres!$A$1:$I$89,3,0)*0.475*44/12</f>
        <v>0.28070137212093471</v>
      </c>
      <c r="AC43" s="24">
        <f t="shared" si="3"/>
        <v>5.873076898437283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238</v>
      </c>
      <c r="AG43" s="13">
        <f>VLOOKUP(A43,'Données projet'!$A$61:$I$81,9,0)</f>
        <v>9.8000000000000007</v>
      </c>
      <c r="AH43" s="13">
        <f t="array" ref="AH43">INDEX(AG:AG,MIN(IF(ISNUMBER(AG43:AG239),ROW(AG43:AG239),"")))</f>
        <v>9.8000000000000007</v>
      </c>
      <c r="AI43" s="14">
        <f>IF('Données projet'!$A$62&gt;35,AI42+AH43-AQ42,IF(A43&lt;'Données projet'!$A$62,$AF$205^A43,IF(A43='Données projet'!$A$62,'Données projet'!$B$62,AI42+AH43-AQ42)))</f>
        <v>238.00000000000011</v>
      </c>
      <c r="AJ43" s="14">
        <f>AI43*VLOOKUP('Données projet'!$B$10,Paramètres!$A$1:$I$89,3,0)*VLOOKUP('Données projet'!$B$10,Paramètres!$A$1:$I$89,5,0)</f>
        <v>207.91680000000014</v>
      </c>
      <c r="AK43" s="14">
        <f t="shared" si="35"/>
        <v>51.480090285152542</v>
      </c>
      <c r="AL43" s="22">
        <f t="shared" si="4"/>
        <v>451.78291724664086</v>
      </c>
      <c r="AM43" s="62">
        <f t="shared" si="5"/>
        <v>745.11625057997412</v>
      </c>
      <c r="AN43" s="62">
        <f ca="1">AVERAGE(OFFSET($AM$3,0,0,'Données projet'!$E$10+1,1))-AVERAGE(OFFSET($H$3,0,0,'Données projet'!$E$10+1,1))</f>
        <v>401.89597032936751</v>
      </c>
      <c r="AO43" s="62">
        <f t="shared" si="36"/>
        <v>417.85733543972361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7.8</v>
      </c>
      <c r="BC43" s="13">
        <f t="array" ref="BC43">INDEX(BB:BB,MIN(IF(ISNUMBER(BB43:BB239),ROW(BB43:BB239),"")))</f>
        <v>7.8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123.9576</v>
      </c>
      <c r="BF43" s="14">
        <f t="shared" si="37"/>
        <v>32.59629414926458</v>
      </c>
      <c r="BG43" s="22">
        <f t="shared" si="7"/>
        <v>272.6646989766358</v>
      </c>
      <c r="BH43" s="62">
        <f t="shared" si="8"/>
        <v>565.99803230996918</v>
      </c>
      <c r="BI43" s="62">
        <f ca="1">AVERAGE(OFFSET($BH$3,0,0,'Données projet'!$E$11+1,1))-AVERAGE(OFFSET($H$3,0,0,'Données projet'!$E$11+1,1))</f>
        <v>430.40491895612814</v>
      </c>
      <c r="BJ43" s="62">
        <f t="shared" si="38"/>
        <v>231.36959598460686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152.56410256410257</v>
      </c>
      <c r="BW43" s="13">
        <f>VLOOKUP(A43,'Données projet'!$A$113:$I$133,9,0)</f>
        <v>5.8974358974359005</v>
      </c>
      <c r="BX43" s="13">
        <f t="array" ref="BX43">INDEX(BW:BW,MIN(IF(ISNUMBER(BW43:BW239),ROW(BW43:BW239),"")))</f>
        <v>5.8974358974359005</v>
      </c>
      <c r="BY43" s="13">
        <f>IF('Données projet'!$A$114&gt;35,BY42+BX43-CG42,IF(A43&lt;'Données projet'!$A$114,$BV$205^A43,IF(A43='Données projet'!$A$114,'Données projet'!$B$114,BY42+BX43-CG42)))</f>
        <v>152.56410256410263</v>
      </c>
      <c r="BZ43" s="14">
        <f>BY43*VLOOKUP('Données projet'!$B$12,Paramètres!$A$1:$I$89,3,0)*VLOOKUP('Données projet'!$B$12,Paramètres!$A$1:$I$89,5,0)</f>
        <v>145.18000000000006</v>
      </c>
      <c r="CA43" s="14">
        <f t="shared" si="39"/>
        <v>37.481149901429063</v>
      </c>
      <c r="CB43" s="22">
        <f t="shared" si="10"/>
        <v>318.13483607832239</v>
      </c>
      <c r="CC43" s="62">
        <f t="shared" si="11"/>
        <v>611.46816941165571</v>
      </c>
      <c r="CD43" s="62">
        <f ca="1">AVERAGE(OFFSET($CC$3,0,0,'Données projet'!$E$12+1,1))-AVERAGE(OFFSET($H$3,0,0,'Données projet'!$E$12+1,1))</f>
        <v>367.11183928586667</v>
      </c>
      <c r="CE43" s="62">
        <f t="shared" si="40"/>
        <v>281.52963027844595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28.846153846153847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284</v>
      </c>
      <c r="CR43" s="13">
        <f>VLOOKUP(A43,'Données projet'!$A$139:$I$159,9,0)</f>
        <v>18.399999999999999</v>
      </c>
      <c r="CS43" s="13">
        <f t="array" ref="CS43">INDEX(CR:CR,MIN(IF(ISNUMBER(CR43:CR239),ROW(CR43:CR239),"")))</f>
        <v>18.399999999999999</v>
      </c>
      <c r="CT43" s="13">
        <f>IF('Données projet'!$A$140&gt;35,CT42+CS43-DB42,IF(A43&lt;'Données projet'!$A$140,$CQ$205^A43,IF(A43='Données projet'!$A$140,'Données projet'!$B$140,CT42+CS43-DB42)))</f>
        <v>283.99999999999983</v>
      </c>
      <c r="CU43" s="18">
        <f>CT43*VLOOKUP('Données projet'!$B$13,Paramètres!$A$1:$I$89,3,0)*VLOOKUP('Données projet'!$B$13,Paramètres!$A$1:$I$89,5,0)</f>
        <v>169.83199999999991</v>
      </c>
      <c r="CV43" s="14">
        <f t="shared" si="41"/>
        <v>43.052395009050429</v>
      </c>
      <c r="CW43" s="22">
        <f t="shared" si="13"/>
        <v>370.77365464076269</v>
      </c>
      <c r="CX43" s="62">
        <f t="shared" si="14"/>
        <v>664.106987974096</v>
      </c>
      <c r="CY43" s="62">
        <f ca="1">AVERAGE(OFFSET($CX$3,0,0,'Données projet'!$E$13+1,1))-AVERAGE(OFFSET($H$3,0,0,'Données projet'!$E$13+1,1))</f>
        <v>308.47522272937135</v>
      </c>
      <c r="CZ43" s="62">
        <f t="shared" si="42"/>
        <v>302.54354650449721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48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2.9103180529481874</v>
      </c>
      <c r="DH43" s="23">
        <f>EXP(-LN(2)/2)*DH42+(1-EXP(-LN(2)/2))/(LN(2)/2)*DB43*DE43*VLOOKUP('Données projet'!$B$13,Paramètres!$A$1:$I$89,3,0)*0.475*44/12</f>
        <v>0.53980065419048096</v>
      </c>
      <c r="DI43" s="24">
        <f t="shared" si="15"/>
        <v>3.4501187071386683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263.10000000000002</v>
      </c>
      <c r="DM43" s="13">
        <f>VLOOKUP(A43,'Données projet'!$A$165:$I$185,9,0)</f>
        <v>11.340000000000003</v>
      </c>
      <c r="DN43" s="13">
        <f t="array" ref="DN43">INDEX(DM:DM,MIN(IF(ISNUMBER(DM43:DM239),ROW(DM43:DM239),"")))</f>
        <v>11.340000000000003</v>
      </c>
      <c r="DO43" s="13">
        <f>IF('Données projet'!$A$166&gt;35,DO42+DN43-DW42,IF(A43&lt;'Données projet'!$A$166,$DL$205^A43,IF(A43='Données projet'!$A$166,'Données projet'!$B$166,DO42+DN43-DW42)))</f>
        <v>263.09999999999991</v>
      </c>
      <c r="DP43" s="18">
        <f>DO43*VLOOKUP('Données projet'!$B$14,Paramètres!$A$1:$I$89,3,0)*VLOOKUP('Données projet'!$B$14,Paramètres!$A$1:$I$89,5,0)</f>
        <v>209.32235999999995</v>
      </c>
      <c r="DQ43" s="14">
        <f t="shared" si="43"/>
        <v>51.78747646553299</v>
      </c>
      <c r="DR43" s="22">
        <f t="shared" si="16"/>
        <v>454.7662985108031</v>
      </c>
      <c r="DS43" s="62">
        <f t="shared" si="17"/>
        <v>748.09963184413641</v>
      </c>
      <c r="DT43" s="62">
        <f ca="1">AVERAGE(OFFSET($DS$3,0,0,'Données projet'!$E$14+1,1))-AVERAGE(OFFSET($H$3,0,0,'Données projet'!$E$14+1,1))</f>
        <v>370.58277541710277</v>
      </c>
      <c r="DU43" s="62">
        <f t="shared" si="44"/>
        <v>404.61777090709171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70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11.5</v>
      </c>
      <c r="EJ43" s="13">
        <f>IF('Données projet'!$A$192&gt;35,EJ42+EI43-ER42,IF(A43&lt;'Données projet'!$A$192,$EG$205^A43,IF(A43='Données projet'!$A$192,'Données projet'!$B$192,EJ42+EI43-ER42)))</f>
        <v>232</v>
      </c>
      <c r="EK43" s="18">
        <f>EJ43*VLOOKUP('Données projet'!$B$15,Paramètres!$A$1:$I$89,3,0)*VLOOKUP('Données projet'!$B$15,Paramètres!$A$1:$I$89,5,0)</f>
        <v>144.768</v>
      </c>
      <c r="EL43" s="14">
        <f t="shared" si="45"/>
        <v>37.387149255707826</v>
      </c>
      <c r="EM43" s="22">
        <f t="shared" si="19"/>
        <v>317.25355162035777</v>
      </c>
      <c r="EN43" s="62">
        <f t="shared" si="20"/>
        <v>610.58688495369108</v>
      </c>
      <c r="EO43" s="62">
        <f ca="1">AVERAGE(OFFSET($EN$3,0,0,'Données projet'!$E$15+1,1))-AVERAGE(OFFSET($H$3,0,0,'Données projet'!$E$15+1,1))</f>
        <v>240.22884864766218</v>
      </c>
      <c r="EP43" s="62">
        <f t="shared" si="46"/>
        <v>343.23776884143166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7.8025103279896992</v>
      </c>
      <c r="EX43" s="23">
        <f>EXP(-LN(2)/2)*EX42+(1-EXP(-LN(2)/2))/(LN(2)/2)*ER43*EU43*VLOOKUP('Données projet'!$B$15,Paramètres!$A$1:$I$89,3,0)*0.475*44/12</f>
        <v>0.51621312128146246</v>
      </c>
      <c r="EY43" s="24">
        <f t="shared" si="21"/>
        <v>8.318723449271161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267</v>
      </c>
      <c r="FC43" s="13">
        <f>VLOOKUP(A43,'Données projet'!$A$217:$I$237,9,0)</f>
        <v>14.6</v>
      </c>
      <c r="FD43" s="13">
        <f t="array" ref="FD43">INDEX(FC:FC,MIN(IF(ISNUMBER(FC43:FC239),ROW(FC43:FC239),"")))</f>
        <v>14.6</v>
      </c>
      <c r="FE43" s="13">
        <f>IF('Données projet'!$A$218&gt;35,FE42+FD43-FM42,IF(A43&lt;'Données projet'!$A$218,$FB$205^A43,IF(A43='Données projet'!$A$218,'Données projet'!$B$218,FE42+FD43-FM42)))</f>
        <v>266.99999999999994</v>
      </c>
      <c r="FF43" s="18">
        <f>FE43*VLOOKUP('Données projet'!$B$16,Paramètres!$A$1:$I$89,3,0)*VLOOKUP('Données projet'!$B$16,Paramètres!$A$1:$I$89,5,0)</f>
        <v>124.95599999999997</v>
      </c>
      <c r="FG43" s="14">
        <f t="shared" si="47"/>
        <v>32.828168295117194</v>
      </c>
      <c r="FH43" s="22">
        <f t="shared" si="22"/>
        <v>274.80742644732908</v>
      </c>
      <c r="FI43" s="62">
        <f t="shared" si="23"/>
        <v>568.14075978066239</v>
      </c>
      <c r="FJ43" s="62">
        <f ca="1">AVERAGE(OFFSET($FI$3,0,0,'Données projet'!$E$16+1,1))-AVERAGE(OFFSET($H$3,0,0,'Données projet'!$E$16+1,1))</f>
        <v>399.92909819003523</v>
      </c>
      <c r="FK43" s="62">
        <f t="shared" si="48"/>
        <v>163.7053537268381</v>
      </c>
      <c r="FL43" s="16">
        <f>IF(ISNA(VLOOKUP(A43,'Données projet'!$A$217:$I$237,3,0)),0,VLOOKUP(A43,'Données projet'!$A$217:$I$237,3,0))</f>
        <v>1</v>
      </c>
      <c r="FM43" s="16">
        <f>IF(ISNA(VLOOKUP(A43,'Données projet'!$A$217:$I$237,4,0)),0,VLOOKUP(A43,'Données projet'!$A$217:$I$237,4,0))</f>
        <v>91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263.10000000000002</v>
      </c>
      <c r="FX43" s="13">
        <f>VLOOKUP(A43,'Données projet'!$A$243:$I$263,9,0)</f>
        <v>11.340000000000003</v>
      </c>
      <c r="FY43" s="13">
        <f t="array" ref="FY43">INDEX(FX:FX,MIN(IF(ISNUMBER(FX43:FX239),ROW(FX43:FX239),"")))</f>
        <v>11.340000000000003</v>
      </c>
      <c r="FZ43" s="13">
        <f>IF('Données projet'!$A$244&gt;35,FZ42+FY43-GH42,IF(A43&lt;'Données projet'!$A$244,$FW$205^A43,IF(A43='Données projet'!$A$244,'Données projet'!$B$244,FZ42+FY43-GH42)))</f>
        <v>263.09999999999991</v>
      </c>
      <c r="GA43" s="18">
        <f>FZ43*VLOOKUP('Données projet'!$B$17,Paramètres!$A$1:$I$89,3,0)*VLOOKUP('Données projet'!$B$17,Paramètres!$A$1:$I$89,5,0)</f>
        <v>192.90491999999995</v>
      </c>
      <c r="GB43" s="14">
        <f t="shared" si="49"/>
        <v>48.181621167171684</v>
      </c>
      <c r="GC43" s="22">
        <f t="shared" si="25"/>
        <v>419.89239253282386</v>
      </c>
      <c r="GD43" s="62">
        <f t="shared" si="26"/>
        <v>713.22572586615718</v>
      </c>
      <c r="GE43" s="62">
        <f ca="1">AVERAGE(OFFSET($GD$3,0,0,'Données projet'!$E$17+1,1))-AVERAGE(OFFSET($H$3,0,0,'Données projet'!$E$17+1,1))</f>
        <v>344.4426665022238</v>
      </c>
      <c r="GF43" s="62">
        <f t="shared" si="50"/>
        <v>376.41441893222185</v>
      </c>
      <c r="GG43" s="16">
        <f>IF(ISNA(VLOOKUP(A43,'Données projet'!$A$243:$I$263,3,0)),0,VLOOKUP(A43,'Données projet'!$A$243:$I$263,3,0))</f>
        <v>3</v>
      </c>
      <c r="GH43" s="16">
        <f>IF(ISNA(VLOOKUP(A43,'Données projet'!$A$243:$I$263,4,0)),0,VLOOKUP(A43,'Données projet'!$A$243:$I$263,4,0))</f>
        <v>70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295</v>
      </c>
      <c r="GS43" s="13">
        <f>VLOOKUP(A43,'Données projet'!$A$269:$I$289,9,0)</f>
        <v>14.4</v>
      </c>
      <c r="GT43" s="13">
        <f t="array" ref="GT43">INDEX(GS:GS,MIN(IF(ISNUMBER(GS43:GS239),ROW(GS43:GS239),"")))</f>
        <v>14.4</v>
      </c>
      <c r="GU43" s="13">
        <f>IF('Données projet'!$A$270&gt;35,GU42+GT43-HC42,IF(A43&lt;'Données projet'!$A$270,$GR$205^A43,IF(A43='Données projet'!$A$270,'Données projet'!$B$270,GU42+GT43-HC42)))</f>
        <v>295</v>
      </c>
      <c r="GV43" s="18">
        <f>GU43*VLOOKUP('Données projet'!$B$18,Paramètres!$A$1:$I$89,3,0)*VLOOKUP('Données projet'!$B$18,Paramètres!$A$1:$I$89,5,0)</f>
        <v>141.89500000000001</v>
      </c>
      <c r="GW43" s="14">
        <f t="shared" si="51"/>
        <v>36.730783106167067</v>
      </c>
      <c r="GX43" s="22">
        <f t="shared" si="28"/>
        <v>311.10657224324103</v>
      </c>
      <c r="GY43" s="62">
        <f t="shared" si="29"/>
        <v>604.43990557657435</v>
      </c>
      <c r="GZ43" s="62">
        <f ca="1">AVERAGE(OFFSET($GY$3,0,0,'Données projet'!$E$18+1,1))-AVERAGE(OFFSET($H$3,0,0,'Données projet'!$E$18+1,1))</f>
        <v>441.17479680509746</v>
      </c>
      <c r="HA43" s="62">
        <f t="shared" si="52"/>
        <v>198.56576128410069</v>
      </c>
      <c r="HB43" s="16">
        <f>IF(ISNA(VLOOKUP(A43,'Données projet'!$A$269:$I$289,3,0)),0,VLOOKUP(A43,'Données projet'!$A$269:$I$289,3,0))</f>
        <v>1</v>
      </c>
      <c r="HC43" s="16">
        <f>IF(ISNA(VLOOKUP(A43,'Données projet'!$A$269:$I$289,4,0)),0,VLOOKUP(A43,'Données projet'!$A$269:$I$289,4,0))</f>
        <v>92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399.42857142857122</v>
      </c>
      <c r="O44" s="14">
        <f>N44*VLOOKUP('Données projet'!$B$9,Paramètres!$A$1:$I$89,3,0)*VLOOKUP('Données projet'!$B$9,Paramètres!$A$1:$I$89,5,0)</f>
        <v>223.28057142857133</v>
      </c>
      <c r="P44" s="14">
        <f t="shared" si="33"/>
        <v>54.827286320639246</v>
      </c>
      <c r="Q44" s="22">
        <f t="shared" si="53"/>
        <v>484.37118557987498</v>
      </c>
      <c r="R44" s="62">
        <f t="shared" si="0"/>
        <v>777.70451891320829</v>
      </c>
      <c r="S44" s="62">
        <f ca="1">AVERAGE(OFFSET($R$3,0,0,'Données projet'!$E$9+1,1))-AVERAGE(OFFSET($H$3,0,0,'Données projet'!$E$9+1,1))</f>
        <v>374.79806286316051</v>
      </c>
      <c r="T44" s="62">
        <f t="shared" si="34"/>
        <v>350.01856672839466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5.4394517234589808</v>
      </c>
      <c r="AB44" s="23">
        <f>EXP(-LN(2)/2)*AB43+(1-EXP(-LN(2)/2))/(LN(2)/2)*V44*Y44*VLOOKUP('Données projet'!$B$9,Paramètres!$A$1:$I$89,3,0)*0.475*44/12</f>
        <v>0.19848584371508143</v>
      </c>
      <c r="AC44" s="24">
        <f t="shared" si="3"/>
        <v>5.6379375671740624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8.8000000000000007</v>
      </c>
      <c r="AI44" s="14">
        <f>IF('Données projet'!$A$62&gt;35,AI43+AH44-AQ43,IF(A44&lt;'Données projet'!$A$62,$AF$205^A44,IF(A44='Données projet'!$A$62,'Données projet'!$B$62,AI43+AH44-AQ43)))</f>
        <v>183.80000000000013</v>
      </c>
      <c r="AJ44" s="14">
        <f>AI44*VLOOKUP('Données projet'!$B$10,Paramètres!$A$1:$I$89,3,0)*VLOOKUP('Données projet'!$B$10,Paramètres!$A$1:$I$89,5,0)</f>
        <v>160.56768000000014</v>
      </c>
      <c r="AK44" s="14">
        <f t="shared" si="35"/>
        <v>40.970530810309917</v>
      </c>
      <c r="AL44" s="22">
        <f t="shared" si="4"/>
        <v>351.01238382795668</v>
      </c>
      <c r="AM44" s="62">
        <f t="shared" si="5"/>
        <v>644.34571716128994</v>
      </c>
      <c r="AN44" s="62">
        <f ca="1">AVERAGE(OFFSET($AM$3,0,0,'Données projet'!$E$10+1,1))-AVERAGE(OFFSET($H$3,0,0,'Données projet'!$E$10+1,1))</f>
        <v>401.89597032936751</v>
      </c>
      <c r="AO44" s="62">
        <f t="shared" si="36"/>
        <v>417.85733543972361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145.4</v>
      </c>
      <c r="BE44" s="14">
        <f>BD44*VLOOKUP('Données projet'!$B$11,Paramètres!$A$1:$I$89,3,0)*VLOOKUP('Données projet'!$B$11,Paramètres!$A$1:$I$89,5,0)</f>
        <v>131.55792</v>
      </c>
      <c r="BF44" s="14">
        <f t="shared" si="37"/>
        <v>34.3560989338864</v>
      </c>
      <c r="BG44" s="22">
        <f t="shared" si="7"/>
        <v>288.96691630985214</v>
      </c>
      <c r="BH44" s="62">
        <f t="shared" si="8"/>
        <v>582.30024964318545</v>
      </c>
      <c r="BI44" s="62">
        <f ca="1">AVERAGE(OFFSET($BH$3,0,0,'Données projet'!$E$11+1,1))-AVERAGE(OFFSET($H$3,0,0,'Données projet'!$E$11+1,1))</f>
        <v>430.40491895612814</v>
      </c>
      <c r="BJ44" s="62">
        <f t="shared" si="38"/>
        <v>231.36959598460686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5.7692307692307683</v>
      </c>
      <c r="BY44" s="13">
        <f>IF('Données projet'!$A$114&gt;35,BY43+BX44-CG43,IF(A44&lt;'Données projet'!$A$114,$BV$205^A44,IF(A44='Données projet'!$A$114,'Données projet'!$B$114,BY43+BX44-CG43)))</f>
        <v>129.48717948717956</v>
      </c>
      <c r="BZ44" s="14">
        <f>BY44*VLOOKUP('Données projet'!$B$12,Paramètres!$A$1:$I$89,3,0)*VLOOKUP('Données projet'!$B$12,Paramètres!$A$1:$I$89,5,0)</f>
        <v>123.22000000000007</v>
      </c>
      <c r="CA44" s="14">
        <f t="shared" si="39"/>
        <v>32.42485010818541</v>
      </c>
      <c r="CB44" s="22">
        <f t="shared" si="10"/>
        <v>271.08144727175642</v>
      </c>
      <c r="CC44" s="62">
        <f t="shared" si="11"/>
        <v>564.41478060508973</v>
      </c>
      <c r="CD44" s="62">
        <f ca="1">AVERAGE(OFFSET($CC$3,0,0,'Données projet'!$E$12+1,1))-AVERAGE(OFFSET($H$3,0,0,'Données projet'!$E$12+1,1))</f>
        <v>367.11183928586667</v>
      </c>
      <c r="CE44" s="62">
        <f t="shared" si="40"/>
        <v>281.52963027844595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18.2</v>
      </c>
      <c r="CT44" s="13">
        <f>IF('Données projet'!$A$140&gt;35,CT43+CS44-DB43,IF(A44&lt;'Données projet'!$A$140,$CQ$205^A44,IF(A44='Données projet'!$A$140,'Données projet'!$B$140,CT43+CS44-DB43)))</f>
        <v>254.19999999999982</v>
      </c>
      <c r="CU44" s="18">
        <f>CT44*VLOOKUP('Données projet'!$B$13,Paramètres!$A$1:$I$89,3,0)*VLOOKUP('Données projet'!$B$13,Paramètres!$A$1:$I$89,5,0)</f>
        <v>152.0115999999999</v>
      </c>
      <c r="CV44" s="14">
        <f t="shared" si="41"/>
        <v>39.035373906584852</v>
      </c>
      <c r="CW44" s="22">
        <f t="shared" si="13"/>
        <v>332.7401462206351</v>
      </c>
      <c r="CX44" s="62">
        <f t="shared" si="14"/>
        <v>626.07347955396835</v>
      </c>
      <c r="CY44" s="62">
        <f ca="1">AVERAGE(OFFSET($CX$3,0,0,'Données projet'!$E$13+1,1))-AVERAGE(OFFSET($H$3,0,0,'Données projet'!$E$13+1,1))</f>
        <v>308.47522272937135</v>
      </c>
      <c r="CZ44" s="62">
        <f t="shared" si="42"/>
        <v>302.54354650449721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2.8307352527433443</v>
      </c>
      <c r="DH44" s="23">
        <f>EXP(-LN(2)/2)*DH43+(1-EXP(-LN(2)/2))/(LN(2)/2)*DB44*DE44*VLOOKUP('Données projet'!$B$13,Paramètres!$A$1:$I$89,3,0)*0.475*44/12</f>
        <v>0.38169670306702363</v>
      </c>
      <c r="DI44" s="24">
        <f t="shared" si="15"/>
        <v>3.2124319558103678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9.8199999999999932</v>
      </c>
      <c r="DO44" s="13">
        <f>IF('Données projet'!$A$166&gt;35,DO43+DN44-DW43,IF(A44&lt;'Données projet'!$A$166,$DL$205^A44,IF(A44='Données projet'!$A$166,'Données projet'!$B$166,DO43+DN44-DW43)))</f>
        <v>202.9199999999999</v>
      </c>
      <c r="DP44" s="18">
        <f>DO44*VLOOKUP('Données projet'!$B$14,Paramètres!$A$1:$I$89,3,0)*VLOOKUP('Données projet'!$B$14,Paramètres!$A$1:$I$89,5,0)</f>
        <v>161.44315199999994</v>
      </c>
      <c r="DQ44" s="14">
        <f t="shared" si="43"/>
        <v>41.167852065682119</v>
      </c>
      <c r="DR44" s="22">
        <f t="shared" si="16"/>
        <v>352.88083208106292</v>
      </c>
      <c r="DS44" s="62">
        <f t="shared" si="17"/>
        <v>646.21416541439623</v>
      </c>
      <c r="DT44" s="62">
        <f ca="1">AVERAGE(OFFSET($DS$3,0,0,'Données projet'!$E$14+1,1))-AVERAGE(OFFSET($H$3,0,0,'Données projet'!$E$14+1,1))</f>
        <v>370.58277541710277</v>
      </c>
      <c r="DU44" s="62">
        <f t="shared" si="44"/>
        <v>404.61777090709171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11.5</v>
      </c>
      <c r="EJ44" s="13">
        <f>IF('Données projet'!$A$192&gt;35,EJ43+EI44-ER43,IF(A44&lt;'Données projet'!$A$192,$EG$205^A44,IF(A44='Données projet'!$A$192,'Données projet'!$B$192,EJ43+EI44-ER43)))</f>
        <v>243.5</v>
      </c>
      <c r="EK44" s="18">
        <f>EJ44*VLOOKUP('Données projet'!$B$15,Paramètres!$A$1:$I$89,3,0)*VLOOKUP('Données projet'!$B$15,Paramètres!$A$1:$I$89,5,0)</f>
        <v>151.94399999999999</v>
      </c>
      <c r="EL44" s="14">
        <f t="shared" si="45"/>
        <v>39.02003496976517</v>
      </c>
      <c r="EM44" s="22">
        <f t="shared" si="19"/>
        <v>332.59569423900763</v>
      </c>
      <c r="EN44" s="62">
        <f t="shared" si="20"/>
        <v>625.92902757234094</v>
      </c>
      <c r="EO44" s="62">
        <f ca="1">AVERAGE(OFFSET($EN$3,0,0,'Données projet'!$E$15+1,1))-AVERAGE(OFFSET($H$3,0,0,'Données projet'!$E$15+1,1))</f>
        <v>240.22884864766218</v>
      </c>
      <c r="EP44" s="62">
        <f t="shared" si="46"/>
        <v>343.23776884143166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7.5891502727546358</v>
      </c>
      <c r="EX44" s="23">
        <f>EXP(-LN(2)/2)*EX43+(1-EXP(-LN(2)/2))/(LN(2)/2)*ER44*EU44*VLOOKUP('Données projet'!$B$15,Paramètres!$A$1:$I$89,3,0)*0.475*44/12</f>
        <v>0.3650177985955958</v>
      </c>
      <c r="EY44" s="24">
        <f t="shared" si="21"/>
        <v>7.9541680713502316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20.399999999999999</v>
      </c>
      <c r="FE44" s="13">
        <f>IF('Données projet'!$A$218&gt;35,FE43+FD44-FM43,IF(A44&lt;'Données projet'!$A$218,$FB$205^A44,IF(A44='Données projet'!$A$218,'Données projet'!$B$218,FE43+FD44-FM43)))</f>
        <v>196.39999999999992</v>
      </c>
      <c r="FF44" s="18">
        <f>FE44*VLOOKUP('Données projet'!$B$16,Paramètres!$A$1:$I$89,3,0)*VLOOKUP('Données projet'!$B$16,Paramètres!$A$1:$I$89,5,0)</f>
        <v>91.915199999999956</v>
      </c>
      <c r="FG44" s="14">
        <f t="shared" si="47"/>
        <v>25.026557534351902</v>
      </c>
      <c r="FH44" s="22">
        <f t="shared" si="22"/>
        <v>203.67356103899616</v>
      </c>
      <c r="FI44" s="62">
        <f t="shared" si="23"/>
        <v>497.0068943723295</v>
      </c>
      <c r="FJ44" s="62">
        <f ca="1">AVERAGE(OFFSET($FI$3,0,0,'Données projet'!$E$16+1,1))-AVERAGE(OFFSET($H$3,0,0,'Données projet'!$E$16+1,1))</f>
        <v>399.92909819003523</v>
      </c>
      <c r="FK44" s="62">
        <f t="shared" si="48"/>
        <v>163.7053537268381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9.8199999999999932</v>
      </c>
      <c r="FZ44" s="13">
        <f>IF('Données projet'!$A$244&gt;35,FZ43+FY44-GH43,IF(A44&lt;'Données projet'!$A$244,$FW$205^A44,IF(A44='Données projet'!$A$244,'Données projet'!$B$244,FZ43+FY44-GH43)))</f>
        <v>202.9199999999999</v>
      </c>
      <c r="GA44" s="18">
        <f>FZ44*VLOOKUP('Données projet'!$B$17,Paramètres!$A$1:$I$89,3,0)*VLOOKUP('Données projet'!$B$17,Paramètres!$A$1:$I$89,5,0)</f>
        <v>148.78094399999992</v>
      </c>
      <c r="GB44" s="14">
        <f t="shared" si="49"/>
        <v>38.301419336680702</v>
      </c>
      <c r="GC44" s="22">
        <f t="shared" si="25"/>
        <v>325.83511614471871</v>
      </c>
      <c r="GD44" s="62">
        <f t="shared" si="26"/>
        <v>619.16844947805203</v>
      </c>
      <c r="GE44" s="62">
        <f ca="1">AVERAGE(OFFSET($GD$3,0,0,'Données projet'!$E$17+1,1))-AVERAGE(OFFSET($H$3,0,0,'Données projet'!$E$17+1,1))</f>
        <v>344.4426665022238</v>
      </c>
      <c r="GF44" s="62">
        <f t="shared" si="50"/>
        <v>376.41441893222185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15</v>
      </c>
      <c r="GU44" s="13">
        <f>IF('Données projet'!$A$270&gt;35,GU43+GT44-HC43,IF(A44&lt;'Données projet'!$A$270,$GR$205^A44,IF(A44='Données projet'!$A$270,'Données projet'!$B$270,GU43+GT44-HC43)))</f>
        <v>218</v>
      </c>
      <c r="GV44" s="18">
        <f>GU44*VLOOKUP('Données projet'!$B$18,Paramètres!$A$1:$I$89,3,0)*VLOOKUP('Données projet'!$B$18,Paramètres!$A$1:$I$89,5,0)</f>
        <v>104.858</v>
      </c>
      <c r="GW44" s="14">
        <f t="shared" si="51"/>
        <v>28.116134493871634</v>
      </c>
      <c r="GX44" s="22">
        <f t="shared" si="28"/>
        <v>231.59661757682645</v>
      </c>
      <c r="GY44" s="62">
        <f t="shared" si="29"/>
        <v>524.92995091015973</v>
      </c>
      <c r="GZ44" s="62">
        <f ca="1">AVERAGE(OFFSET($GY$3,0,0,'Données projet'!$E$18+1,1))-AVERAGE(OFFSET($H$3,0,0,'Données projet'!$E$18+1,1))</f>
        <v>441.17479680509746</v>
      </c>
      <c r="HA44" s="62">
        <f t="shared" si="52"/>
        <v>198.56576128410069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419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418.99999999999977</v>
      </c>
      <c r="O45" s="14">
        <f>N45*VLOOKUP('Données projet'!$B$9,Paramètres!$A$1:$I$89,3,0)*VLOOKUP('Données projet'!$B$9,Paramètres!$A$1:$I$89,5,0)</f>
        <v>234.22099999999989</v>
      </c>
      <c r="P45" s="14">
        <f t="shared" si="33"/>
        <v>57.194392182630075</v>
      </c>
      <c r="Q45" s="22">
        <f t="shared" si="53"/>
        <v>507.54847471808051</v>
      </c>
      <c r="R45" s="62">
        <f t="shared" si="0"/>
        <v>800.88180805141383</v>
      </c>
      <c r="S45" s="62">
        <f ca="1">AVERAGE(OFFSET($R$3,0,0,'Données projet'!$E$9+1,1))-AVERAGE(OFFSET($H$3,0,0,'Données projet'!$E$9+1,1))</f>
        <v>374.79806286316051</v>
      </c>
      <c r="T45" s="62">
        <f t="shared" si="34"/>
        <v>350.01856672839466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77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5.2907096300326613</v>
      </c>
      <c r="AB45" s="23">
        <f>EXP(-LN(2)/2)*AB44+(1-EXP(-LN(2)/2))/(LN(2)/2)*V45*Y45*VLOOKUP('Données projet'!$B$9,Paramètres!$A$1:$I$89,3,0)*0.475*44/12</f>
        <v>0.14035068606046736</v>
      </c>
      <c r="AC45" s="24">
        <f t="shared" si="3"/>
        <v>5.431060316093129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8.8000000000000007</v>
      </c>
      <c r="AI45" s="14">
        <f>IF('Données projet'!$A$62&gt;35,AI44+AH45-AQ44,IF(A45&lt;'Données projet'!$A$62,$AF$205^A45,IF(A45='Données projet'!$A$62,'Données projet'!$B$62,AI44+AH45-AQ44)))</f>
        <v>192.60000000000014</v>
      </c>
      <c r="AJ45" s="14">
        <f>AI45*VLOOKUP('Données projet'!$B$10,Paramètres!$A$1:$I$89,3,0)*VLOOKUP('Données projet'!$B$10,Paramètres!$A$1:$I$89,5,0)</f>
        <v>168.25536000000014</v>
      </c>
      <c r="AK45" s="14">
        <f t="shared" si="35"/>
        <v>42.699047982710923</v>
      </c>
      <c r="AL45" s="22">
        <f t="shared" si="4"/>
        <v>367.41226056988847</v>
      </c>
      <c r="AM45" s="62">
        <f t="shared" si="5"/>
        <v>660.74559390322179</v>
      </c>
      <c r="AN45" s="62">
        <f ca="1">AVERAGE(OFFSET($AM$3,0,0,'Données projet'!$E$10+1,1))-AVERAGE(OFFSET($H$3,0,0,'Données projet'!$E$10+1,1))</f>
        <v>401.89597032936751</v>
      </c>
      <c r="AO45" s="62">
        <f t="shared" si="36"/>
        <v>417.85733543972361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153.80000000000001</v>
      </c>
      <c r="BE45" s="14">
        <f>BD45*VLOOKUP('Données projet'!$B$11,Paramètres!$A$1:$I$89,3,0)*VLOOKUP('Données projet'!$B$11,Paramètres!$A$1:$I$89,5,0)</f>
        <v>139.15824000000001</v>
      </c>
      <c r="BF45" s="14">
        <f t="shared" si="37"/>
        <v>36.104102468715482</v>
      </c>
      <c r="BG45" s="22">
        <f t="shared" si="7"/>
        <v>305.24857979967942</v>
      </c>
      <c r="BH45" s="62">
        <f t="shared" si="8"/>
        <v>598.58191313301268</v>
      </c>
      <c r="BI45" s="62">
        <f ca="1">AVERAGE(OFFSET($BH$3,0,0,'Données projet'!$E$11+1,1))-AVERAGE(OFFSET($H$3,0,0,'Données projet'!$E$11+1,1))</f>
        <v>430.40491895612814</v>
      </c>
      <c r="BJ45" s="62">
        <f t="shared" si="38"/>
        <v>231.36959598460686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5.7692307692307683</v>
      </c>
      <c r="BY45" s="13">
        <f>IF('Données projet'!$A$114&gt;35,BY44+BX45-CG44,IF(A45&lt;'Données projet'!$A$114,$BV$205^A45,IF(A45='Données projet'!$A$114,'Données projet'!$B$114,BY44+BX45-CG44)))</f>
        <v>135.25641025641033</v>
      </c>
      <c r="BZ45" s="14">
        <f>BY45*VLOOKUP('Données projet'!$B$12,Paramètres!$A$1:$I$89,3,0)*VLOOKUP('Données projet'!$B$12,Paramètres!$A$1:$I$89,5,0)</f>
        <v>128.71000000000009</v>
      </c>
      <c r="CA45" s="14">
        <f t="shared" si="39"/>
        <v>33.698105419900322</v>
      </c>
      <c r="CB45" s="22">
        <f t="shared" si="10"/>
        <v>282.86078360632649</v>
      </c>
      <c r="CC45" s="62">
        <f t="shared" si="11"/>
        <v>576.19411693965981</v>
      </c>
      <c r="CD45" s="62">
        <f ca="1">AVERAGE(OFFSET($CC$3,0,0,'Données projet'!$E$12+1,1))-AVERAGE(OFFSET($H$3,0,0,'Données projet'!$E$12+1,1))</f>
        <v>367.11183928586667</v>
      </c>
      <c r="CE45" s="62">
        <f t="shared" si="40"/>
        <v>281.52963027844595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18.2</v>
      </c>
      <c r="CT45" s="13">
        <f>IF('Données projet'!$A$140&gt;35,CT44+CS45-DB44,IF(A45&lt;'Données projet'!$A$140,$CQ$205^A45,IF(A45='Données projet'!$A$140,'Données projet'!$B$140,CT44+CS45-DB44)))</f>
        <v>272.39999999999981</v>
      </c>
      <c r="CU45" s="18">
        <f>CT45*VLOOKUP('Données projet'!$B$13,Paramètres!$A$1:$I$89,3,0)*VLOOKUP('Données projet'!$B$13,Paramètres!$A$1:$I$89,5,0)</f>
        <v>162.8951999999999</v>
      </c>
      <c r="CV45" s="14">
        <f t="shared" si="41"/>
        <v>41.494852720458489</v>
      </c>
      <c r="CW45" s="22">
        <f t="shared" si="13"/>
        <v>355.97934182146497</v>
      </c>
      <c r="CX45" s="62">
        <f t="shared" si="14"/>
        <v>649.31267515479828</v>
      </c>
      <c r="CY45" s="62">
        <f ca="1">AVERAGE(OFFSET($CX$3,0,0,'Données projet'!$E$13+1,1))-AVERAGE(OFFSET($H$3,0,0,'Données projet'!$E$13+1,1))</f>
        <v>308.47522272937135</v>
      </c>
      <c r="CZ45" s="62">
        <f t="shared" si="42"/>
        <v>302.54354650449721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2.7533286483951804</v>
      </c>
      <c r="DH45" s="23">
        <f>EXP(-LN(2)/2)*DH44+(1-EXP(-LN(2)/2))/(LN(2)/2)*DB45*DE45*VLOOKUP('Données projet'!$B$13,Paramètres!$A$1:$I$89,3,0)*0.475*44/12</f>
        <v>0.26990032709524048</v>
      </c>
      <c r="DI45" s="24">
        <f t="shared" si="15"/>
        <v>3.0232289754904209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9.8199999999999932</v>
      </c>
      <c r="DO45" s="13">
        <f>IF('Données projet'!$A$166&gt;35,DO44+DN45-DW44,IF(A45&lt;'Données projet'!$A$166,$DL$205^A45,IF(A45='Données projet'!$A$166,'Données projet'!$B$166,DO44+DN45-DW44)))</f>
        <v>212.7399999999999</v>
      </c>
      <c r="DP45" s="18">
        <f>DO45*VLOOKUP('Données projet'!$B$14,Paramètres!$A$1:$I$89,3,0)*VLOOKUP('Données projet'!$B$14,Paramètres!$A$1:$I$89,5,0)</f>
        <v>169.25594399999991</v>
      </c>
      <c r="DQ45" s="14">
        <f t="shared" si="43"/>
        <v>42.923337274383478</v>
      </c>
      <c r="DR45" s="22">
        <f t="shared" si="16"/>
        <v>369.54558155288436</v>
      </c>
      <c r="DS45" s="62">
        <f t="shared" si="17"/>
        <v>662.87891488621767</v>
      </c>
      <c r="DT45" s="62">
        <f ca="1">AVERAGE(OFFSET($DS$3,0,0,'Données projet'!$E$14+1,1))-AVERAGE(OFFSET($H$3,0,0,'Données projet'!$E$14+1,1))</f>
        <v>370.58277541710277</v>
      </c>
      <c r="DU45" s="62">
        <f t="shared" si="44"/>
        <v>404.61777090709171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>
        <f>VLOOKUP(A45,'Données projet'!$A$191:$I$211,2,0)</f>
        <v>255</v>
      </c>
      <c r="EH45" s="13">
        <f>VLOOKUP(A45,'Données projet'!$A$191:$I$211,9,0)</f>
        <v>11.5</v>
      </c>
      <c r="EI45" s="13">
        <f t="array" ref="EI45">INDEX(EH:EH,MIN(IF(ISNUMBER(EH45:EH241),ROW(EH45:EH241),"")))</f>
        <v>11.5</v>
      </c>
      <c r="EJ45" s="13">
        <f>IF('Données projet'!$A$192&gt;35,EJ44+EI45-ER44,IF(A45&lt;'Données projet'!$A$192,$EG$205^A45,IF(A45='Données projet'!$A$192,'Données projet'!$B$192,EJ44+EI45-ER44)))</f>
        <v>255</v>
      </c>
      <c r="EK45" s="18">
        <f>EJ45*VLOOKUP('Données projet'!$B$15,Paramètres!$A$1:$I$89,3,0)*VLOOKUP('Données projet'!$B$15,Paramètres!$A$1:$I$89,5,0)</f>
        <v>159.12</v>
      </c>
      <c r="EL45" s="14">
        <f t="shared" si="45"/>
        <v>40.643965284387697</v>
      </c>
      <c r="EM45" s="22">
        <f t="shared" si="19"/>
        <v>347.92223953697521</v>
      </c>
      <c r="EN45" s="62">
        <f t="shared" si="20"/>
        <v>641.25557287030847</v>
      </c>
      <c r="EO45" s="62">
        <f ca="1">AVERAGE(OFFSET($EN$3,0,0,'Données projet'!$E$15+1,1))-AVERAGE(OFFSET($H$3,0,0,'Données projet'!$E$15+1,1))</f>
        <v>240.22884864766218</v>
      </c>
      <c r="EP45" s="62">
        <f t="shared" si="46"/>
        <v>343.23776884143166</v>
      </c>
      <c r="EQ45" s="16">
        <f>IF(ISNA(VLOOKUP(A45,'Données projet'!$A$191:$I$211,3,0)),0,VLOOKUP(A45,'Données projet'!$A$191:$I$211,3,0))</f>
        <v>6</v>
      </c>
      <c r="ER45" s="16">
        <f>IF(ISNA(VLOOKUP(A45,'Données projet'!$A$191:$I$211,4,0)),0,VLOOKUP(A45,'Données projet'!$A$191:$I$211,4,0))</f>
        <v>67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7.3816245594500929</v>
      </c>
      <c r="EX45" s="23">
        <f>EXP(-LN(2)/2)*EX44+(1-EXP(-LN(2)/2))/(LN(2)/2)*ER45*EU45*VLOOKUP('Données projet'!$B$15,Paramètres!$A$1:$I$89,3,0)*0.475*44/12</f>
        <v>0.25810656064073123</v>
      </c>
      <c r="EY45" s="24">
        <f t="shared" si="21"/>
        <v>7.6397311200908238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20.399999999999999</v>
      </c>
      <c r="FE45" s="13">
        <f>IF('Données projet'!$A$218&gt;35,FE44+FD45-FM44,IF(A45&lt;'Données projet'!$A$218,$FB$205^A45,IF(A45='Données projet'!$A$218,'Données projet'!$B$218,FE44+FD45-FM44)))</f>
        <v>216.79999999999993</v>
      </c>
      <c r="FF45" s="18">
        <f>FE45*VLOOKUP('Données projet'!$B$16,Paramètres!$A$1:$I$89,3,0)*VLOOKUP('Données projet'!$B$16,Paramètres!$A$1:$I$89,5,0)</f>
        <v>101.46239999999997</v>
      </c>
      <c r="FG45" s="14">
        <f t="shared" si="47"/>
        <v>27.310099257465147</v>
      </c>
      <c r="FH45" s="22">
        <f t="shared" si="22"/>
        <v>224.27876954008505</v>
      </c>
      <c r="FI45" s="62">
        <f t="shared" si="23"/>
        <v>517.61210287341839</v>
      </c>
      <c r="FJ45" s="62">
        <f ca="1">AVERAGE(OFFSET($FI$3,0,0,'Données projet'!$E$16+1,1))-AVERAGE(OFFSET($H$3,0,0,'Données projet'!$E$16+1,1))</f>
        <v>399.92909819003523</v>
      </c>
      <c r="FK45" s="62">
        <f t="shared" si="48"/>
        <v>163.7053537268381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9.8199999999999932</v>
      </c>
      <c r="FZ45" s="13">
        <f>IF('Données projet'!$A$244&gt;35,FZ44+FY45-GH44,IF(A45&lt;'Données projet'!$A$244,$FW$205^A45,IF(A45='Données projet'!$A$244,'Données projet'!$B$244,FZ44+FY45-GH44)))</f>
        <v>212.7399999999999</v>
      </c>
      <c r="GA45" s="18">
        <f>FZ45*VLOOKUP('Données projet'!$B$17,Paramètres!$A$1:$I$89,3,0)*VLOOKUP('Données projet'!$B$17,Paramètres!$A$1:$I$89,5,0)</f>
        <v>155.98096799999993</v>
      </c>
      <c r="GB45" s="14">
        <f t="shared" si="49"/>
        <v>39.934673726794031</v>
      </c>
      <c r="GC45" s="22">
        <f t="shared" si="25"/>
        <v>341.21974267416618</v>
      </c>
      <c r="GD45" s="62">
        <f t="shared" si="26"/>
        <v>634.5530760074995</v>
      </c>
      <c r="GE45" s="62">
        <f ca="1">AVERAGE(OFFSET($GD$3,0,0,'Données projet'!$E$17+1,1))-AVERAGE(OFFSET($H$3,0,0,'Données projet'!$E$17+1,1))</f>
        <v>344.4426665022238</v>
      </c>
      <c r="GF45" s="62">
        <f t="shared" si="50"/>
        <v>376.41441893222185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15</v>
      </c>
      <c r="GU45" s="13">
        <f>IF('Données projet'!$A$270&gt;35,GU44+GT45-HC44,IF(A45&lt;'Données projet'!$A$270,$GR$205^A45,IF(A45='Données projet'!$A$270,'Données projet'!$B$270,GU44+GT45-HC44)))</f>
        <v>233</v>
      </c>
      <c r="GV45" s="18">
        <f>GU45*VLOOKUP('Données projet'!$B$18,Paramètres!$A$1:$I$89,3,0)*VLOOKUP('Données projet'!$B$18,Paramètres!$A$1:$I$89,5,0)</f>
        <v>112.07299999999999</v>
      </c>
      <c r="GW45" s="14">
        <f t="shared" si="51"/>
        <v>29.818867564983524</v>
      </c>
      <c r="GX45" s="22">
        <f t="shared" si="28"/>
        <v>247.12833600901297</v>
      </c>
      <c r="GY45" s="62">
        <f t="shared" si="29"/>
        <v>540.46166934234634</v>
      </c>
      <c r="GZ45" s="62">
        <f ca="1">AVERAGE(OFFSET($GY$3,0,0,'Données projet'!$E$18+1,1))-AVERAGE(OFFSET($H$3,0,0,'Données projet'!$E$18+1,1))</f>
        <v>441.17479680509746</v>
      </c>
      <c r="HA45" s="62">
        <f t="shared" si="52"/>
        <v>198.56576128410069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18.714285714285715</v>
      </c>
      <c r="N46" s="14">
        <f>IF('Données projet'!$A$36&gt;35,N45+M46-V45,IF(A46&lt;'Données projet'!$A$36,$K$205^A46,IF(A46='Données projet'!$A$36,'Données projet'!$B$36,N45+M46-V45)))</f>
        <v>360.7142857142855</v>
      </c>
      <c r="O46" s="14">
        <f>N46*VLOOKUP('Données projet'!$B$9,Paramètres!$A$1:$I$89,3,0)*VLOOKUP('Données projet'!$B$9,Paramètres!$A$1:$I$89,5,0)</f>
        <v>201.63928571428559</v>
      </c>
      <c r="P46" s="14">
        <f t="shared" si="33"/>
        <v>50.104261772905943</v>
      </c>
      <c r="Q46" s="22">
        <f t="shared" si="53"/>
        <v>438.45334520685856</v>
      </c>
      <c r="R46" s="62">
        <f t="shared" si="0"/>
        <v>731.78667854019182</v>
      </c>
      <c r="S46" s="62">
        <f ca="1">AVERAGE(OFFSET($R$3,0,0,'Données projet'!$E$9+1,1))-AVERAGE(OFFSET($H$3,0,0,'Données projet'!$E$9+1,1))</f>
        <v>374.79806286316051</v>
      </c>
      <c r="T46" s="62">
        <f t="shared" si="34"/>
        <v>350.01856672839466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5.1460348969730907</v>
      </c>
      <c r="AB46" s="23">
        <f>EXP(-LN(2)/2)*AB45+(1-EXP(-LN(2)/2))/(LN(2)/2)*V46*Y46*VLOOKUP('Données projet'!$B$9,Paramètres!$A$1:$I$89,3,0)*0.475*44/12</f>
        <v>9.9242921857540717E-2</v>
      </c>
      <c r="AC46" s="24">
        <f t="shared" si="3"/>
        <v>5.2452778188306315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8.8000000000000007</v>
      </c>
      <c r="AI46" s="14">
        <f>IF('Données projet'!$A$62&gt;35,AI45+AH46-AQ45,IF(A46&lt;'Données projet'!$A$62,$AF$205^A46,IF(A46='Données projet'!$A$62,'Données projet'!$B$62,AI45+AH46-AQ45)))</f>
        <v>201.40000000000015</v>
      </c>
      <c r="AJ46" s="14">
        <f>AI46*VLOOKUP('Données projet'!$B$10,Paramètres!$A$1:$I$89,3,0)*VLOOKUP('Données projet'!$B$10,Paramètres!$A$1:$I$89,5,0)</f>
        <v>175.94304000000014</v>
      </c>
      <c r="AK46" s="14">
        <f t="shared" si="35"/>
        <v>44.418393276556458</v>
      </c>
      <c r="AL46" s="22">
        <f t="shared" si="4"/>
        <v>383.79616295666938</v>
      </c>
      <c r="AM46" s="62">
        <f t="shared" si="5"/>
        <v>677.12949629000263</v>
      </c>
      <c r="AN46" s="62">
        <f ca="1">AVERAGE(OFFSET($AM$3,0,0,'Données projet'!$E$10+1,1))-AVERAGE(OFFSET($H$3,0,0,'Données projet'!$E$10+1,1))</f>
        <v>401.89597032936751</v>
      </c>
      <c r="AO46" s="62">
        <f t="shared" si="36"/>
        <v>417.85733543972361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162.20000000000002</v>
      </c>
      <c r="BE46" s="14">
        <f>BD46*VLOOKUP('Données projet'!$B$11,Paramètres!$A$1:$I$89,3,0)*VLOOKUP('Données projet'!$B$11,Paramètres!$A$1:$I$89,5,0)</f>
        <v>146.75856000000002</v>
      </c>
      <c r="BF46" s="14">
        <f t="shared" si="37"/>
        <v>37.841022770456242</v>
      </c>
      <c r="BG46" s="22">
        <f t="shared" si="7"/>
        <v>321.51093999187799</v>
      </c>
      <c r="BH46" s="62">
        <f t="shared" si="8"/>
        <v>614.84427332521136</v>
      </c>
      <c r="BI46" s="62">
        <f ca="1">AVERAGE(OFFSET($BH$3,0,0,'Données projet'!$E$11+1,1))-AVERAGE(OFFSET($H$3,0,0,'Données projet'!$E$11+1,1))</f>
        <v>430.40491895612814</v>
      </c>
      <c r="BJ46" s="62">
        <f t="shared" si="38"/>
        <v>231.36959598460686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5.7692307692307683</v>
      </c>
      <c r="BY46" s="13">
        <f>IF('Données projet'!$A$114&gt;35,BY45+BX46-CG45,IF(A46&lt;'Données projet'!$A$114,$BV$205^A46,IF(A46='Données projet'!$A$114,'Données projet'!$B$114,BY45+BX46-CG45)))</f>
        <v>141.02564102564111</v>
      </c>
      <c r="BZ46" s="14">
        <f>BY46*VLOOKUP('Données projet'!$B$12,Paramètres!$A$1:$I$89,3,0)*VLOOKUP('Données projet'!$B$12,Paramètres!$A$1:$I$89,5,0)</f>
        <v>134.20000000000007</v>
      </c>
      <c r="CA46" s="14">
        <f t="shared" si="39"/>
        <v>34.965052756825415</v>
      </c>
      <c r="CB46" s="22">
        <f t="shared" si="10"/>
        <v>294.62913355147111</v>
      </c>
      <c r="CC46" s="62">
        <f t="shared" si="11"/>
        <v>587.96246688480437</v>
      </c>
      <c r="CD46" s="62">
        <f ca="1">AVERAGE(OFFSET($CC$3,0,0,'Données projet'!$E$12+1,1))-AVERAGE(OFFSET($H$3,0,0,'Données projet'!$E$12+1,1))</f>
        <v>367.11183928586667</v>
      </c>
      <c r="CE46" s="62">
        <f t="shared" si="40"/>
        <v>281.52963027844595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18.2</v>
      </c>
      <c r="CT46" s="13">
        <f>IF('Données projet'!$A$140&gt;35,CT45+CS46-DB45,IF(A46&lt;'Données projet'!$A$140,$CQ$205^A46,IF(A46='Données projet'!$A$140,'Données projet'!$B$140,CT45+CS46-DB45)))</f>
        <v>290.5999999999998</v>
      </c>
      <c r="CU46" s="18">
        <f>CT46*VLOOKUP('Données projet'!$B$13,Paramètres!$A$1:$I$89,3,0)*VLOOKUP('Données projet'!$B$13,Paramètres!$A$1:$I$89,5,0)</f>
        <v>173.77879999999988</v>
      </c>
      <c r="CV46" s="14">
        <f t="shared" si="41"/>
        <v>43.935263155546174</v>
      </c>
      <c r="CW46" s="22">
        <f t="shared" si="13"/>
        <v>379.18532666257607</v>
      </c>
      <c r="CX46" s="62">
        <f t="shared" si="14"/>
        <v>672.51865999590939</v>
      </c>
      <c r="CY46" s="62">
        <f ca="1">AVERAGE(OFFSET($CX$3,0,0,'Données projet'!$E$13+1,1))-AVERAGE(OFFSET($H$3,0,0,'Données projet'!$E$13+1,1))</f>
        <v>308.47522272937135</v>
      </c>
      <c r="CZ46" s="62">
        <f t="shared" si="42"/>
        <v>302.54354650449721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2.6780387317135532</v>
      </c>
      <c r="DH46" s="23">
        <f>EXP(-LN(2)/2)*DH45+(1-EXP(-LN(2)/2))/(LN(2)/2)*DB46*DE46*VLOOKUP('Données projet'!$B$13,Paramètres!$A$1:$I$89,3,0)*0.475*44/12</f>
        <v>0.19084835153351182</v>
      </c>
      <c r="DI46" s="24">
        <f t="shared" si="15"/>
        <v>2.8688870832470652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9.8199999999999932</v>
      </c>
      <c r="DO46" s="13">
        <f>IF('Données projet'!$A$166&gt;35,DO45+DN46-DW45,IF(A46&lt;'Données projet'!$A$166,$DL$205^A46,IF(A46='Données projet'!$A$166,'Données projet'!$B$166,DO45+DN46-DW45)))</f>
        <v>222.55999999999989</v>
      </c>
      <c r="DP46" s="18">
        <f>DO46*VLOOKUP('Données projet'!$B$14,Paramètres!$A$1:$I$89,3,0)*VLOOKUP('Données projet'!$B$14,Paramètres!$A$1:$I$89,5,0)</f>
        <v>177.06873599999992</v>
      </c>
      <c r="DQ46" s="14">
        <f t="shared" si="43"/>
        <v>44.669412059753448</v>
      </c>
      <c r="DR46" s="22">
        <f t="shared" si="16"/>
        <v>386.19394120407043</v>
      </c>
      <c r="DS46" s="62">
        <f t="shared" si="17"/>
        <v>679.52727453740374</v>
      </c>
      <c r="DT46" s="62">
        <f ca="1">AVERAGE(OFFSET($DS$3,0,0,'Données projet'!$E$14+1,1))-AVERAGE(OFFSET($H$3,0,0,'Données projet'!$E$14+1,1))</f>
        <v>370.58277541710277</v>
      </c>
      <c r="DU46" s="62">
        <f t="shared" si="44"/>
        <v>404.61777090709171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10.666666666666666</v>
      </c>
      <c r="EJ46" s="13">
        <f>IF('Données projet'!$A$192&gt;35,EJ45+EI46-ER45,IF(A46&lt;'Données projet'!$A$192,$EG$205^A46,IF(A46='Données projet'!$A$192,'Données projet'!$B$192,EJ45+EI46-ER45)))</f>
        <v>198.66666666666669</v>
      </c>
      <c r="EK46" s="18">
        <f>EJ46*VLOOKUP('Données projet'!$B$15,Paramètres!$A$1:$I$89,3,0)*VLOOKUP('Données projet'!$B$15,Paramètres!$A$1:$I$89,5,0)</f>
        <v>123.968</v>
      </c>
      <c r="EL46" s="14">
        <f t="shared" si="45"/>
        <v>32.598710622532096</v>
      </c>
      <c r="EM46" s="22">
        <f t="shared" si="19"/>
        <v>272.68702100091008</v>
      </c>
      <c r="EN46" s="62">
        <f t="shared" si="20"/>
        <v>566.02035433424339</v>
      </c>
      <c r="EO46" s="62">
        <f ca="1">AVERAGE(OFFSET($EN$3,0,0,'Données projet'!$E$15+1,1))-AVERAGE(OFFSET($H$3,0,0,'Données projet'!$E$15+1,1))</f>
        <v>240.22884864766218</v>
      </c>
      <c r="EP46" s="62">
        <f t="shared" si="46"/>
        <v>343.23776884143166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7.1797736476891654</v>
      </c>
      <c r="EX46" s="23">
        <f>EXP(-LN(2)/2)*EX45+(1-EXP(-LN(2)/2))/(LN(2)/2)*ER46*EU46*VLOOKUP('Données projet'!$B$15,Paramètres!$A$1:$I$89,3,0)*0.475*44/12</f>
        <v>0.1825088992977979</v>
      </c>
      <c r="EY46" s="24">
        <f t="shared" si="21"/>
        <v>7.3622825469869628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20.399999999999999</v>
      </c>
      <c r="FE46" s="13">
        <f>IF('Données projet'!$A$218&gt;35,FE45+FD46-FM45,IF(A46&lt;'Données projet'!$A$218,$FB$205^A46,IF(A46='Données projet'!$A$218,'Données projet'!$B$218,FE45+FD46-FM45)))</f>
        <v>237.19999999999993</v>
      </c>
      <c r="FF46" s="18">
        <f>FE46*VLOOKUP('Données projet'!$B$16,Paramètres!$A$1:$I$89,3,0)*VLOOKUP('Données projet'!$B$16,Paramètres!$A$1:$I$89,5,0)</f>
        <v>111.00959999999996</v>
      </c>
      <c r="FG46" s="14">
        <f t="shared" si="47"/>
        <v>29.568727576170897</v>
      </c>
      <c r="FH46" s="22">
        <f t="shared" si="22"/>
        <v>244.8405871951642</v>
      </c>
      <c r="FI46" s="62">
        <f t="shared" si="23"/>
        <v>538.17392052849755</v>
      </c>
      <c r="FJ46" s="62">
        <f ca="1">AVERAGE(OFFSET($FI$3,0,0,'Données projet'!$E$16+1,1))-AVERAGE(OFFSET($H$3,0,0,'Données projet'!$E$16+1,1))</f>
        <v>399.92909819003523</v>
      </c>
      <c r="FK46" s="62">
        <f t="shared" si="48"/>
        <v>163.7053537268381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9.8199999999999932</v>
      </c>
      <c r="FZ46" s="13">
        <f>IF('Données projet'!$A$244&gt;35,FZ45+FY46-GH45,IF(A46&lt;'Données projet'!$A$244,$FW$205^A46,IF(A46='Données projet'!$A$244,'Données projet'!$B$244,FZ45+FY46-GH45)))</f>
        <v>222.55999999999989</v>
      </c>
      <c r="GA46" s="18">
        <f>FZ46*VLOOKUP('Données projet'!$B$17,Paramètres!$A$1:$I$89,3,0)*VLOOKUP('Données projet'!$B$17,Paramètres!$A$1:$I$89,5,0)</f>
        <v>163.18099199999992</v>
      </c>
      <c r="GB46" s="14">
        <f t="shared" si="49"/>
        <v>41.559172921966017</v>
      </c>
      <c r="GC46" s="22">
        <f t="shared" si="25"/>
        <v>356.58912057242401</v>
      </c>
      <c r="GD46" s="62">
        <f t="shared" si="26"/>
        <v>649.92245390575727</v>
      </c>
      <c r="GE46" s="62">
        <f ca="1">AVERAGE(OFFSET($GD$3,0,0,'Données projet'!$E$17+1,1))-AVERAGE(OFFSET($H$3,0,0,'Données projet'!$E$17+1,1))</f>
        <v>344.4426665022238</v>
      </c>
      <c r="GF46" s="62">
        <f t="shared" si="50"/>
        <v>376.41441893222185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15</v>
      </c>
      <c r="GU46" s="13">
        <f>IF('Données projet'!$A$270&gt;35,GU45+GT46-HC45,IF(A46&lt;'Données projet'!$A$270,$GR$205^A46,IF(A46='Données projet'!$A$270,'Données projet'!$B$270,GU45+GT46-HC45)))</f>
        <v>248</v>
      </c>
      <c r="GV46" s="18">
        <f>GU46*VLOOKUP('Données projet'!$B$18,Paramètres!$A$1:$I$89,3,0)*VLOOKUP('Données projet'!$B$18,Paramètres!$A$1:$I$89,5,0)</f>
        <v>119.28800000000001</v>
      </c>
      <c r="GW46" s="14">
        <f t="shared" si="51"/>
        <v>31.508879514838952</v>
      </c>
      <c r="GX46" s="22">
        <f t="shared" si="28"/>
        <v>262.63789848834455</v>
      </c>
      <c r="GY46" s="62">
        <f t="shared" si="29"/>
        <v>555.97123182167786</v>
      </c>
      <c r="GZ46" s="62">
        <f ca="1">AVERAGE(OFFSET($GY$3,0,0,'Données projet'!$E$18+1,1))-AVERAGE(OFFSET($H$3,0,0,'Données projet'!$E$18+1,1))</f>
        <v>441.17479680509746</v>
      </c>
      <c r="HA46" s="62">
        <f t="shared" si="52"/>
        <v>198.56576128410069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18.714285714285715</v>
      </c>
      <c r="N47" s="14">
        <f>IF('Données projet'!$A$36&gt;35,N46+M47-V46,IF(A47&lt;'Données projet'!$A$36,$K$205^A47,IF(A47='Données projet'!$A$36,'Données projet'!$B$36,N46+M47-V46)))</f>
        <v>379.42857142857122</v>
      </c>
      <c r="O47" s="14">
        <f>N47*VLOOKUP('Données projet'!$B$9,Paramètres!$A$1:$I$89,3,0)*VLOOKUP('Données projet'!$B$9,Paramètres!$A$1:$I$89,5,0)</f>
        <v>212.10057142857133</v>
      </c>
      <c r="P47" s="14">
        <f t="shared" si="33"/>
        <v>52.394347167709434</v>
      </c>
      <c r="Q47" s="22">
        <f t="shared" si="53"/>
        <v>460.66198322185556</v>
      </c>
      <c r="R47" s="62">
        <f t="shared" si="0"/>
        <v>753.99531655518888</v>
      </c>
      <c r="S47" s="62">
        <f ca="1">AVERAGE(OFFSET($R$3,0,0,'Données projet'!$E$9+1,1))-AVERAGE(OFFSET($H$3,0,0,'Données projet'!$E$9+1,1))</f>
        <v>374.79806286316051</v>
      </c>
      <c r="T47" s="62">
        <f t="shared" si="34"/>
        <v>350.01856672839466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5.0053163020971478</v>
      </c>
      <c r="AB47" s="23">
        <f>EXP(-LN(2)/2)*AB46+(1-EXP(-LN(2)/2))/(LN(2)/2)*V47*Y47*VLOOKUP('Données projet'!$B$9,Paramètres!$A$1:$I$89,3,0)*0.475*44/12</f>
        <v>7.0175343030233678E-2</v>
      </c>
      <c r="AC47" s="24">
        <f t="shared" si="3"/>
        <v>5.0754916451273813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8.8000000000000007</v>
      </c>
      <c r="AI47" s="14">
        <f>IF('Données projet'!$A$62&gt;35,AI46+AH47-AQ46,IF(A47&lt;'Données projet'!$A$62,$AF$205^A47,IF(A47='Données projet'!$A$62,'Données projet'!$B$62,AI46+AH47-AQ46)))</f>
        <v>210.20000000000016</v>
      </c>
      <c r="AJ47" s="14">
        <f>AI47*VLOOKUP('Données projet'!$B$10,Paramètres!$A$1:$I$89,3,0)*VLOOKUP('Données projet'!$B$10,Paramètres!$A$1:$I$89,5,0)</f>
        <v>183.63072000000017</v>
      </c>
      <c r="AK47" s="14">
        <f t="shared" si="35"/>
        <v>46.129013251634483</v>
      </c>
      <c r="AL47" s="22">
        <f t="shared" si="4"/>
        <v>400.16486874659699</v>
      </c>
      <c r="AM47" s="62">
        <f t="shared" si="5"/>
        <v>693.49820207993025</v>
      </c>
      <c r="AN47" s="62">
        <f ca="1">AVERAGE(OFFSET($AM$3,0,0,'Données projet'!$E$10+1,1))-AVERAGE(OFFSET($H$3,0,0,'Données projet'!$E$10+1,1))</f>
        <v>401.89597032936751</v>
      </c>
      <c r="AO47" s="62">
        <f t="shared" si="36"/>
        <v>417.85733543972361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170.60000000000002</v>
      </c>
      <c r="BE47" s="14">
        <f>BD47*VLOOKUP('Données projet'!$B$11,Paramètres!$A$1:$I$89,3,0)*VLOOKUP('Données projet'!$B$11,Paramètres!$A$1:$I$89,5,0)</f>
        <v>154.35888000000003</v>
      </c>
      <c r="BF47" s="14">
        <f t="shared" si="37"/>
        <v>39.567499286120309</v>
      </c>
      <c r="BG47" s="22">
        <f t="shared" si="7"/>
        <v>337.75511058999291</v>
      </c>
      <c r="BH47" s="62">
        <f t="shared" si="8"/>
        <v>631.08844392332617</v>
      </c>
      <c r="BI47" s="62">
        <f ca="1">AVERAGE(OFFSET($BH$3,0,0,'Données projet'!$E$11+1,1))-AVERAGE(OFFSET($H$3,0,0,'Données projet'!$E$11+1,1))</f>
        <v>430.40491895612814</v>
      </c>
      <c r="BJ47" s="62">
        <f t="shared" si="38"/>
        <v>231.36959598460686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5.7692307692307683</v>
      </c>
      <c r="BY47" s="13">
        <f>IF('Données projet'!$A$114&gt;35,BY46+BX47-CG46,IF(A47&lt;'Données projet'!$A$114,$BV$205^A47,IF(A47='Données projet'!$A$114,'Données projet'!$B$114,BY46+BX47-CG46)))</f>
        <v>146.79487179487188</v>
      </c>
      <c r="BZ47" s="14">
        <f>BY47*VLOOKUP('Données projet'!$B$12,Paramètres!$A$1:$I$89,3,0)*VLOOKUP('Données projet'!$B$12,Paramètres!$A$1:$I$89,5,0)</f>
        <v>139.69000000000008</v>
      </c>
      <c r="CA47" s="14">
        <f t="shared" si="39"/>
        <v>36.225979688604163</v>
      </c>
      <c r="CB47" s="22">
        <f t="shared" si="10"/>
        <v>306.3869979576524</v>
      </c>
      <c r="CC47" s="62">
        <f t="shared" si="11"/>
        <v>599.72033129098577</v>
      </c>
      <c r="CD47" s="62">
        <f ca="1">AVERAGE(OFFSET($CC$3,0,0,'Données projet'!$E$12+1,1))-AVERAGE(OFFSET($H$3,0,0,'Données projet'!$E$12+1,1))</f>
        <v>367.11183928586667</v>
      </c>
      <c r="CE47" s="62">
        <f t="shared" si="40"/>
        <v>281.52963027844595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18.2</v>
      </c>
      <c r="CT47" s="13">
        <f>IF('Données projet'!$A$140&gt;35,CT46+CS47-DB46,IF(A47&lt;'Données projet'!$A$140,$CQ$205^A47,IF(A47='Données projet'!$A$140,'Données projet'!$B$140,CT46+CS47-DB46)))</f>
        <v>308.79999999999978</v>
      </c>
      <c r="CU47" s="18">
        <f>CT47*VLOOKUP('Données projet'!$B$13,Paramètres!$A$1:$I$89,3,0)*VLOOKUP('Données projet'!$B$13,Paramètres!$A$1:$I$89,5,0)</f>
        <v>184.66239999999991</v>
      </c>
      <c r="CV47" s="14">
        <f t="shared" si="41"/>
        <v>46.357935400059098</v>
      </c>
      <c r="CW47" s="22">
        <f t="shared" si="13"/>
        <v>402.36041748843604</v>
      </c>
      <c r="CX47" s="62">
        <f t="shared" si="14"/>
        <v>695.6937508217693</v>
      </c>
      <c r="CY47" s="62">
        <f ca="1">AVERAGE(OFFSET($CX$3,0,0,'Données projet'!$E$13+1,1))-AVERAGE(OFFSET($H$3,0,0,'Données projet'!$E$13+1,1))</f>
        <v>308.47522272937135</v>
      </c>
      <c r="CZ47" s="62">
        <f t="shared" si="42"/>
        <v>302.54354650449721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2.6048076217629101</v>
      </c>
      <c r="DH47" s="23">
        <f>EXP(-LN(2)/2)*DH46+(1-EXP(-LN(2)/2))/(LN(2)/2)*DB47*DE47*VLOOKUP('Données projet'!$B$13,Paramètres!$A$1:$I$89,3,0)*0.475*44/12</f>
        <v>0.13495016354762024</v>
      </c>
      <c r="DI47" s="24">
        <f t="shared" si="15"/>
        <v>2.7397577853105304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9.8199999999999932</v>
      </c>
      <c r="DO47" s="13">
        <f>IF('Données projet'!$A$166&gt;35,DO46+DN47-DW46,IF(A47&lt;'Données projet'!$A$166,$DL$205^A47,IF(A47='Données projet'!$A$166,'Données projet'!$B$166,DO46+DN47-DW46)))</f>
        <v>232.37999999999988</v>
      </c>
      <c r="DP47" s="18">
        <f>DO47*VLOOKUP('Données projet'!$B$14,Paramètres!$A$1:$I$89,3,0)*VLOOKUP('Données projet'!$B$14,Paramètres!$A$1:$I$89,5,0)</f>
        <v>184.88152799999992</v>
      </c>
      <c r="DQ47" s="14">
        <f t="shared" si="43"/>
        <v>46.406539086581006</v>
      </c>
      <c r="DR47" s="22">
        <f t="shared" si="16"/>
        <v>402.82671684246179</v>
      </c>
      <c r="DS47" s="62">
        <f t="shared" si="17"/>
        <v>696.16005017579505</v>
      </c>
      <c r="DT47" s="62">
        <f ca="1">AVERAGE(OFFSET($DS$3,0,0,'Données projet'!$E$14+1,1))-AVERAGE(OFFSET($H$3,0,0,'Données projet'!$E$14+1,1))</f>
        <v>370.58277541710277</v>
      </c>
      <c r="DU47" s="62">
        <f t="shared" si="44"/>
        <v>404.61777090709171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10.666666666666666</v>
      </c>
      <c r="EJ47" s="13">
        <f>IF('Données projet'!$A$192&gt;35,EJ46+EI47-ER46,IF(A47&lt;'Données projet'!$A$192,$EG$205^A47,IF(A47='Données projet'!$A$192,'Données projet'!$B$192,EJ46+EI47-ER46)))</f>
        <v>209.33333333333334</v>
      </c>
      <c r="EK47" s="18">
        <f>EJ47*VLOOKUP('Données projet'!$B$15,Paramètres!$A$1:$I$89,3,0)*VLOOKUP('Données projet'!$B$15,Paramètres!$A$1:$I$89,5,0)</f>
        <v>130.62400000000002</v>
      </c>
      <c r="EL47" s="14">
        <f t="shared" si="45"/>
        <v>34.140507202645395</v>
      </c>
      <c r="EM47" s="22">
        <f t="shared" si="19"/>
        <v>286.96485004460743</v>
      </c>
      <c r="EN47" s="62">
        <f t="shared" si="20"/>
        <v>580.29818337794075</v>
      </c>
      <c r="EO47" s="62">
        <f ca="1">AVERAGE(OFFSET($EN$3,0,0,'Données projet'!$E$15+1,1))-AVERAGE(OFFSET($H$3,0,0,'Données projet'!$E$15+1,1))</f>
        <v>240.22884864766218</v>
      </c>
      <c r="EP47" s="62">
        <f t="shared" si="46"/>
        <v>343.23776884143166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6.9834423597252187</v>
      </c>
      <c r="EX47" s="23">
        <f>EXP(-LN(2)/2)*EX46+(1-EXP(-LN(2)/2))/(LN(2)/2)*ER47*EU47*VLOOKUP('Données projet'!$B$15,Paramètres!$A$1:$I$89,3,0)*0.475*44/12</f>
        <v>0.12905328032036562</v>
      </c>
      <c r="EY47" s="24">
        <f t="shared" si="21"/>
        <v>7.1124956400455845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20.399999999999999</v>
      </c>
      <c r="FE47" s="13">
        <f>IF('Données projet'!$A$218&gt;35,FE46+FD47-FM46,IF(A47&lt;'Données projet'!$A$218,$FB$205^A47,IF(A47='Données projet'!$A$218,'Données projet'!$B$218,FE46+FD47-FM46)))</f>
        <v>257.59999999999991</v>
      </c>
      <c r="FF47" s="18">
        <f>FE47*VLOOKUP('Données projet'!$B$16,Paramètres!$A$1:$I$89,3,0)*VLOOKUP('Données projet'!$B$16,Paramètres!$A$1:$I$89,5,0)</f>
        <v>120.55679999999995</v>
      </c>
      <c r="FG47" s="14">
        <f t="shared" si="47"/>
        <v>31.804828741198779</v>
      </c>
      <c r="FH47" s="22">
        <f t="shared" si="22"/>
        <v>265.36317005758775</v>
      </c>
      <c r="FI47" s="62">
        <f t="shared" si="23"/>
        <v>558.69650339092107</v>
      </c>
      <c r="FJ47" s="62">
        <f ca="1">AVERAGE(OFFSET($FI$3,0,0,'Données projet'!$E$16+1,1))-AVERAGE(OFFSET($H$3,0,0,'Données projet'!$E$16+1,1))</f>
        <v>399.92909819003523</v>
      </c>
      <c r="FK47" s="62">
        <f t="shared" si="48"/>
        <v>163.7053537268381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9.8199999999999932</v>
      </c>
      <c r="FZ47" s="13">
        <f>IF('Données projet'!$A$244&gt;35,FZ46+FY47-GH46,IF(A47&lt;'Données projet'!$A$244,$FW$205^A47,IF(A47='Données projet'!$A$244,'Données projet'!$B$244,FZ46+FY47-GH46)))</f>
        <v>232.37999999999988</v>
      </c>
      <c r="GA47" s="18">
        <f>FZ47*VLOOKUP('Données projet'!$B$17,Paramètres!$A$1:$I$89,3,0)*VLOOKUP('Données projet'!$B$17,Paramètres!$A$1:$I$89,5,0)</f>
        <v>170.3810159999999</v>
      </c>
      <c r="GB47" s="14">
        <f t="shared" si="49"/>
        <v>43.17534737258952</v>
      </c>
      <c r="GC47" s="22">
        <f t="shared" si="25"/>
        <v>371.94399954059327</v>
      </c>
      <c r="GD47" s="62">
        <f t="shared" si="26"/>
        <v>665.27733287392653</v>
      </c>
      <c r="GE47" s="62">
        <f ca="1">AVERAGE(OFFSET($GD$3,0,0,'Données projet'!$E$17+1,1))-AVERAGE(OFFSET($H$3,0,0,'Données projet'!$E$17+1,1))</f>
        <v>344.4426665022238</v>
      </c>
      <c r="GF47" s="62">
        <f t="shared" si="50"/>
        <v>376.41441893222185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15</v>
      </c>
      <c r="GU47" s="13">
        <f>IF('Données projet'!$A$270&gt;35,GU46+GT47-HC46,IF(A47&lt;'Données projet'!$A$270,$GR$205^A47,IF(A47='Données projet'!$A$270,'Données projet'!$B$270,GU46+GT47-HC46)))</f>
        <v>263</v>
      </c>
      <c r="GV47" s="18">
        <f>GU47*VLOOKUP('Données projet'!$B$18,Paramètres!$A$1:$I$89,3,0)*VLOOKUP('Données projet'!$B$18,Paramètres!$A$1:$I$89,5,0)</f>
        <v>126.50300000000001</v>
      </c>
      <c r="GW47" s="14">
        <f t="shared" si="51"/>
        <v>33.187027386382113</v>
      </c>
      <c r="GX47" s="22">
        <f t="shared" si="28"/>
        <v>278.12679769794886</v>
      </c>
      <c r="GY47" s="62">
        <f t="shared" si="29"/>
        <v>571.46013103128212</v>
      </c>
      <c r="GZ47" s="62">
        <f ca="1">AVERAGE(OFFSET($GY$3,0,0,'Données projet'!$E$18+1,1))-AVERAGE(OFFSET($H$3,0,0,'Données projet'!$E$18+1,1))</f>
        <v>441.17479680509746</v>
      </c>
      <c r="HA47" s="62">
        <f t="shared" si="52"/>
        <v>198.56576128410069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18.714285714285715</v>
      </c>
      <c r="N48" s="14">
        <f>IF('Données projet'!$A$36&gt;35,N47+M48-V47,IF(A48&lt;'Données projet'!$A$36,$K$205^A48,IF(A48='Données projet'!$A$36,'Données projet'!$B$36,N47+M48-V47)))</f>
        <v>398.14285714285694</v>
      </c>
      <c r="O48" s="14">
        <f>N48*VLOOKUP('Données projet'!$B$9,Paramètres!$A$1:$I$89,3,0)*VLOOKUP('Données projet'!$B$9,Paramètres!$A$1:$I$89,5,0)</f>
        <v>222.56185714285704</v>
      </c>
      <c r="P48" s="14">
        <f t="shared" si="33"/>
        <v>54.671316974727738</v>
      </c>
      <c r="Q48" s="22">
        <f t="shared" si="53"/>
        <v>482.84777825479341</v>
      </c>
      <c r="R48" s="62">
        <f t="shared" si="0"/>
        <v>776.18111158812667</v>
      </c>
      <c r="S48" s="62">
        <f ca="1">AVERAGE(OFFSET($R$3,0,0,'Données projet'!$E$9+1,1))-AVERAGE(OFFSET($H$3,0,0,'Données projet'!$E$9+1,1))</f>
        <v>374.79806286316051</v>
      </c>
      <c r="T48" s="62">
        <f t="shared" si="34"/>
        <v>350.01856672839466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4.8684456645981564</v>
      </c>
      <c r="AB48" s="23">
        <f>EXP(-LN(2)/2)*AB47+(1-EXP(-LN(2)/2))/(LN(2)/2)*V48*Y48*VLOOKUP('Données projet'!$B$9,Paramètres!$A$1:$I$89,3,0)*0.475*44/12</f>
        <v>4.9621460928770358E-2</v>
      </c>
      <c r="AC48" s="24">
        <f t="shared" si="3"/>
        <v>4.9180671255269264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219</v>
      </c>
      <c r="AG48" s="13">
        <f>VLOOKUP(A48,'Données projet'!$A$61:$I$81,9,0)</f>
        <v>8.8000000000000007</v>
      </c>
      <c r="AH48" s="13">
        <f t="array" ref="AH48">INDEX(AG:AG,MIN(IF(ISNUMBER(AG48:AG244),ROW(AG48:AG244),"")))</f>
        <v>8.8000000000000007</v>
      </c>
      <c r="AI48" s="14">
        <f>IF('Données projet'!$A$62&gt;35,AI47+AH48-AQ47,IF(A48&lt;'Données projet'!$A$62,$AF$205^A48,IF(A48='Données projet'!$A$62,'Données projet'!$B$62,AI47+AH48-AQ47)))</f>
        <v>219.00000000000017</v>
      </c>
      <c r="AJ48" s="14">
        <f>AI48*VLOOKUP('Données projet'!$B$10,Paramètres!$A$1:$I$89,3,0)*VLOOKUP('Données projet'!$B$10,Paramètres!$A$1:$I$89,5,0)</f>
        <v>191.3184000000002</v>
      </c>
      <c r="AK48" s="14">
        <f t="shared" si="35"/>
        <v>47.831314962098396</v>
      </c>
      <c r="AL48" s="22">
        <f t="shared" si="4"/>
        <v>416.5190868923217</v>
      </c>
      <c r="AM48" s="62">
        <f t="shared" si="5"/>
        <v>709.85242022565501</v>
      </c>
      <c r="AN48" s="62">
        <f ca="1">AVERAGE(OFFSET($AM$3,0,0,'Données projet'!$E$10+1,1))-AVERAGE(OFFSET($H$3,0,0,'Données projet'!$E$10+1,1))</f>
        <v>401.89597032936751</v>
      </c>
      <c r="AO48" s="62">
        <f t="shared" si="36"/>
        <v>417.85733543972361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179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179.00000000000003</v>
      </c>
      <c r="BE48" s="14">
        <f>BD48*VLOOKUP('Données projet'!$B$11,Paramètres!$A$1:$I$89,3,0)*VLOOKUP('Données projet'!$B$11,Paramètres!$A$1:$I$89,5,0)</f>
        <v>161.95920000000001</v>
      </c>
      <c r="BF48" s="14">
        <f t="shared" si="37"/>
        <v>41.284104935125683</v>
      </c>
      <c r="BG48" s="22">
        <f t="shared" si="7"/>
        <v>353.98208942867723</v>
      </c>
      <c r="BH48" s="62">
        <f t="shared" si="8"/>
        <v>647.31542276201048</v>
      </c>
      <c r="BI48" s="62">
        <f ca="1">AVERAGE(OFFSET($BH$3,0,0,'Données projet'!$E$11+1,1))-AVERAGE(OFFSET($H$3,0,0,'Données projet'!$E$11+1,1))</f>
        <v>430.40491895612814</v>
      </c>
      <c r="BJ48" s="62">
        <f t="shared" si="38"/>
        <v>231.36959598460686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42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152.56410256410257</v>
      </c>
      <c r="BW48" s="13">
        <f>VLOOKUP(A48,'Données projet'!$A$113:$I$133,9,0)</f>
        <v>5.7692307692307683</v>
      </c>
      <c r="BX48" s="13">
        <f t="array" ref="BX48">INDEX(BW:BW,MIN(IF(ISNUMBER(BW48:BW244),ROW(BW48:BW244),"")))</f>
        <v>5.7692307692307683</v>
      </c>
      <c r="BY48" s="13">
        <f>IF('Données projet'!$A$114&gt;35,BY47+BX48-CG47,IF(A48&lt;'Données projet'!$A$114,$BV$205^A48,IF(A48='Données projet'!$A$114,'Données projet'!$B$114,BY47+BX48-CG47)))</f>
        <v>152.56410256410265</v>
      </c>
      <c r="BZ48" s="14">
        <f>BY48*VLOOKUP('Données projet'!$B$12,Paramètres!$A$1:$I$89,3,0)*VLOOKUP('Données projet'!$B$12,Paramètres!$A$1:$I$89,5,0)</f>
        <v>145.18000000000009</v>
      </c>
      <c r="CA48" s="14">
        <f t="shared" si="39"/>
        <v>37.481149901429063</v>
      </c>
      <c r="CB48" s="22">
        <f t="shared" si="10"/>
        <v>318.13483607832245</v>
      </c>
      <c r="CC48" s="62">
        <f t="shared" si="11"/>
        <v>611.46816941165571</v>
      </c>
      <c r="CD48" s="62">
        <f ca="1">AVERAGE(OFFSET($CC$3,0,0,'Données projet'!$E$12+1,1))-AVERAGE(OFFSET($H$3,0,0,'Données projet'!$E$12+1,1))</f>
        <v>367.11183928586667</v>
      </c>
      <c r="CE48" s="62">
        <f t="shared" si="40"/>
        <v>281.52963027844595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327</v>
      </c>
      <c r="CR48" s="13">
        <f>VLOOKUP(A48,'Données projet'!$A$139:$I$159,9,0)</f>
        <v>18.2</v>
      </c>
      <c r="CS48" s="13">
        <f t="array" ref="CS48">INDEX(CR:CR,MIN(IF(ISNUMBER(CR48:CR244),ROW(CR48:CR244),"")))</f>
        <v>18.2</v>
      </c>
      <c r="CT48" s="13">
        <f>IF('Données projet'!$A$140&gt;35,CT47+CS48-DB47,IF(A48&lt;'Données projet'!$A$140,$CQ$205^A48,IF(A48='Données projet'!$A$140,'Données projet'!$B$140,CT47+CS48-DB47)))</f>
        <v>326.99999999999977</v>
      </c>
      <c r="CU48" s="18">
        <f>CT48*VLOOKUP('Données projet'!$B$13,Paramètres!$A$1:$I$89,3,0)*VLOOKUP('Données projet'!$B$13,Paramètres!$A$1:$I$89,5,0)</f>
        <v>195.54599999999988</v>
      </c>
      <c r="CV48" s="14">
        <f t="shared" si="41"/>
        <v>48.764033987743254</v>
      </c>
      <c r="CW48" s="22">
        <f t="shared" si="13"/>
        <v>425.50664252865255</v>
      </c>
      <c r="CX48" s="62">
        <f t="shared" si="14"/>
        <v>718.83997586198586</v>
      </c>
      <c r="CY48" s="62">
        <f ca="1">AVERAGE(OFFSET($CX$3,0,0,'Données projet'!$E$13+1,1))-AVERAGE(OFFSET($H$3,0,0,'Données projet'!$E$13+1,1))</f>
        <v>308.47522272937135</v>
      </c>
      <c r="CZ48" s="62">
        <f t="shared" si="42"/>
        <v>302.54354650449721</v>
      </c>
      <c r="DA48" s="16">
        <f>IF(ISNA(VLOOKUP(A48,'Données projet'!$A$139:$I$159,3,0)),0,VLOOKUP(A48,'Données projet'!$A$139:$I$159,3,0))</f>
        <v>7</v>
      </c>
      <c r="DB48" s="16">
        <f>IF(ISNA(VLOOKUP(A48,'Données projet'!$A$139:$I$159,4,0)),0,VLOOKUP(A48,'Données projet'!$A$139:$I$159,4,0))</f>
        <v>57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2.533579020364924</v>
      </c>
      <c r="DH48" s="23">
        <f>EXP(-LN(2)/2)*DH47+(1-EXP(-LN(2)/2))/(LN(2)/2)*DB48*DE48*VLOOKUP('Données projet'!$B$13,Paramètres!$A$1:$I$89,3,0)*0.475*44/12</f>
        <v>9.5424175766755909E-2</v>
      </c>
      <c r="DI48" s="24">
        <f t="shared" si="15"/>
        <v>2.6290031961316798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242.2</v>
      </c>
      <c r="DM48" s="13">
        <f>VLOOKUP(A48,'Données projet'!$A$165:$I$185,9,0)</f>
        <v>9.8199999999999932</v>
      </c>
      <c r="DN48" s="13">
        <f t="array" ref="DN48">INDEX(DM:DM,MIN(IF(ISNUMBER(DM48:DM244),ROW(DM48:DM244),"")))</f>
        <v>9.8199999999999932</v>
      </c>
      <c r="DO48" s="13">
        <f>IF('Données projet'!$A$166&gt;35,DO47+DN48-DW47,IF(A48&lt;'Données projet'!$A$166,$DL$205^A48,IF(A48='Données projet'!$A$166,'Données projet'!$B$166,DO47+DN48-DW47)))</f>
        <v>242.19999999999987</v>
      </c>
      <c r="DP48" s="18">
        <f>DO48*VLOOKUP('Données projet'!$B$14,Paramètres!$A$1:$I$89,3,0)*VLOOKUP('Données projet'!$B$14,Paramètres!$A$1:$I$89,5,0)</f>
        <v>192.69431999999989</v>
      </c>
      <c r="DQ48" s="14">
        <f t="shared" si="43"/>
        <v>48.13513970479886</v>
      </c>
      <c r="DR48" s="22">
        <f t="shared" si="16"/>
        <v>419.44464231919113</v>
      </c>
      <c r="DS48" s="62">
        <f t="shared" si="17"/>
        <v>712.77797565252445</v>
      </c>
      <c r="DT48" s="62">
        <f ca="1">AVERAGE(OFFSET($DS$3,0,0,'Données projet'!$E$14+1,1))-AVERAGE(OFFSET($H$3,0,0,'Données projet'!$E$14+1,1))</f>
        <v>370.58277541710277</v>
      </c>
      <c r="DU48" s="62">
        <f t="shared" si="44"/>
        <v>404.61777090709171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10.666666666666666</v>
      </c>
      <c r="EJ48" s="13">
        <f>IF('Données projet'!$A$192&gt;35,EJ47+EI48-ER47,IF(A48&lt;'Données projet'!$A$192,$EG$205^A48,IF(A48='Données projet'!$A$192,'Données projet'!$B$192,EJ47+EI48-ER47)))</f>
        <v>220</v>
      </c>
      <c r="EK48" s="18">
        <f>EJ48*VLOOKUP('Données projet'!$B$15,Paramètres!$A$1:$I$89,3,0)*VLOOKUP('Données projet'!$B$15,Paramètres!$A$1:$I$89,5,0)</f>
        <v>137.28</v>
      </c>
      <c r="EL48" s="14">
        <f t="shared" si="45"/>
        <v>35.673181961873446</v>
      </c>
      <c r="EM48" s="22">
        <f t="shared" si="19"/>
        <v>301.22679191692959</v>
      </c>
      <c r="EN48" s="62">
        <f t="shared" si="20"/>
        <v>594.5601252502629</v>
      </c>
      <c r="EO48" s="62">
        <f ca="1">AVERAGE(OFFSET($EN$3,0,0,'Données projet'!$E$15+1,1))-AVERAGE(OFFSET($H$3,0,0,'Données projet'!$E$15+1,1))</f>
        <v>240.22884864766218</v>
      </c>
      <c r="EP48" s="62">
        <f t="shared" si="46"/>
        <v>343.23776884143166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6.7924797611552599</v>
      </c>
      <c r="EX48" s="23">
        <f>EXP(-LN(2)/2)*EX47+(1-EXP(-LN(2)/2))/(LN(2)/2)*ER48*EU48*VLOOKUP('Données projet'!$B$15,Paramètres!$A$1:$I$89,3,0)*0.475*44/12</f>
        <v>9.125444964889895E-2</v>
      </c>
      <c r="EY48" s="24">
        <f t="shared" si="21"/>
        <v>6.8837342108041586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20.399999999999999</v>
      </c>
      <c r="FE48" s="13">
        <f>IF('Données projet'!$A$218&gt;35,FE47+FD48-FM47,IF(A48&lt;'Données projet'!$A$218,$FB$205^A48,IF(A48='Données projet'!$A$218,'Données projet'!$B$218,FE47+FD48-FM47)))</f>
        <v>277.99999999999989</v>
      </c>
      <c r="FF48" s="18">
        <f>FE48*VLOOKUP('Données projet'!$B$16,Paramètres!$A$1:$I$89,3,0)*VLOOKUP('Données projet'!$B$16,Paramètres!$A$1:$I$89,5,0)</f>
        <v>130.10399999999996</v>
      </c>
      <c r="FG48" s="14">
        <f t="shared" si="47"/>
        <v>34.020389560268086</v>
      </c>
      <c r="FH48" s="22">
        <f t="shared" si="22"/>
        <v>285.84997848413349</v>
      </c>
      <c r="FI48" s="62">
        <f t="shared" si="23"/>
        <v>579.1833118174668</v>
      </c>
      <c r="FJ48" s="62">
        <f ca="1">AVERAGE(OFFSET($FI$3,0,0,'Données projet'!$E$16+1,1))-AVERAGE(OFFSET($H$3,0,0,'Données projet'!$E$16+1,1))</f>
        <v>399.92909819003523</v>
      </c>
      <c r="FK48" s="62">
        <f t="shared" si="48"/>
        <v>163.7053537268381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242.2</v>
      </c>
      <c r="FX48" s="13">
        <f>VLOOKUP(A48,'Données projet'!$A$243:$I$263,9,0)</f>
        <v>9.8199999999999932</v>
      </c>
      <c r="FY48" s="13">
        <f t="array" ref="FY48">INDEX(FX:FX,MIN(IF(ISNUMBER(FX48:FX244),ROW(FX48:FX244),"")))</f>
        <v>9.8199999999999932</v>
      </c>
      <c r="FZ48" s="13">
        <f>IF('Données projet'!$A$244&gt;35,FZ47+FY48-GH47,IF(A48&lt;'Données projet'!$A$244,$FW$205^A48,IF(A48='Données projet'!$A$244,'Données projet'!$B$244,FZ47+FY48-GH47)))</f>
        <v>242.19999999999987</v>
      </c>
      <c r="GA48" s="18">
        <f>FZ48*VLOOKUP('Données projet'!$B$17,Paramètres!$A$1:$I$89,3,0)*VLOOKUP('Données projet'!$B$17,Paramètres!$A$1:$I$89,5,0)</f>
        <v>177.58103999999989</v>
      </c>
      <c r="GB48" s="14">
        <f t="shared" si="49"/>
        <v>44.783589090869476</v>
      </c>
      <c r="GC48" s="22">
        <f t="shared" si="25"/>
        <v>387.28506233326408</v>
      </c>
      <c r="GD48" s="62">
        <f t="shared" si="26"/>
        <v>680.61839566659739</v>
      </c>
      <c r="GE48" s="62">
        <f ca="1">AVERAGE(OFFSET($GD$3,0,0,'Données projet'!$E$17+1,1))-AVERAGE(OFFSET($H$3,0,0,'Données projet'!$E$17+1,1))</f>
        <v>344.4426665022238</v>
      </c>
      <c r="GF48" s="62">
        <f t="shared" si="50"/>
        <v>376.41441893222185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15</v>
      </c>
      <c r="GU48" s="13">
        <f>IF('Données projet'!$A$270&gt;35,GU47+GT48-HC47,IF(A48&lt;'Données projet'!$A$270,$GR$205^A48,IF(A48='Données projet'!$A$270,'Données projet'!$B$270,GU47+GT48-HC47)))</f>
        <v>278</v>
      </c>
      <c r="GV48" s="18">
        <f>GU48*VLOOKUP('Données projet'!$B$18,Paramètres!$A$1:$I$89,3,0)*VLOOKUP('Données projet'!$B$18,Paramètres!$A$1:$I$89,5,0)</f>
        <v>133.71800000000002</v>
      </c>
      <c r="GW48" s="14">
        <f t="shared" si="51"/>
        <v>34.854064939176951</v>
      </c>
      <c r="GX48" s="22">
        <f t="shared" si="28"/>
        <v>293.59634643573321</v>
      </c>
      <c r="GY48" s="62">
        <f t="shared" si="29"/>
        <v>586.92967976906652</v>
      </c>
      <c r="GZ48" s="62">
        <f ca="1">AVERAGE(OFFSET($GY$3,0,0,'Données projet'!$E$18+1,1))-AVERAGE(OFFSET($H$3,0,0,'Données projet'!$E$18+1,1))</f>
        <v>441.17479680509746</v>
      </c>
      <c r="HA48" s="62">
        <f t="shared" si="52"/>
        <v>198.56576128410069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18.714285714285715</v>
      </c>
      <c r="N49" s="14">
        <f>IF('Données projet'!$A$36&gt;35,N48+M49-V48,IF(A49&lt;'Données projet'!$A$36,$K$205^A49,IF(A49='Données projet'!$A$36,'Données projet'!$B$36,N48+M49-V48)))</f>
        <v>416.85714285714266</v>
      </c>
      <c r="O49" s="14">
        <f>N49*VLOOKUP('Données projet'!$B$9,Paramètres!$A$1:$I$89,3,0)*VLOOKUP('Données projet'!$B$9,Paramètres!$A$1:$I$89,5,0)</f>
        <v>233.02314285714277</v>
      </c>
      <c r="P49" s="14">
        <f t="shared" si="33"/>
        <v>56.935858075040223</v>
      </c>
      <c r="Q49" s="22">
        <f t="shared" si="53"/>
        <v>505.01192662355203</v>
      </c>
      <c r="R49" s="62">
        <f t="shared" si="0"/>
        <v>798.34525995688534</v>
      </c>
      <c r="S49" s="62">
        <f ca="1">AVERAGE(OFFSET($R$3,0,0,'Données projet'!$E$9+1,1))-AVERAGE(OFFSET($H$3,0,0,'Données projet'!$E$9+1,1))</f>
        <v>374.79806286316051</v>
      </c>
      <c r="T49" s="62">
        <f t="shared" si="34"/>
        <v>350.01856672839466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4.7353177618792897</v>
      </c>
      <c r="AB49" s="23">
        <f>EXP(-LN(2)/2)*AB48+(1-EXP(-LN(2)/2))/(LN(2)/2)*V49*Y49*VLOOKUP('Données projet'!$B$9,Paramètres!$A$1:$I$89,3,0)*0.475*44/12</f>
        <v>3.5087671515116839E-2</v>
      </c>
      <c r="AC49" s="24">
        <f t="shared" si="3"/>
        <v>4.7704054333944068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227.20000000000016</v>
      </c>
      <c r="AJ49" s="14">
        <f>AI49*VLOOKUP('Données projet'!$B$10,Paramètres!$A$1:$I$89,3,0)*VLOOKUP('Données projet'!$B$10,Paramètres!$A$1:$I$89,5,0)</f>
        <v>198.48192000000017</v>
      </c>
      <c r="AK49" s="14">
        <f t="shared" si="35"/>
        <v>49.410391887159314</v>
      </c>
      <c r="AL49" s="22">
        <f t="shared" si="4"/>
        <v>431.74577653680279</v>
      </c>
      <c r="AM49" s="62">
        <f t="shared" si="5"/>
        <v>725.07910987013611</v>
      </c>
      <c r="AN49" s="62">
        <f ca="1">AVERAGE(OFFSET($AM$3,0,0,'Données projet'!$E$10+1,1))-AVERAGE(OFFSET($H$3,0,0,'Données projet'!$E$10+1,1))</f>
        <v>401.89597032936751</v>
      </c>
      <c r="AO49" s="62">
        <f t="shared" si="36"/>
        <v>417.85733543972361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145.20000000000002</v>
      </c>
      <c r="BE49" s="14">
        <f>BD49*VLOOKUP('Données projet'!$B$11,Paramètres!$A$1:$I$89,3,0)*VLOOKUP('Données projet'!$B$11,Paramètres!$A$1:$I$89,5,0)</f>
        <v>131.37696000000003</v>
      </c>
      <c r="BF49" s="14">
        <f t="shared" si="37"/>
        <v>34.314338988223334</v>
      </c>
      <c r="BG49" s="22">
        <f t="shared" si="7"/>
        <v>288.57901240448905</v>
      </c>
      <c r="BH49" s="62">
        <f t="shared" si="8"/>
        <v>581.91234573782231</v>
      </c>
      <c r="BI49" s="62">
        <f ca="1">AVERAGE(OFFSET($BH$3,0,0,'Données projet'!$E$11+1,1))-AVERAGE(OFFSET($H$3,0,0,'Données projet'!$E$11+1,1))</f>
        <v>430.40491895612814</v>
      </c>
      <c r="BJ49" s="62">
        <f t="shared" si="38"/>
        <v>231.36959598460686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5.5128205128205083</v>
      </c>
      <c r="BY49" s="13">
        <f>IF('Données projet'!$A$114&gt;35,BY48+BX49-CG48,IF(A49&lt;'Données projet'!$A$114,$BV$205^A49,IF(A49='Données projet'!$A$114,'Données projet'!$B$114,BY48+BX49-CG48)))</f>
        <v>158.07692307692315</v>
      </c>
      <c r="BZ49" s="14">
        <f>BY49*VLOOKUP('Données projet'!$B$12,Paramètres!$A$1:$I$89,3,0)*VLOOKUP('Données projet'!$B$12,Paramètres!$A$1:$I$89,5,0)</f>
        <v>150.42600000000007</v>
      </c>
      <c r="CA49" s="14">
        <f t="shared" si="39"/>
        <v>38.67537966484668</v>
      </c>
      <c r="CB49" s="22">
        <f t="shared" si="10"/>
        <v>329.35156958294141</v>
      </c>
      <c r="CC49" s="62">
        <f t="shared" si="11"/>
        <v>622.68490291627472</v>
      </c>
      <c r="CD49" s="62">
        <f ca="1">AVERAGE(OFFSET($CC$3,0,0,'Données projet'!$E$12+1,1))-AVERAGE(OFFSET($H$3,0,0,'Données projet'!$E$12+1,1))</f>
        <v>367.11183928586667</v>
      </c>
      <c r="CE49" s="62">
        <f t="shared" si="40"/>
        <v>281.52963027844595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19.399999999999999</v>
      </c>
      <c r="CT49" s="13">
        <f>IF('Données projet'!$A$140&gt;35,CT48+CS49-DB48,IF(A49&lt;'Données projet'!$A$140,$CQ$205^A49,IF(A49='Données projet'!$A$140,'Données projet'!$B$140,CT48+CS49-DB48)))</f>
        <v>289.39999999999975</v>
      </c>
      <c r="CU49" s="18">
        <f>CT49*VLOOKUP('Données projet'!$B$13,Paramètres!$A$1:$I$89,3,0)*VLOOKUP('Données projet'!$B$13,Paramètres!$A$1:$I$89,5,0)</f>
        <v>173.06119999999984</v>
      </c>
      <c r="CV49" s="14">
        <f t="shared" si="41"/>
        <v>43.774916798471033</v>
      </c>
      <c r="CW49" s="22">
        <f t="shared" si="13"/>
        <v>377.65623675733673</v>
      </c>
      <c r="CX49" s="62">
        <f t="shared" si="14"/>
        <v>670.98957009066999</v>
      </c>
      <c r="CY49" s="62">
        <f ca="1">AVERAGE(OFFSET($CX$3,0,0,'Données projet'!$E$13+1,1))-AVERAGE(OFFSET($H$3,0,0,'Données projet'!$E$13+1,1))</f>
        <v>308.47522272937135</v>
      </c>
      <c r="CZ49" s="62">
        <f t="shared" si="42"/>
        <v>302.54354650449721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2.4642981688179151</v>
      </c>
      <c r="DH49" s="23">
        <f>EXP(-LN(2)/2)*DH48+(1-EXP(-LN(2)/2))/(LN(2)/2)*DB49*DE49*VLOOKUP('Données projet'!$B$13,Paramètres!$A$1:$I$89,3,0)*0.475*44/12</f>
        <v>6.7475081773810119E-2</v>
      </c>
      <c r="DI49" s="24">
        <f t="shared" si="15"/>
        <v>2.5317732505917254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8.5399999999999974</v>
      </c>
      <c r="DO49" s="13">
        <f>IF('Données projet'!$A$166&gt;35,DO48+DN49-DW48,IF(A49&lt;'Données projet'!$A$166,$DL$205^A49,IF(A49='Données projet'!$A$166,'Données projet'!$B$166,DO48+DN49-DW48)))</f>
        <v>250.73999999999987</v>
      </c>
      <c r="DP49" s="18">
        <f>DO49*VLOOKUP('Données projet'!$B$14,Paramètres!$A$1:$I$89,3,0)*VLOOKUP('Données projet'!$B$14,Paramètres!$A$1:$I$89,5,0)</f>
        <v>199.48874399999991</v>
      </c>
      <c r="DQ49" s="14">
        <f t="shared" si="43"/>
        <v>49.631792398634111</v>
      </c>
      <c r="DR49" s="22">
        <f t="shared" si="16"/>
        <v>433.88493422762093</v>
      </c>
      <c r="DS49" s="62">
        <f t="shared" si="17"/>
        <v>727.21826756095425</v>
      </c>
      <c r="DT49" s="62">
        <f ca="1">AVERAGE(OFFSET($DS$3,0,0,'Données projet'!$E$14+1,1))-AVERAGE(OFFSET($H$3,0,0,'Données projet'!$E$14+1,1))</f>
        <v>370.58277541710277</v>
      </c>
      <c r="DU49" s="62">
        <f t="shared" si="44"/>
        <v>404.61777090709171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10.666666666666666</v>
      </c>
      <c r="EJ49" s="13">
        <f>IF('Données projet'!$A$192&gt;35,EJ48+EI49-ER48,IF(A49&lt;'Données projet'!$A$192,$EG$205^A49,IF(A49='Données projet'!$A$192,'Données projet'!$B$192,EJ48+EI49-ER48)))</f>
        <v>230.66666666666666</v>
      </c>
      <c r="EK49" s="18">
        <f>EJ49*VLOOKUP('Données projet'!$B$15,Paramètres!$A$1:$I$89,3,0)*VLOOKUP('Données projet'!$B$15,Paramètres!$A$1:$I$89,5,0)</f>
        <v>143.93599999999998</v>
      </c>
      <c r="EL49" s="14">
        <f t="shared" si="45"/>
        <v>37.197227655019397</v>
      </c>
      <c r="EM49" s="22">
        <f t="shared" si="19"/>
        <v>315.47370483249205</v>
      </c>
      <c r="EN49" s="62">
        <f t="shared" si="20"/>
        <v>608.80703816582536</v>
      </c>
      <c r="EO49" s="62">
        <f ca="1">AVERAGE(OFFSET($EN$3,0,0,'Données projet'!$E$15+1,1))-AVERAGE(OFFSET($H$3,0,0,'Données projet'!$E$15+1,1))</f>
        <v>240.22884864766218</v>
      </c>
      <c r="EP49" s="62">
        <f t="shared" si="46"/>
        <v>343.23776884143166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6.606739044885483</v>
      </c>
      <c r="EX49" s="23">
        <f>EXP(-LN(2)/2)*EX48+(1-EXP(-LN(2)/2))/(LN(2)/2)*ER49*EU49*VLOOKUP('Données projet'!$B$15,Paramètres!$A$1:$I$89,3,0)*0.475*44/12</f>
        <v>6.4526640160182808E-2</v>
      </c>
      <c r="EY49" s="24">
        <f t="shared" si="21"/>
        <v>6.6712656850456655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20.399999999999999</v>
      </c>
      <c r="FE49" s="13">
        <f>IF('Données projet'!$A$218&gt;35,FE48+FD49-FM48,IF(A49&lt;'Données projet'!$A$218,$FB$205^A49,IF(A49='Données projet'!$A$218,'Données projet'!$B$218,FE48+FD49-FM48)))</f>
        <v>298.39999999999986</v>
      </c>
      <c r="FF49" s="18">
        <f>FE49*VLOOKUP('Données projet'!$B$16,Paramètres!$A$1:$I$89,3,0)*VLOOKUP('Données projet'!$B$16,Paramètres!$A$1:$I$89,5,0)</f>
        <v>139.65119999999993</v>
      </c>
      <c r="FG49" s="14">
        <f t="shared" si="47"/>
        <v>36.217088715919452</v>
      </c>
      <c r="FH49" s="22">
        <f t="shared" si="22"/>
        <v>306.30393618022629</v>
      </c>
      <c r="FI49" s="62">
        <f t="shared" si="23"/>
        <v>599.63726951355966</v>
      </c>
      <c r="FJ49" s="62">
        <f ca="1">AVERAGE(OFFSET($FI$3,0,0,'Données projet'!$E$16+1,1))-AVERAGE(OFFSET($H$3,0,0,'Données projet'!$E$16+1,1))</f>
        <v>399.92909819003523</v>
      </c>
      <c r="FK49" s="62">
        <f t="shared" si="48"/>
        <v>163.7053537268381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8.5399999999999974</v>
      </c>
      <c r="FZ49" s="13">
        <f>IF('Données projet'!$A$244&gt;35,FZ48+FY49-GH48,IF(A49&lt;'Données projet'!$A$244,$FW$205^A49,IF(A49='Données projet'!$A$244,'Données projet'!$B$244,FZ48+FY49-GH48)))</f>
        <v>250.73999999999987</v>
      </c>
      <c r="GA49" s="18">
        <f>FZ49*VLOOKUP('Données projet'!$B$17,Paramètres!$A$1:$I$89,3,0)*VLOOKUP('Données projet'!$B$17,Paramètres!$A$1:$I$89,5,0)</f>
        <v>183.84256799999991</v>
      </c>
      <c r="GB49" s="14">
        <f t="shared" si="49"/>
        <v>46.176032940903148</v>
      </c>
      <c r="GC49" s="22">
        <f t="shared" si="25"/>
        <v>400.61572997207281</v>
      </c>
      <c r="GD49" s="62">
        <f t="shared" si="26"/>
        <v>693.94906330540607</v>
      </c>
      <c r="GE49" s="62">
        <f ca="1">AVERAGE(OFFSET($GD$3,0,0,'Données projet'!$E$17+1,1))-AVERAGE(OFFSET($H$3,0,0,'Données projet'!$E$17+1,1))</f>
        <v>344.4426665022238</v>
      </c>
      <c r="GF49" s="62">
        <f t="shared" si="50"/>
        <v>376.41441893222185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15</v>
      </c>
      <c r="GU49" s="13">
        <f>IF('Données projet'!$A$270&gt;35,GU48+GT49-HC48,IF(A49&lt;'Données projet'!$A$270,$GR$205^A49,IF(A49='Données projet'!$A$270,'Données projet'!$B$270,GU48+GT49-HC48)))</f>
        <v>293</v>
      </c>
      <c r="GV49" s="18">
        <f>GU49*VLOOKUP('Données projet'!$B$18,Paramètres!$A$1:$I$89,3,0)*VLOOKUP('Données projet'!$B$18,Paramètres!$A$1:$I$89,5,0)</f>
        <v>140.93299999999999</v>
      </c>
      <c r="GW49" s="14">
        <f t="shared" si="51"/>
        <v>36.510659997847625</v>
      </c>
      <c r="GX49" s="22">
        <f t="shared" si="28"/>
        <v>309.04770782958457</v>
      </c>
      <c r="GY49" s="62">
        <f t="shared" si="29"/>
        <v>602.38104116291788</v>
      </c>
      <c r="GZ49" s="62">
        <f ca="1">AVERAGE(OFFSET($GY$3,0,0,'Données projet'!$E$18+1,1))-AVERAGE(OFFSET($H$3,0,0,'Données projet'!$E$18+1,1))</f>
        <v>441.17479680509746</v>
      </c>
      <c r="HA49" s="62">
        <f t="shared" si="52"/>
        <v>198.56576128410069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18.714285714285715</v>
      </c>
      <c r="N50" s="14">
        <f>IF('Données projet'!$A$36&gt;35,N49+M50-V49,IF(A50&lt;'Données projet'!$A$36,$K$205^A50,IF(A50='Données projet'!$A$36,'Données projet'!$B$36,N49+M50-V49)))</f>
        <v>435.57142857142838</v>
      </c>
      <c r="O50" s="14">
        <f>N50*VLOOKUP('Données projet'!$B$9,Paramètres!$A$1:$I$89,3,0)*VLOOKUP('Données projet'!$B$9,Paramètres!$A$1:$I$89,5,0)</f>
        <v>243.48442857142848</v>
      </c>
      <c r="P50" s="14">
        <f t="shared" si="33"/>
        <v>59.188592189821975</v>
      </c>
      <c r="Q50" s="22">
        <f t="shared" si="53"/>
        <v>527.15551115917788</v>
      </c>
      <c r="R50" s="62">
        <f t="shared" si="0"/>
        <v>820.48884449251113</v>
      </c>
      <c r="S50" s="62">
        <f ca="1">AVERAGE(OFFSET($R$3,0,0,'Données projet'!$E$9+1,1))-AVERAGE(OFFSET($H$3,0,0,'Données projet'!$E$9+1,1))</f>
        <v>374.79806286316051</v>
      </c>
      <c r="T50" s="62">
        <f t="shared" si="34"/>
        <v>350.01856672839466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4.605830248661162</v>
      </c>
      <c r="AB50" s="23">
        <f>EXP(-LN(2)/2)*AB49+(1-EXP(-LN(2)/2))/(LN(2)/2)*V50*Y50*VLOOKUP('Données projet'!$B$9,Paramètres!$A$1:$I$89,3,0)*0.475*44/12</f>
        <v>2.4810730464385179E-2</v>
      </c>
      <c r="AC50" s="24">
        <f t="shared" si="3"/>
        <v>4.6306409791255474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235.40000000000015</v>
      </c>
      <c r="AJ50" s="14">
        <f>AI50*VLOOKUP('Données projet'!$B$10,Paramètres!$A$1:$I$89,3,0)*VLOOKUP('Données projet'!$B$10,Paramètres!$A$1:$I$89,5,0)</f>
        <v>205.64544000000015</v>
      </c>
      <c r="AK50" s="14">
        <f t="shared" si="35"/>
        <v>50.982847417614401</v>
      </c>
      <c r="AL50" s="22">
        <f t="shared" si="4"/>
        <v>446.96093391901201</v>
      </c>
      <c r="AM50" s="62">
        <f t="shared" si="5"/>
        <v>740.29426725234532</v>
      </c>
      <c r="AN50" s="62">
        <f ca="1">AVERAGE(OFFSET($AM$3,0,0,'Données projet'!$E$10+1,1))-AVERAGE(OFFSET($H$3,0,0,'Données projet'!$E$10+1,1))</f>
        <v>401.89597032936751</v>
      </c>
      <c r="AO50" s="62">
        <f t="shared" si="36"/>
        <v>417.85733543972361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</v>
      </c>
      <c r="BE50" s="14">
        <f>BD50*VLOOKUP('Données projet'!$B$11,Paramètres!$A$1:$I$89,3,0)*VLOOKUP('Données projet'!$B$11,Paramètres!$A$1:$I$89,5,0)</f>
        <v>138.79632000000001</v>
      </c>
      <c r="BF50" s="14">
        <f t="shared" si="37"/>
        <v>36.021120886354588</v>
      </c>
      <c r="BG50" s="22">
        <f t="shared" si="7"/>
        <v>304.47370954373423</v>
      </c>
      <c r="BH50" s="62">
        <f t="shared" si="8"/>
        <v>597.80704287706749</v>
      </c>
      <c r="BI50" s="62">
        <f ca="1">AVERAGE(OFFSET($BH$3,0,0,'Données projet'!$E$11+1,1))-AVERAGE(OFFSET($H$3,0,0,'Données projet'!$E$11+1,1))</f>
        <v>430.40491895612814</v>
      </c>
      <c r="BJ50" s="62">
        <f t="shared" si="38"/>
        <v>231.36959598460686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5.5128205128205083</v>
      </c>
      <c r="BY50" s="13">
        <f>IF('Données projet'!$A$114&gt;35,BY49+BX50-CG49,IF(A50&lt;'Données projet'!$A$114,$BV$205^A50,IF(A50='Données projet'!$A$114,'Données projet'!$B$114,BY49+BX50-CG49)))</f>
        <v>163.58974358974365</v>
      </c>
      <c r="BZ50" s="14">
        <f>BY50*VLOOKUP('Données projet'!$B$12,Paramètres!$A$1:$I$89,3,0)*VLOOKUP('Données projet'!$B$12,Paramètres!$A$1:$I$89,5,0)</f>
        <v>155.67200000000005</v>
      </c>
      <c r="CA50" s="14">
        <f t="shared" si="39"/>
        <v>39.86477040096252</v>
      </c>
      <c r="CB50" s="22">
        <f t="shared" si="10"/>
        <v>340.55987511500985</v>
      </c>
      <c r="CC50" s="62">
        <f t="shared" si="11"/>
        <v>633.8932084483431</v>
      </c>
      <c r="CD50" s="62">
        <f ca="1">AVERAGE(OFFSET($CC$3,0,0,'Données projet'!$E$12+1,1))-AVERAGE(OFFSET($H$3,0,0,'Données projet'!$E$12+1,1))</f>
        <v>367.11183928586667</v>
      </c>
      <c r="CE50" s="62">
        <f t="shared" si="40"/>
        <v>281.52963027844595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19.399999999999999</v>
      </c>
      <c r="CT50" s="13">
        <f>IF('Données projet'!$A$140&gt;35,CT49+CS50-DB49,IF(A50&lt;'Données projet'!$A$140,$CQ$205^A50,IF(A50='Données projet'!$A$140,'Données projet'!$B$140,CT49+CS50-DB49)))</f>
        <v>308.79999999999973</v>
      </c>
      <c r="CU50" s="18">
        <f>CT50*VLOOKUP('Données projet'!$B$13,Paramètres!$A$1:$I$89,3,0)*VLOOKUP('Données projet'!$B$13,Paramètres!$A$1:$I$89,5,0)</f>
        <v>184.66239999999985</v>
      </c>
      <c r="CV50" s="14">
        <f t="shared" si="41"/>
        <v>46.357935400059098</v>
      </c>
      <c r="CW50" s="22">
        <f t="shared" si="13"/>
        <v>402.36041748843598</v>
      </c>
      <c r="CX50" s="62">
        <f t="shared" si="14"/>
        <v>695.6937508217693</v>
      </c>
      <c r="CY50" s="62">
        <f ca="1">AVERAGE(OFFSET($CX$3,0,0,'Données projet'!$E$13+1,1))-AVERAGE(OFFSET($H$3,0,0,'Données projet'!$E$13+1,1))</f>
        <v>308.47522272937135</v>
      </c>
      <c r="CZ50" s="62">
        <f t="shared" si="42"/>
        <v>302.54354650449721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2.3969118057997809</v>
      </c>
      <c r="DH50" s="23">
        <f>EXP(-LN(2)/2)*DH49+(1-EXP(-LN(2)/2))/(LN(2)/2)*DB50*DE50*VLOOKUP('Données projet'!$B$13,Paramètres!$A$1:$I$89,3,0)*0.475*44/12</f>
        <v>4.7712087883377954E-2</v>
      </c>
      <c r="DI50" s="24">
        <f t="shared" si="15"/>
        <v>2.444623893683159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8.5399999999999974</v>
      </c>
      <c r="DO50" s="13">
        <f>IF('Données projet'!$A$166&gt;35,DO49+DN50-DW49,IF(A50&lt;'Données projet'!$A$166,$DL$205^A50,IF(A50='Données projet'!$A$166,'Données projet'!$B$166,DO49+DN50-DW49)))</f>
        <v>259.27999999999986</v>
      </c>
      <c r="DP50" s="18">
        <f>DO50*VLOOKUP('Données projet'!$B$14,Paramètres!$A$1:$I$89,3,0)*VLOOKUP('Données projet'!$B$14,Paramètres!$A$1:$I$89,5,0)</f>
        <v>206.2831679999999</v>
      </c>
      <c r="DQ50" s="14">
        <f t="shared" si="43"/>
        <v>51.122522165494573</v>
      </c>
      <c r="DR50" s="22">
        <f t="shared" si="16"/>
        <v>448.31491037156951</v>
      </c>
      <c r="DS50" s="62">
        <f t="shared" si="17"/>
        <v>741.64824370490282</v>
      </c>
      <c r="DT50" s="62">
        <f ca="1">AVERAGE(OFFSET($DS$3,0,0,'Données projet'!$E$14+1,1))-AVERAGE(OFFSET($H$3,0,0,'Données projet'!$E$14+1,1))</f>
        <v>370.58277541710277</v>
      </c>
      <c r="DU50" s="62">
        <f t="shared" si="44"/>
        <v>404.61777090709171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10.666666666666666</v>
      </c>
      <c r="EJ50" s="13">
        <f>IF('Données projet'!$A$192&gt;35,EJ49+EI50-ER49,IF(A50&lt;'Données projet'!$A$192,$EG$205^A50,IF(A50='Données projet'!$A$192,'Données projet'!$B$192,EJ49+EI50-ER49)))</f>
        <v>241.33333333333331</v>
      </c>
      <c r="EK50" s="18">
        <f>EJ50*VLOOKUP('Données projet'!$B$15,Paramètres!$A$1:$I$89,3,0)*VLOOKUP('Données projet'!$B$15,Paramètres!$A$1:$I$89,5,0)</f>
        <v>150.59199999999998</v>
      </c>
      <c r="EL50" s="14">
        <f t="shared" si="45"/>
        <v>38.713088888505631</v>
      </c>
      <c r="EM50" s="22">
        <f t="shared" si="19"/>
        <v>329.70636314748066</v>
      </c>
      <c r="EN50" s="62">
        <f t="shared" si="20"/>
        <v>623.03969648081397</v>
      </c>
      <c r="EO50" s="62">
        <f ca="1">AVERAGE(OFFSET($EN$3,0,0,'Données projet'!$E$15+1,1))-AVERAGE(OFFSET($H$3,0,0,'Données projet'!$E$15+1,1))</f>
        <v>240.22884864766218</v>
      </c>
      <c r="EP50" s="62">
        <f t="shared" si="46"/>
        <v>343.23776884143166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6.4260774182697826</v>
      </c>
      <c r="EX50" s="23">
        <f>EXP(-LN(2)/2)*EX49+(1-EXP(-LN(2)/2))/(LN(2)/2)*ER50*EU50*VLOOKUP('Données projet'!$B$15,Paramètres!$A$1:$I$89,3,0)*0.475*44/12</f>
        <v>4.5627224824449475E-2</v>
      </c>
      <c r="EY50" s="24">
        <f t="shared" si="21"/>
        <v>6.471704643094232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20.399999999999999</v>
      </c>
      <c r="FE50" s="13">
        <f>IF('Données projet'!$A$218&gt;35,FE49+FD50-FM49,IF(A50&lt;'Données projet'!$A$218,$FB$205^A50,IF(A50='Données projet'!$A$218,'Données projet'!$B$218,FE49+FD50-FM49)))</f>
        <v>318.79999999999984</v>
      </c>
      <c r="FF50" s="18">
        <f>FE50*VLOOKUP('Données projet'!$B$16,Paramètres!$A$1:$I$89,3,0)*VLOOKUP('Données projet'!$B$16,Paramètres!$A$1:$I$89,5,0)</f>
        <v>149.19839999999994</v>
      </c>
      <c r="FG50" s="14">
        <f t="shared" si="47"/>
        <v>38.396362373864498</v>
      </c>
      <c r="FH50" s="22">
        <f t="shared" si="22"/>
        <v>326.72754446781386</v>
      </c>
      <c r="FI50" s="62">
        <f t="shared" si="23"/>
        <v>620.06087780114717</v>
      </c>
      <c r="FJ50" s="62">
        <f ca="1">AVERAGE(OFFSET($FI$3,0,0,'Données projet'!$E$16+1,1))-AVERAGE(OFFSET($H$3,0,0,'Données projet'!$E$16+1,1))</f>
        <v>399.92909819003523</v>
      </c>
      <c r="FK50" s="62">
        <f t="shared" si="48"/>
        <v>163.7053537268381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8.5399999999999974</v>
      </c>
      <c r="FZ50" s="13">
        <f>IF('Données projet'!$A$244&gt;35,FZ49+FY50-GH49,IF(A50&lt;'Données projet'!$A$244,$FW$205^A50,IF(A50='Données projet'!$A$244,'Données projet'!$B$244,FZ49+FY50-GH49)))</f>
        <v>259.27999999999986</v>
      </c>
      <c r="GA50" s="18">
        <f>FZ50*VLOOKUP('Données projet'!$B$17,Paramètres!$A$1:$I$89,3,0)*VLOOKUP('Données projet'!$B$17,Paramètres!$A$1:$I$89,5,0)</f>
        <v>190.10409599999988</v>
      </c>
      <c r="GB50" s="14">
        <f t="shared" si="49"/>
        <v>47.562966265165443</v>
      </c>
      <c r="GC50" s="22">
        <f t="shared" si="25"/>
        <v>413.9368001118296</v>
      </c>
      <c r="GD50" s="62">
        <f t="shared" si="26"/>
        <v>707.27013344516286</v>
      </c>
      <c r="GE50" s="62">
        <f ca="1">AVERAGE(OFFSET($GD$3,0,0,'Données projet'!$E$17+1,1))-AVERAGE(OFFSET($H$3,0,0,'Données projet'!$E$17+1,1))</f>
        <v>344.4426665022238</v>
      </c>
      <c r="GF50" s="62">
        <f t="shared" si="50"/>
        <v>376.41441893222185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15</v>
      </c>
      <c r="GU50" s="13">
        <f>IF('Données projet'!$A$270&gt;35,GU49+GT50-HC49,IF(A50&lt;'Données projet'!$A$270,$GR$205^A50,IF(A50='Données projet'!$A$270,'Données projet'!$B$270,GU49+GT50-HC49)))</f>
        <v>308</v>
      </c>
      <c r="GV50" s="18">
        <f>GU50*VLOOKUP('Données projet'!$B$18,Paramètres!$A$1:$I$89,3,0)*VLOOKUP('Données projet'!$B$18,Paramètres!$A$1:$I$89,5,0)</f>
        <v>148.148</v>
      </c>
      <c r="GW50" s="14">
        <f t="shared" si="51"/>
        <v>38.157408146809708</v>
      </c>
      <c r="GX50" s="22">
        <f t="shared" si="28"/>
        <v>324.48191918902688</v>
      </c>
      <c r="GY50" s="62">
        <f t="shared" si="29"/>
        <v>617.8152525223602</v>
      </c>
      <c r="GZ50" s="62">
        <f ca="1">AVERAGE(OFFSET($GY$3,0,0,'Données projet'!$E$18+1,1))-AVERAGE(OFFSET($H$3,0,0,'Données projet'!$E$18+1,1))</f>
        <v>441.17479680509746</v>
      </c>
      <c r="HA50" s="62">
        <f t="shared" si="52"/>
        <v>198.56576128410069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18.714285714285715</v>
      </c>
      <c r="N51" s="14">
        <f>IF('Données projet'!$A$36&gt;35,N50+M51-V50,IF(A51&lt;'Données projet'!$A$36,$K$205^A51,IF(A51='Données projet'!$A$36,'Données projet'!$B$36,N50+M51-V50)))</f>
        <v>454.28571428571411</v>
      </c>
      <c r="O51" s="14">
        <f>N51*VLOOKUP('Données projet'!$B$9,Paramètres!$A$1:$I$89,3,0)*VLOOKUP('Données projet'!$B$9,Paramètres!$A$1:$I$89,5,0)</f>
        <v>253.94571428571419</v>
      </c>
      <c r="P51" s="14">
        <f t="shared" si="33"/>
        <v>61.430084594341928</v>
      </c>
      <c r="Q51" s="22">
        <f t="shared" si="53"/>
        <v>549.27951638276431</v>
      </c>
      <c r="R51" s="62">
        <f t="shared" si="0"/>
        <v>842.61284971609757</v>
      </c>
      <c r="S51" s="62">
        <f ca="1">AVERAGE(OFFSET($R$3,0,0,'Données projet'!$E$9+1,1))-AVERAGE(OFFSET($H$3,0,0,'Données projet'!$E$9+1,1))</f>
        <v>374.79806286316051</v>
      </c>
      <c r="T51" s="62">
        <f t="shared" si="34"/>
        <v>350.01856672839466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4.4798835783014361</v>
      </c>
      <c r="AB51" s="23">
        <f>EXP(-LN(2)/2)*AB50+(1-EXP(-LN(2)/2))/(LN(2)/2)*V51*Y51*VLOOKUP('Données projet'!$B$9,Paramètres!$A$1:$I$89,3,0)*0.475*44/12</f>
        <v>1.7543835757558419E-2</v>
      </c>
      <c r="AC51" s="24">
        <f t="shared" si="3"/>
        <v>4.4974274140589943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243.60000000000014</v>
      </c>
      <c r="AJ51" s="14">
        <f>AI51*VLOOKUP('Données projet'!$B$10,Paramètres!$A$1:$I$89,3,0)*VLOOKUP('Données projet'!$B$10,Paramètres!$A$1:$I$89,5,0)</f>
        <v>212.80896000000013</v>
      </c>
      <c r="AK51" s="14">
        <f t="shared" si="35"/>
        <v>52.54893863748589</v>
      </c>
      <c r="AL51" s="22">
        <f t="shared" si="4"/>
        <v>462.16500679362144</v>
      </c>
      <c r="AM51" s="62">
        <f t="shared" si="5"/>
        <v>755.49834012695476</v>
      </c>
      <c r="AN51" s="62">
        <f ca="1">AVERAGE(OFFSET($AM$3,0,0,'Données projet'!$E$10+1,1))-AVERAGE(OFFSET($H$3,0,0,'Données projet'!$E$10+1,1))</f>
        <v>401.89597032936751</v>
      </c>
      <c r="AO51" s="62">
        <f t="shared" si="36"/>
        <v>417.85733543972361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</v>
      </c>
      <c r="BE51" s="14">
        <f>BD51*VLOOKUP('Données projet'!$B$11,Paramètres!$A$1:$I$89,3,0)*VLOOKUP('Données projet'!$B$11,Paramètres!$A$1:$I$89,5,0)</f>
        <v>146.21567999999999</v>
      </c>
      <c r="BF51" s="14">
        <f t="shared" si="37"/>
        <v>37.717310552893402</v>
      </c>
      <c r="BG51" s="22">
        <f t="shared" si="7"/>
        <v>320.34995854628932</v>
      </c>
      <c r="BH51" s="62">
        <f t="shared" si="8"/>
        <v>613.68329187962263</v>
      </c>
      <c r="BI51" s="62">
        <f ca="1">AVERAGE(OFFSET($BH$3,0,0,'Données projet'!$E$11+1,1))-AVERAGE(OFFSET($H$3,0,0,'Données projet'!$E$11+1,1))</f>
        <v>430.40491895612814</v>
      </c>
      <c r="BJ51" s="62">
        <f t="shared" si="38"/>
        <v>231.36959598460686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5.5128205128205083</v>
      </c>
      <c r="BY51" s="13">
        <f>IF('Données projet'!$A$114&gt;35,BY50+BX51-CG50,IF(A51&lt;'Données projet'!$A$114,$BV$205^A51,IF(A51='Données projet'!$A$114,'Données projet'!$B$114,BY50+BX51-CG50)))</f>
        <v>169.10256410256414</v>
      </c>
      <c r="BZ51" s="14">
        <f>BY51*VLOOKUP('Données projet'!$B$12,Paramètres!$A$1:$I$89,3,0)*VLOOKUP('Données projet'!$B$12,Paramètres!$A$1:$I$89,5,0)</f>
        <v>160.91800000000003</v>
      </c>
      <c r="CA51" s="14">
        <f t="shared" si="39"/>
        <v>41.049503875172206</v>
      </c>
      <c r="CB51" s="22">
        <f t="shared" si="10"/>
        <v>351.76006924925832</v>
      </c>
      <c r="CC51" s="62">
        <f t="shared" si="11"/>
        <v>645.09340258259158</v>
      </c>
      <c r="CD51" s="62">
        <f ca="1">AVERAGE(OFFSET($CC$3,0,0,'Données projet'!$E$12+1,1))-AVERAGE(OFFSET($H$3,0,0,'Données projet'!$E$12+1,1))</f>
        <v>367.11183928586667</v>
      </c>
      <c r="CE51" s="62">
        <f t="shared" si="40"/>
        <v>281.52963027844595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19.399999999999999</v>
      </c>
      <c r="CT51" s="13">
        <f>IF('Données projet'!$A$140&gt;35,CT50+CS51-DB50,IF(A51&lt;'Données projet'!$A$140,$CQ$205^A51,IF(A51='Données projet'!$A$140,'Données projet'!$B$140,CT50+CS51-DB50)))</f>
        <v>328.1999999999997</v>
      </c>
      <c r="CU51" s="18">
        <f>CT51*VLOOKUP('Données projet'!$B$13,Paramètres!$A$1:$I$89,3,0)*VLOOKUP('Données projet'!$B$13,Paramètres!$A$1:$I$89,5,0)</f>
        <v>196.26359999999983</v>
      </c>
      <c r="CV51" s="14">
        <f t="shared" si="41"/>
        <v>48.922120998193776</v>
      </c>
      <c r="CW51" s="22">
        <f t="shared" si="13"/>
        <v>427.03179740518721</v>
      </c>
      <c r="CX51" s="62">
        <f t="shared" si="14"/>
        <v>720.36513073852052</v>
      </c>
      <c r="CY51" s="62">
        <f ca="1">AVERAGE(OFFSET($CX$3,0,0,'Données projet'!$E$13+1,1))-AVERAGE(OFFSET($H$3,0,0,'Données projet'!$E$13+1,1))</f>
        <v>308.47522272937135</v>
      </c>
      <c r="CZ51" s="62">
        <f t="shared" si="42"/>
        <v>302.54354650449721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2.3313681264220723</v>
      </c>
      <c r="DH51" s="23">
        <f>EXP(-LN(2)/2)*DH50+(1-EXP(-LN(2)/2))/(LN(2)/2)*DB51*DE51*VLOOKUP('Données projet'!$B$13,Paramètres!$A$1:$I$89,3,0)*0.475*44/12</f>
        <v>3.373754088690506E-2</v>
      </c>
      <c r="DI51" s="24">
        <f t="shared" si="15"/>
        <v>2.3651056673089772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8.5399999999999974</v>
      </c>
      <c r="DO51" s="13">
        <f>IF('Données projet'!$A$166&gt;35,DO50+DN51-DW50,IF(A51&lt;'Données projet'!$A$166,$DL$205^A51,IF(A51='Données projet'!$A$166,'Données projet'!$B$166,DO50+DN51-DW50)))</f>
        <v>267.81999999999988</v>
      </c>
      <c r="DP51" s="18">
        <f>DO51*VLOOKUP('Données projet'!$B$14,Paramètres!$A$1:$I$89,3,0)*VLOOKUP('Données projet'!$B$14,Paramètres!$A$1:$I$89,5,0)</f>
        <v>213.07759199999992</v>
      </c>
      <c r="DQ51" s="14">
        <f t="shared" si="43"/>
        <v>52.607546461832449</v>
      </c>
      <c r="DR51" s="22">
        <f t="shared" si="16"/>
        <v>462.73494948769138</v>
      </c>
      <c r="DS51" s="62">
        <f t="shared" si="17"/>
        <v>756.0682828210247</v>
      </c>
      <c r="DT51" s="62">
        <f ca="1">AVERAGE(OFFSET($DS$3,0,0,'Données projet'!$E$14+1,1))-AVERAGE(OFFSET($H$3,0,0,'Données projet'!$E$14+1,1))</f>
        <v>370.58277541710277</v>
      </c>
      <c r="DU51" s="62">
        <f t="shared" si="44"/>
        <v>404.61777090709171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>
        <f>VLOOKUP(A51,'Données projet'!$A$191:$I$211,2,0)</f>
        <v>252</v>
      </c>
      <c r="EH51" s="13">
        <f>VLOOKUP(A51,'Données projet'!$A$191:$I$211,9,0)</f>
        <v>10.666666666666666</v>
      </c>
      <c r="EI51" s="13">
        <f t="array" ref="EI51">INDEX(EH:EH,MIN(IF(ISNUMBER(EH51:EH247),ROW(EH51:EH247),"")))</f>
        <v>10.666666666666666</v>
      </c>
      <c r="EJ51" s="13">
        <f>IF('Données projet'!$A$192&gt;35,EJ50+EI51-ER50,IF(A51&lt;'Données projet'!$A$192,$EG$205^A51,IF(A51='Données projet'!$A$192,'Données projet'!$B$192,EJ50+EI51-ER50)))</f>
        <v>251.99999999999997</v>
      </c>
      <c r="EK51" s="18">
        <f>EJ51*VLOOKUP('Données projet'!$B$15,Paramètres!$A$1:$I$89,3,0)*VLOOKUP('Données projet'!$B$15,Paramètres!$A$1:$I$89,5,0)</f>
        <v>157.24799999999999</v>
      </c>
      <c r="EL51" s="14">
        <f t="shared" si="45"/>
        <v>40.22116874434861</v>
      </c>
      <c r="EM51" s="22">
        <f t="shared" si="19"/>
        <v>343.92546889640715</v>
      </c>
      <c r="EN51" s="62">
        <f t="shared" si="20"/>
        <v>637.25880222974047</v>
      </c>
      <c r="EO51" s="62">
        <f ca="1">AVERAGE(OFFSET($EN$3,0,0,'Données projet'!$E$15+1,1))-AVERAGE(OFFSET($H$3,0,0,'Données projet'!$E$15+1,1))</f>
        <v>240.22884864766218</v>
      </c>
      <c r="EP51" s="62">
        <f t="shared" si="46"/>
        <v>343.23776884143166</v>
      </c>
      <c r="EQ51" s="16">
        <f>IF(ISNA(VLOOKUP(A51,'Données projet'!$A$191:$I$211,3,0)),0,VLOOKUP(A51,'Données projet'!$A$191:$I$211,3,0))</f>
        <v>7</v>
      </c>
      <c r="ER51" s="16">
        <f>IF(ISNA(VLOOKUP(A51,'Données projet'!$A$191:$I$211,4,0)),0,VLOOKUP(A51,'Données projet'!$A$191:$I$211,4,0))</f>
        <v>65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6.2503559933344706</v>
      </c>
      <c r="EX51" s="23">
        <f>EXP(-LN(2)/2)*EX50+(1-EXP(-LN(2)/2))/(LN(2)/2)*ER51*EU51*VLOOKUP('Données projet'!$B$15,Paramètres!$A$1:$I$89,3,0)*0.475*44/12</f>
        <v>3.2263320080091404E-2</v>
      </c>
      <c r="EY51" s="24">
        <f t="shared" si="21"/>
        <v>6.2826193134145623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20.399999999999999</v>
      </c>
      <c r="FE51" s="13">
        <f>IF('Données projet'!$A$218&gt;35,FE50+FD51-FM50,IF(A51&lt;'Données projet'!$A$218,$FB$205^A51,IF(A51='Données projet'!$A$218,'Données projet'!$B$218,FE50+FD51-FM50)))</f>
        <v>339.19999999999982</v>
      </c>
      <c r="FF51" s="18">
        <f>FE51*VLOOKUP('Données projet'!$B$16,Paramètres!$A$1:$I$89,3,0)*VLOOKUP('Données projet'!$B$16,Paramètres!$A$1:$I$89,5,0)</f>
        <v>158.74559999999991</v>
      </c>
      <c r="FG51" s="14">
        <f t="shared" si="47"/>
        <v>40.559452507902058</v>
      </c>
      <c r="FH51" s="22">
        <f t="shared" si="22"/>
        <v>347.12296645126258</v>
      </c>
      <c r="FI51" s="62">
        <f t="shared" si="23"/>
        <v>640.4562997845959</v>
      </c>
      <c r="FJ51" s="62">
        <f ca="1">AVERAGE(OFFSET($FI$3,0,0,'Données projet'!$E$16+1,1))-AVERAGE(OFFSET($H$3,0,0,'Données projet'!$E$16+1,1))</f>
        <v>399.92909819003523</v>
      </c>
      <c r="FK51" s="62">
        <f t="shared" si="48"/>
        <v>163.7053537268381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8.5399999999999974</v>
      </c>
      <c r="FZ51" s="13">
        <f>IF('Données projet'!$A$244&gt;35,FZ50+FY51-GH50,IF(A51&lt;'Données projet'!$A$244,$FW$205^A51,IF(A51='Données projet'!$A$244,'Données projet'!$B$244,FZ50+FY51-GH50)))</f>
        <v>267.81999999999988</v>
      </c>
      <c r="GA51" s="18">
        <f>FZ51*VLOOKUP('Données projet'!$B$17,Paramètres!$A$1:$I$89,3,0)*VLOOKUP('Données projet'!$B$17,Paramètres!$A$1:$I$89,5,0)</f>
        <v>196.36562399999991</v>
      </c>
      <c r="GB51" s="14">
        <f t="shared" si="49"/>
        <v>48.944591379063773</v>
      </c>
      <c r="GC51" s="22">
        <f t="shared" si="25"/>
        <v>427.24862511853593</v>
      </c>
      <c r="GD51" s="62">
        <f t="shared" si="26"/>
        <v>720.58195845186924</v>
      </c>
      <c r="GE51" s="62">
        <f ca="1">AVERAGE(OFFSET($GD$3,0,0,'Données projet'!$E$17+1,1))-AVERAGE(OFFSET($H$3,0,0,'Données projet'!$E$17+1,1))</f>
        <v>344.4426665022238</v>
      </c>
      <c r="GF51" s="62">
        <f t="shared" si="50"/>
        <v>376.41441893222185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15</v>
      </c>
      <c r="GU51" s="13">
        <f>IF('Données projet'!$A$270&gt;35,GU50+GT51-HC50,IF(A51&lt;'Données projet'!$A$270,$GR$205^A51,IF(A51='Données projet'!$A$270,'Données projet'!$B$270,GU50+GT51-HC50)))</f>
        <v>323</v>
      </c>
      <c r="GV51" s="18">
        <f>GU51*VLOOKUP('Données projet'!$B$18,Paramètres!$A$1:$I$89,3,0)*VLOOKUP('Données projet'!$B$18,Paramètres!$A$1:$I$89,5,0)</f>
        <v>155.363</v>
      </c>
      <c r="GW51" s="14">
        <f t="shared" si="51"/>
        <v>39.794843681510258</v>
      </c>
      <c r="GX51" s="22">
        <f t="shared" si="28"/>
        <v>339.89991107863034</v>
      </c>
      <c r="GY51" s="62">
        <f t="shared" si="29"/>
        <v>633.2332444119636</v>
      </c>
      <c r="GZ51" s="62">
        <f ca="1">AVERAGE(OFFSET($GY$3,0,0,'Données projet'!$E$18+1,1))-AVERAGE(OFFSET($H$3,0,0,'Données projet'!$E$18+1,1))</f>
        <v>441.17479680509746</v>
      </c>
      <c r="HA51" s="62">
        <f t="shared" si="52"/>
        <v>198.56576128410069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473</v>
      </c>
      <c r="L52" s="13">
        <f>VLOOKUP(A52,'Données projet'!$A$35:$I$55,9,0)</f>
        <v>18.714285714285715</v>
      </c>
      <c r="M52" s="13">
        <f t="array" ref="M52">INDEX(L:L,MIN(IF(ISNUMBER(L52:L248),ROW(L52:L248),"")))</f>
        <v>18.714285714285715</v>
      </c>
      <c r="N52" s="14">
        <f>IF('Données projet'!$A$36&gt;35,N51+M52-V51,IF(A52&lt;'Données projet'!$A$36,$K$205^A52,IF(A52='Données projet'!$A$36,'Données projet'!$B$36,N51+M52-V51)))</f>
        <v>472.99999999999983</v>
      </c>
      <c r="O52" s="14">
        <f>N52*VLOOKUP('Données projet'!$B$9,Paramètres!$A$1:$I$89,3,0)*VLOOKUP('Données projet'!$B$9,Paramètres!$A$1:$I$89,5,0)</f>
        <v>264.40699999999993</v>
      </c>
      <c r="P52" s="14">
        <f t="shared" si="33"/>
        <v>63.660851355620842</v>
      </c>
      <c r="Q52" s="22">
        <f t="shared" si="53"/>
        <v>571.38484111103946</v>
      </c>
      <c r="R52" s="62">
        <f t="shared" si="0"/>
        <v>864.71817444437283</v>
      </c>
      <c r="S52" s="62">
        <f ca="1">AVERAGE(OFFSET($R$3,0,0,'Données projet'!$E$9+1,1))-AVERAGE(OFFSET($H$3,0,0,'Données projet'!$E$9+1,1))</f>
        <v>374.79806286316051</v>
      </c>
      <c r="T52" s="62">
        <f t="shared" si="34"/>
        <v>350.01856672839466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80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4.3573809262659449</v>
      </c>
      <c r="AB52" s="23">
        <f>EXP(-LN(2)/2)*AB51+(1-EXP(-LN(2)/2))/(LN(2)/2)*V52*Y52*VLOOKUP('Données projet'!$B$9,Paramètres!$A$1:$I$89,3,0)*0.475*44/12</f>
        <v>1.240536523219259E-2</v>
      </c>
      <c r="AC52" s="24">
        <f t="shared" si="3"/>
        <v>4.3697862914981371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251.80000000000013</v>
      </c>
      <c r="AJ52" s="14">
        <f>AI52*VLOOKUP('Données projet'!$B$10,Paramètres!$A$1:$I$89,3,0)*VLOOKUP('Données projet'!$B$10,Paramètres!$A$1:$I$89,5,0)</f>
        <v>219.97248000000016</v>
      </c>
      <c r="AK52" s="14">
        <f t="shared" si="35"/>
        <v>54.108904341019084</v>
      </c>
      <c r="AL52" s="22">
        <f t="shared" si="4"/>
        <v>477.35841106060849</v>
      </c>
      <c r="AM52" s="62">
        <f t="shared" si="5"/>
        <v>770.6917443939418</v>
      </c>
      <c r="AN52" s="62">
        <f ca="1">AVERAGE(OFFSET($AM$3,0,0,'Données projet'!$E$10+1,1))-AVERAGE(OFFSET($H$3,0,0,'Données projet'!$E$10+1,1))</f>
        <v>401.89597032936751</v>
      </c>
      <c r="AO52" s="62">
        <f t="shared" si="36"/>
        <v>417.85733543972361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169.79999999999998</v>
      </c>
      <c r="BE52" s="14">
        <f>BD52*VLOOKUP('Données projet'!$B$11,Paramètres!$A$1:$I$89,3,0)*VLOOKUP('Données projet'!$B$11,Paramètres!$A$1:$I$89,5,0)</f>
        <v>153.63503999999998</v>
      </c>
      <c r="BF52" s="14">
        <f t="shared" si="37"/>
        <v>39.403506785222667</v>
      </c>
      <c r="BG52" s="22">
        <f t="shared" si="7"/>
        <v>336.20880231759611</v>
      </c>
      <c r="BH52" s="62">
        <f t="shared" si="8"/>
        <v>629.54213565092937</v>
      </c>
      <c r="BI52" s="62">
        <f ca="1">AVERAGE(OFFSET($BH$3,0,0,'Données projet'!$E$11+1,1))-AVERAGE(OFFSET($H$3,0,0,'Données projet'!$E$11+1,1))</f>
        <v>430.40491895612814</v>
      </c>
      <c r="BJ52" s="62">
        <f t="shared" si="38"/>
        <v>231.36959598460686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5.5128205128205083</v>
      </c>
      <c r="BY52" s="13">
        <f>IF('Données projet'!$A$114&gt;35,BY51+BX52-CG51,IF(A52&lt;'Données projet'!$A$114,$BV$205^A52,IF(A52='Données projet'!$A$114,'Données projet'!$B$114,BY51+BX52-CG51)))</f>
        <v>174.61538461538464</v>
      </c>
      <c r="BZ52" s="14">
        <f>BY52*VLOOKUP('Données projet'!$B$12,Paramètres!$A$1:$I$89,3,0)*VLOOKUP('Données projet'!$B$12,Paramètres!$A$1:$I$89,5,0)</f>
        <v>166.16400000000004</v>
      </c>
      <c r="CA52" s="14">
        <f t="shared" si="39"/>
        <v>42.229749328882683</v>
      </c>
      <c r="CB52" s="22">
        <f t="shared" si="10"/>
        <v>362.95244674780406</v>
      </c>
      <c r="CC52" s="62">
        <f t="shared" si="11"/>
        <v>656.28578008113732</v>
      </c>
      <c r="CD52" s="62">
        <f ca="1">AVERAGE(OFFSET($CC$3,0,0,'Données projet'!$E$12+1,1))-AVERAGE(OFFSET($H$3,0,0,'Données projet'!$E$12+1,1))</f>
        <v>367.11183928586667</v>
      </c>
      <c r="CE52" s="62">
        <f t="shared" si="40"/>
        <v>281.52963027844595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19.399999999999999</v>
      </c>
      <c r="CT52" s="13">
        <f>IF('Données projet'!$A$140&gt;35,CT51+CS52-DB51,IF(A52&lt;'Données projet'!$A$140,$CQ$205^A52,IF(A52='Données projet'!$A$140,'Données projet'!$B$140,CT51+CS52-DB51)))</f>
        <v>347.59999999999968</v>
      </c>
      <c r="CU52" s="18">
        <f>CT52*VLOOKUP('Données projet'!$B$13,Paramètres!$A$1:$I$89,3,0)*VLOOKUP('Données projet'!$B$13,Paramètres!$A$1:$I$89,5,0)</f>
        <v>207.86479999999983</v>
      </c>
      <c r="CV52" s="14">
        <f t="shared" si="41"/>
        <v>51.468713616997675</v>
      </c>
      <c r="CW52" s="22">
        <f t="shared" si="13"/>
        <v>451.6725362162706</v>
      </c>
      <c r="CX52" s="62">
        <f t="shared" si="14"/>
        <v>745.00586954960386</v>
      </c>
      <c r="CY52" s="62">
        <f ca="1">AVERAGE(OFFSET($CX$3,0,0,'Données projet'!$E$13+1,1))-AVERAGE(OFFSET($H$3,0,0,'Données projet'!$E$13+1,1))</f>
        <v>308.47522272937135</v>
      </c>
      <c r="CZ52" s="62">
        <f t="shared" si="42"/>
        <v>302.54354650449721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2.2676167424037392</v>
      </c>
      <c r="DH52" s="23">
        <f>EXP(-LN(2)/2)*DH51+(1-EXP(-LN(2)/2))/(LN(2)/2)*DB52*DE52*VLOOKUP('Données projet'!$B$13,Paramètres!$A$1:$I$89,3,0)*0.475*44/12</f>
        <v>2.3856043941688977E-2</v>
      </c>
      <c r="DI52" s="24">
        <f t="shared" si="15"/>
        <v>2.2914727863454281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8.5399999999999974</v>
      </c>
      <c r="DO52" s="13">
        <f>IF('Données projet'!$A$166&gt;35,DO51+DN52-DW51,IF(A52&lt;'Données projet'!$A$166,$DL$205^A52,IF(A52='Données projet'!$A$166,'Données projet'!$B$166,DO51+DN52-DW51)))</f>
        <v>276.3599999999999</v>
      </c>
      <c r="DP52" s="18">
        <f>DO52*VLOOKUP('Données projet'!$B$14,Paramètres!$A$1:$I$89,3,0)*VLOOKUP('Données projet'!$B$14,Paramètres!$A$1:$I$89,5,0)</f>
        <v>219.87201599999992</v>
      </c>
      <c r="DQ52" s="14">
        <f t="shared" si="43"/>
        <v>54.087068088530145</v>
      </c>
      <c r="DR52" s="22">
        <f t="shared" si="16"/>
        <v>477.14540478752315</v>
      </c>
      <c r="DS52" s="62">
        <f t="shared" si="17"/>
        <v>770.47873812085641</v>
      </c>
      <c r="DT52" s="62">
        <f ca="1">AVERAGE(OFFSET($DS$3,0,0,'Données projet'!$E$14+1,1))-AVERAGE(OFFSET($H$3,0,0,'Données projet'!$E$14+1,1))</f>
        <v>370.58277541710277</v>
      </c>
      <c r="DU52" s="62">
        <f t="shared" si="44"/>
        <v>404.61777090709171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9.75</v>
      </c>
      <c r="EJ52" s="13">
        <f>IF('Données projet'!$A$192&gt;35,EJ51+EI52-ER51,IF(A52&lt;'Données projet'!$A$192,$EG$205^A52,IF(A52='Données projet'!$A$192,'Données projet'!$B$192,EJ51+EI52-ER51)))</f>
        <v>196.75</v>
      </c>
      <c r="EK52" s="18">
        <f>EJ52*VLOOKUP('Données projet'!$B$15,Paramètres!$A$1:$I$89,3,0)*VLOOKUP('Données projet'!$B$15,Paramètres!$A$1:$I$89,5,0)</f>
        <v>122.77200000000001</v>
      </c>
      <c r="EL52" s="14">
        <f t="shared" si="45"/>
        <v>32.320660955470466</v>
      </c>
      <c r="EM52" s="22">
        <f t="shared" si="19"/>
        <v>270.11971783077774</v>
      </c>
      <c r="EN52" s="62">
        <f t="shared" si="20"/>
        <v>563.453051164111</v>
      </c>
      <c r="EO52" s="62">
        <f ca="1">AVERAGE(OFFSET($EN$3,0,0,'Données projet'!$E$15+1,1))-AVERAGE(OFFSET($H$3,0,0,'Données projet'!$E$15+1,1))</f>
        <v>240.22884864766218</v>
      </c>
      <c r="EP52" s="62">
        <f t="shared" si="46"/>
        <v>343.23776884143166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6.0794396800048034</v>
      </c>
      <c r="EX52" s="23">
        <f>EXP(-LN(2)/2)*EX51+(1-EXP(-LN(2)/2))/(LN(2)/2)*ER52*EU52*VLOOKUP('Données projet'!$B$15,Paramètres!$A$1:$I$89,3,0)*0.475*44/12</f>
        <v>2.2813612412224737E-2</v>
      </c>
      <c r="EY52" s="24">
        <f t="shared" si="21"/>
        <v>6.1022532924170285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20.399999999999999</v>
      </c>
      <c r="FE52" s="13">
        <f>IF('Données projet'!$A$218&gt;35,FE51+FD52-FM51,IF(A52&lt;'Données projet'!$A$218,$FB$205^A52,IF(A52='Données projet'!$A$218,'Données projet'!$B$218,FE51+FD52-FM51)))</f>
        <v>359.5999999999998</v>
      </c>
      <c r="FF52" s="18">
        <f>FE52*VLOOKUP('Données projet'!$B$16,Paramètres!$A$1:$I$89,3,0)*VLOOKUP('Données projet'!$B$16,Paramètres!$A$1:$I$89,5,0)</f>
        <v>168.29279999999991</v>
      </c>
      <c r="FG52" s="14">
        <f t="shared" si="47"/>
        <v>42.707443263135069</v>
      </c>
      <c r="FH52" s="22">
        <f t="shared" si="22"/>
        <v>367.49209034996011</v>
      </c>
      <c r="FI52" s="62">
        <f t="shared" si="23"/>
        <v>660.82542368329337</v>
      </c>
      <c r="FJ52" s="62">
        <f ca="1">AVERAGE(OFFSET($FI$3,0,0,'Données projet'!$E$16+1,1))-AVERAGE(OFFSET($H$3,0,0,'Données projet'!$E$16+1,1))</f>
        <v>399.92909819003523</v>
      </c>
      <c r="FK52" s="62">
        <f t="shared" si="48"/>
        <v>163.7053537268381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8.5399999999999974</v>
      </c>
      <c r="FZ52" s="13">
        <f>IF('Données projet'!$A$244&gt;35,FZ51+FY52-GH51,IF(A52&lt;'Données projet'!$A$244,$FW$205^A52,IF(A52='Données projet'!$A$244,'Données projet'!$B$244,FZ51+FY52-GH51)))</f>
        <v>276.3599999999999</v>
      </c>
      <c r="GA52" s="18">
        <f>FZ52*VLOOKUP('Données projet'!$B$17,Paramètres!$A$1:$I$89,3,0)*VLOOKUP('Données projet'!$B$17,Paramètres!$A$1:$I$89,5,0)</f>
        <v>202.62715199999994</v>
      </c>
      <c r="GB52" s="14">
        <f t="shared" si="49"/>
        <v>50.321096962872829</v>
      </c>
      <c r="GC52" s="22">
        <f t="shared" si="25"/>
        <v>440.55153361033672</v>
      </c>
      <c r="GD52" s="62">
        <f t="shared" si="26"/>
        <v>733.88486694366998</v>
      </c>
      <c r="GE52" s="62">
        <f ca="1">AVERAGE(OFFSET($GD$3,0,0,'Données projet'!$E$17+1,1))-AVERAGE(OFFSET($H$3,0,0,'Données projet'!$E$17+1,1))</f>
        <v>344.4426665022238</v>
      </c>
      <c r="GF52" s="62">
        <f t="shared" si="50"/>
        <v>376.41441893222185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15</v>
      </c>
      <c r="GU52" s="13">
        <f>IF('Données projet'!$A$270&gt;35,GU51+GT52-HC51,IF(A52&lt;'Données projet'!$A$270,$GR$205^A52,IF(A52='Données projet'!$A$270,'Données projet'!$B$270,GU51+GT52-HC51)))</f>
        <v>338</v>
      </c>
      <c r="GV52" s="18">
        <f>GU52*VLOOKUP('Données projet'!$B$18,Paramètres!$A$1:$I$89,3,0)*VLOOKUP('Données projet'!$B$18,Paramètres!$A$1:$I$89,5,0)</f>
        <v>162.578</v>
      </c>
      <c r="GW52" s="14">
        <f t="shared" si="51"/>
        <v>41.423448467818957</v>
      </c>
      <c r="GX52" s="22">
        <f t="shared" si="28"/>
        <v>355.30252274811801</v>
      </c>
      <c r="GY52" s="62">
        <f t="shared" si="29"/>
        <v>648.63585608145127</v>
      </c>
      <c r="GZ52" s="62">
        <f ca="1">AVERAGE(OFFSET($GY$3,0,0,'Données projet'!$E$18+1,1))-AVERAGE(OFFSET($H$3,0,0,'Données projet'!$E$18+1,1))</f>
        <v>441.17479680509746</v>
      </c>
      <c r="HA52" s="62">
        <f t="shared" si="52"/>
        <v>198.56576128410069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17.285714285714285</v>
      </c>
      <c r="N53" s="14">
        <f>IF('Données projet'!$A$36&gt;35,N52+M53-V52,IF(A53&lt;'Données projet'!$A$36,$K$205^A53,IF(A53='Données projet'!$A$36,'Données projet'!$B$36,N52+M53-V52)))</f>
        <v>410.28571428571411</v>
      </c>
      <c r="O53" s="14">
        <f>N53*VLOOKUP('Données projet'!$B$9,Paramètres!$A$1:$I$89,3,0)*VLOOKUP('Données projet'!$B$9,Paramètres!$A$1:$I$89,5,0)</f>
        <v>229.34971428571419</v>
      </c>
      <c r="P53" s="14">
        <f t="shared" si="33"/>
        <v>56.142051394693567</v>
      </c>
      <c r="Q53" s="22">
        <f t="shared" si="53"/>
        <v>497.23149189337681</v>
      </c>
      <c r="R53" s="62">
        <f t="shared" si="0"/>
        <v>790.56482522671013</v>
      </c>
      <c r="S53" s="62">
        <f ca="1">AVERAGE(OFFSET($R$3,0,0,'Données projet'!$E$9+1,1))-AVERAGE(OFFSET($H$3,0,0,'Données projet'!$E$9+1,1))</f>
        <v>374.79806286316051</v>
      </c>
      <c r="T53" s="62">
        <f t="shared" si="34"/>
        <v>350.01856672839466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4.2382281156924986</v>
      </c>
      <c r="AB53" s="23">
        <f>EXP(-LN(2)/2)*AB52+(1-EXP(-LN(2)/2))/(LN(2)/2)*V53*Y53*VLOOKUP('Données projet'!$B$9,Paramètres!$A$1:$I$89,3,0)*0.475*44/12</f>
        <v>8.7719178787792097E-3</v>
      </c>
      <c r="AC53" s="24">
        <f t="shared" si="3"/>
        <v>4.2470000335712781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260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260.00000000000011</v>
      </c>
      <c r="AJ53" s="14">
        <f>AI53*VLOOKUP('Données projet'!$B$10,Paramètres!$A$1:$I$89,3,0)*VLOOKUP('Données projet'!$B$10,Paramètres!$A$1:$I$89,5,0)</f>
        <v>227.13600000000014</v>
      </c>
      <c r="AK53" s="14">
        <f t="shared" si="35"/>
        <v>55.662966886685133</v>
      </c>
      <c r="AL53" s="22">
        <f t="shared" si="4"/>
        <v>492.5415339943101</v>
      </c>
      <c r="AM53" s="62">
        <f t="shared" si="5"/>
        <v>785.87486732764341</v>
      </c>
      <c r="AN53" s="62">
        <f ca="1">AVERAGE(OFFSET($AM$3,0,0,'Données projet'!$E$10+1,1))-AVERAGE(OFFSET($H$3,0,0,'Données projet'!$E$10+1,1))</f>
        <v>401.89597032936751</v>
      </c>
      <c r="AO53" s="62">
        <f t="shared" si="36"/>
        <v>417.85733543972361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58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177.99999999999997</v>
      </c>
      <c r="BE53" s="14">
        <f>BD53*VLOOKUP('Données projet'!$B$11,Paramètres!$A$1:$I$89,3,0)*VLOOKUP('Données projet'!$B$11,Paramètres!$A$1:$I$89,5,0)</f>
        <v>161.05439999999999</v>
      </c>
      <c r="BF53" s="14">
        <f t="shared" si="37"/>
        <v>41.080247278685491</v>
      </c>
      <c r="BG53" s="22">
        <f t="shared" si="7"/>
        <v>352.05117734371055</v>
      </c>
      <c r="BH53" s="62">
        <f t="shared" si="8"/>
        <v>645.38451067704386</v>
      </c>
      <c r="BI53" s="62">
        <f ca="1">AVERAGE(OFFSET($BH$3,0,0,'Données projet'!$E$11+1,1))-AVERAGE(OFFSET($H$3,0,0,'Données projet'!$E$11+1,1))</f>
        <v>430.40491895612814</v>
      </c>
      <c r="BJ53" s="62">
        <f t="shared" si="38"/>
        <v>231.36959598460686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180.12820512820511</v>
      </c>
      <c r="BW53" s="13">
        <f>VLOOKUP(A53,'Données projet'!$A$113:$I$133,9,0)</f>
        <v>5.5128205128205083</v>
      </c>
      <c r="BX53" s="13">
        <f t="array" ref="BX53">INDEX(BW:BW,MIN(IF(ISNUMBER(BW53:BW249),ROW(BW53:BW249),"")))</f>
        <v>5.5128205128205083</v>
      </c>
      <c r="BY53" s="13">
        <f>IF('Données projet'!$A$114&gt;35,BY52+BX53-CG52,IF(A53&lt;'Données projet'!$A$114,$BV$205^A53,IF(A53='Données projet'!$A$114,'Données projet'!$B$114,BY52+BX53-CG52)))</f>
        <v>180.12820512820514</v>
      </c>
      <c r="BZ53" s="14">
        <f>BY53*VLOOKUP('Données projet'!$B$12,Paramètres!$A$1:$I$89,3,0)*VLOOKUP('Données projet'!$B$12,Paramètres!$A$1:$I$89,5,0)</f>
        <v>171.41000000000003</v>
      </c>
      <c r="CA53" s="14">
        <f t="shared" si="39"/>
        <v>43.405664710300847</v>
      </c>
      <c r="CB53" s="22">
        <f t="shared" si="10"/>
        <v>374.13728270377402</v>
      </c>
      <c r="CC53" s="62">
        <f t="shared" si="11"/>
        <v>667.47061603710733</v>
      </c>
      <c r="CD53" s="62">
        <f ca="1">AVERAGE(OFFSET($CC$3,0,0,'Données projet'!$E$12+1,1))-AVERAGE(OFFSET($H$3,0,0,'Données projet'!$E$12+1,1))</f>
        <v>367.11183928586667</v>
      </c>
      <c r="CE53" s="62">
        <f t="shared" si="40"/>
        <v>281.52963027844595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30.769230769230766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367</v>
      </c>
      <c r="CR53" s="13">
        <f>VLOOKUP(A53,'Données projet'!$A$139:$I$159,9,0)</f>
        <v>19.399999999999999</v>
      </c>
      <c r="CS53" s="13">
        <f t="array" ref="CS53">INDEX(CR:CR,MIN(IF(ISNUMBER(CR53:CR249),ROW(CR53:CR249),"")))</f>
        <v>19.399999999999999</v>
      </c>
      <c r="CT53" s="13">
        <f>IF('Données projet'!$A$140&gt;35,CT52+CS53-DB52,IF(A53&lt;'Données projet'!$A$140,$CQ$205^A53,IF(A53='Données projet'!$A$140,'Données projet'!$B$140,CT52+CS53-DB52)))</f>
        <v>366.99999999999966</v>
      </c>
      <c r="CU53" s="18">
        <f>CT53*VLOOKUP('Données projet'!$B$13,Paramètres!$A$1:$I$89,3,0)*VLOOKUP('Données projet'!$B$13,Paramètres!$A$1:$I$89,5,0)</f>
        <v>219.46599999999981</v>
      </c>
      <c r="CV53" s="14">
        <f t="shared" si="41"/>
        <v>53.998807048358223</v>
      </c>
      <c r="CW53" s="22">
        <f t="shared" si="13"/>
        <v>476.28453894255682</v>
      </c>
      <c r="CX53" s="62">
        <f t="shared" si="14"/>
        <v>769.61787227589014</v>
      </c>
      <c r="CY53" s="62">
        <f ca="1">AVERAGE(OFFSET($CX$3,0,0,'Données projet'!$E$13+1,1))-AVERAGE(OFFSET($H$3,0,0,'Données projet'!$E$13+1,1))</f>
        <v>308.47522272937135</v>
      </c>
      <c r="CZ53" s="62">
        <f t="shared" si="42"/>
        <v>302.54354650449721</v>
      </c>
      <c r="DA53" s="16">
        <f>IF(ISNA(VLOOKUP(A53,'Données projet'!$A$139:$I$159,3,0)),0,VLOOKUP(A53,'Données projet'!$A$139:$I$159,3,0))</f>
        <v>8</v>
      </c>
      <c r="DB53" s="16">
        <f>IF(ISNA(VLOOKUP(A53,'Données projet'!$A$139:$I$159,4,0)),0,VLOOKUP(A53,'Données projet'!$A$139:$I$159,4,0))</f>
        <v>47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2.2056086433339273</v>
      </c>
      <c r="DH53" s="23">
        <f>EXP(-LN(2)/2)*DH52+(1-EXP(-LN(2)/2))/(LN(2)/2)*DB53*DE53*VLOOKUP('Données projet'!$B$13,Paramètres!$A$1:$I$89,3,0)*0.475*44/12</f>
        <v>1.686877044345253E-2</v>
      </c>
      <c r="DI53" s="24">
        <f t="shared" si="15"/>
        <v>2.22247741377738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284.89999999999998</v>
      </c>
      <c r="DM53" s="13">
        <f>VLOOKUP(A53,'Données projet'!$A$165:$I$185,9,0)</f>
        <v>8.5399999999999974</v>
      </c>
      <c r="DN53" s="13">
        <f t="array" ref="DN53">INDEX(DM:DM,MIN(IF(ISNUMBER(DM53:DM249),ROW(DM53:DM249),"")))</f>
        <v>8.5399999999999974</v>
      </c>
      <c r="DO53" s="13">
        <f>IF('Données projet'!$A$166&gt;35,DO52+DN53-DW52,IF(A53&lt;'Données projet'!$A$166,$DL$205^A53,IF(A53='Données projet'!$A$166,'Données projet'!$B$166,DO52+DN53-DW52)))</f>
        <v>284.89999999999992</v>
      </c>
      <c r="DP53" s="18">
        <f>DO53*VLOOKUP('Données projet'!$B$14,Paramètres!$A$1:$I$89,3,0)*VLOOKUP('Données projet'!$B$14,Paramètres!$A$1:$I$89,5,0)</f>
        <v>226.66643999999994</v>
      </c>
      <c r="DQ53" s="14">
        <f t="shared" si="43"/>
        <v>55.561276600641385</v>
      </c>
      <c r="DR53" s="22">
        <f t="shared" si="16"/>
        <v>491.5466064127836</v>
      </c>
      <c r="DS53" s="62">
        <f t="shared" si="17"/>
        <v>784.87993974611686</v>
      </c>
      <c r="DT53" s="62">
        <f ca="1">AVERAGE(OFFSET($DS$3,0,0,'Données projet'!$E$14+1,1))-AVERAGE(OFFSET($H$3,0,0,'Données projet'!$E$14+1,1))</f>
        <v>370.58277541710277</v>
      </c>
      <c r="DU53" s="62">
        <f t="shared" si="44"/>
        <v>404.61777090709171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43.099999999999994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9.75</v>
      </c>
      <c r="EJ53" s="13">
        <f>IF('Données projet'!$A$192&gt;35,EJ52+EI53-ER52,IF(A53&lt;'Données projet'!$A$192,$EG$205^A53,IF(A53='Données projet'!$A$192,'Données projet'!$B$192,EJ52+EI53-ER52)))</f>
        <v>206.5</v>
      </c>
      <c r="EK53" s="18">
        <f>EJ53*VLOOKUP('Données projet'!$B$15,Paramètres!$A$1:$I$89,3,0)*VLOOKUP('Données projet'!$B$15,Paramètres!$A$1:$I$89,5,0)</f>
        <v>128.85599999999999</v>
      </c>
      <c r="EL53" s="14">
        <f t="shared" si="45"/>
        <v>33.731878688740906</v>
      </c>
      <c r="EM53" s="22">
        <f t="shared" si="19"/>
        <v>283.1738887162237</v>
      </c>
      <c r="EN53" s="62">
        <f t="shared" si="20"/>
        <v>576.50722204955696</v>
      </c>
      <c r="EO53" s="62">
        <f ca="1">AVERAGE(OFFSET($EN$3,0,0,'Données projet'!$E$15+1,1))-AVERAGE(OFFSET($H$3,0,0,'Données projet'!$E$15+1,1))</f>
        <v>240.22884864766218</v>
      </c>
      <c r="EP53" s="62">
        <f t="shared" si="46"/>
        <v>343.23776884143166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5.9131970822512336</v>
      </c>
      <c r="EX53" s="23">
        <f>EXP(-LN(2)/2)*EX52+(1-EXP(-LN(2)/2))/(LN(2)/2)*ER53*EU53*VLOOKUP('Données projet'!$B$15,Paramètres!$A$1:$I$89,3,0)*0.475*44/12</f>
        <v>1.6131660040045702E-2</v>
      </c>
      <c r="EY53" s="24">
        <f t="shared" si="21"/>
        <v>5.929328742291279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380</v>
      </c>
      <c r="FC53" s="13">
        <f>VLOOKUP(A53,'Données projet'!$A$217:$I$237,9,0)</f>
        <v>20.399999999999999</v>
      </c>
      <c r="FD53" s="13">
        <f t="array" ref="FD53">INDEX(FC:FC,MIN(IF(ISNUMBER(FC53:FC249),ROW(FC53:FC249),"")))</f>
        <v>20.399999999999999</v>
      </c>
      <c r="FE53" s="13">
        <f>IF('Données projet'!$A$218&gt;35,FE52+FD53-FM52,IF(A53&lt;'Données projet'!$A$218,$FB$205^A53,IF(A53='Données projet'!$A$218,'Données projet'!$B$218,FE52+FD53-FM52)))</f>
        <v>379.99999999999977</v>
      </c>
      <c r="FF53" s="18">
        <f>FE53*VLOOKUP('Données projet'!$B$16,Paramètres!$A$1:$I$89,3,0)*VLOOKUP('Données projet'!$B$16,Paramètres!$A$1:$I$89,5,0)</f>
        <v>177.83999999999992</v>
      </c>
      <c r="FG53" s="14">
        <f t="shared" si="47"/>
        <v>44.841288830609102</v>
      </c>
      <c r="FH53" s="22">
        <f t="shared" si="22"/>
        <v>387.83657804664404</v>
      </c>
      <c r="FI53" s="62">
        <f t="shared" si="23"/>
        <v>681.16991137997729</v>
      </c>
      <c r="FJ53" s="62">
        <f ca="1">AVERAGE(OFFSET($FI$3,0,0,'Données projet'!$E$16+1,1))-AVERAGE(OFFSET($H$3,0,0,'Données projet'!$E$16+1,1))</f>
        <v>399.92909819003523</v>
      </c>
      <c r="FK53" s="62">
        <f t="shared" si="48"/>
        <v>163.7053537268381</v>
      </c>
      <c r="FL53" s="16">
        <f>IF(ISNA(VLOOKUP(A53,'Données projet'!$A$217:$I$237,3,0)),0,VLOOKUP(A53,'Données projet'!$A$217:$I$237,3,0))</f>
        <v>2</v>
      </c>
      <c r="FM53" s="16">
        <f>IF(ISNA(VLOOKUP(A53,'Données projet'!$A$217:$I$237,4,0)),0,VLOOKUP(A53,'Données projet'!$A$217:$I$237,4,0))</f>
        <v>91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284.89999999999998</v>
      </c>
      <c r="FX53" s="13">
        <f>VLOOKUP(A53,'Données projet'!$A$243:$I$263,9,0)</f>
        <v>8.5399999999999974</v>
      </c>
      <c r="FY53" s="13">
        <f t="array" ref="FY53">INDEX(FX:FX,MIN(IF(ISNUMBER(FX53:FX249),ROW(FX53:FX249),"")))</f>
        <v>8.5399999999999974</v>
      </c>
      <c r="FZ53" s="13">
        <f>IF('Données projet'!$A$244&gt;35,FZ52+FY53-GH52,IF(A53&lt;'Données projet'!$A$244,$FW$205^A53,IF(A53='Données projet'!$A$244,'Données projet'!$B$244,FZ52+FY53-GH52)))</f>
        <v>284.89999999999992</v>
      </c>
      <c r="GA53" s="18">
        <f>FZ53*VLOOKUP('Données projet'!$B$17,Paramètres!$A$1:$I$89,3,0)*VLOOKUP('Données projet'!$B$17,Paramètres!$A$1:$I$89,5,0)</f>
        <v>208.88867999999994</v>
      </c>
      <c r="GB53" s="14">
        <f t="shared" si="49"/>
        <v>51.692659373318428</v>
      </c>
      <c r="GC53" s="22">
        <f t="shared" si="25"/>
        <v>453.84583274186275</v>
      </c>
      <c r="GD53" s="62">
        <f t="shared" si="26"/>
        <v>747.17916607519601</v>
      </c>
      <c r="GE53" s="62">
        <f ca="1">AVERAGE(OFFSET($GD$3,0,0,'Données projet'!$E$17+1,1))-AVERAGE(OFFSET($H$3,0,0,'Données projet'!$E$17+1,1))</f>
        <v>344.4426665022238</v>
      </c>
      <c r="GF53" s="62">
        <f t="shared" si="50"/>
        <v>376.41441893222185</v>
      </c>
      <c r="GG53" s="16">
        <f>IF(ISNA(VLOOKUP(A53,'Données projet'!$A$243:$I$263,3,0)),0,VLOOKUP(A53,'Données projet'!$A$243:$I$263,3,0))</f>
        <v>4</v>
      </c>
      <c r="GH53" s="16">
        <f>IF(ISNA(VLOOKUP(A53,'Données projet'!$A$243:$I$263,4,0)),0,VLOOKUP(A53,'Données projet'!$A$243:$I$263,4,0))</f>
        <v>43.099999999999994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353</v>
      </c>
      <c r="GS53" s="13">
        <f>VLOOKUP(A53,'Données projet'!$A$269:$I$289,9,0)</f>
        <v>15</v>
      </c>
      <c r="GT53" s="13">
        <f t="array" ref="GT53">INDEX(GS:GS,MIN(IF(ISNUMBER(GS53:GS249),ROW(GS53:GS249),"")))</f>
        <v>15</v>
      </c>
      <c r="GU53" s="13">
        <f>IF('Données projet'!$A$270&gt;35,GU52+GT53-HC52,IF(A53&lt;'Données projet'!$A$270,$GR$205^A53,IF(A53='Données projet'!$A$270,'Données projet'!$B$270,GU52+GT53-HC52)))</f>
        <v>353</v>
      </c>
      <c r="GV53" s="18">
        <f>GU53*VLOOKUP('Données projet'!$B$18,Paramètres!$A$1:$I$89,3,0)*VLOOKUP('Données projet'!$B$18,Paramètres!$A$1:$I$89,5,0)</f>
        <v>169.79299999999998</v>
      </c>
      <c r="GW53" s="14">
        <f t="shared" si="51"/>
        <v>43.043659184335588</v>
      </c>
      <c r="GX53" s="22">
        <f t="shared" si="28"/>
        <v>370.69051474605106</v>
      </c>
      <c r="GY53" s="62">
        <f t="shared" si="29"/>
        <v>664.02384807938438</v>
      </c>
      <c r="GZ53" s="62">
        <f ca="1">AVERAGE(OFFSET($GY$3,0,0,'Données projet'!$E$18+1,1))-AVERAGE(OFFSET($H$3,0,0,'Données projet'!$E$18+1,1))</f>
        <v>441.17479680509746</v>
      </c>
      <c r="HA53" s="62">
        <f t="shared" si="52"/>
        <v>198.56576128410069</v>
      </c>
      <c r="HB53" s="16">
        <f>IF(ISNA(VLOOKUP(A53,'Données projet'!$A$269:$I$289,3,0)),0,VLOOKUP(A53,'Données projet'!$A$269:$I$289,3,0))</f>
        <v>2</v>
      </c>
      <c r="HC53" s="16">
        <f>IF(ISNA(VLOOKUP(A53,'Données projet'!$A$269:$I$289,4,0)),0,VLOOKUP(A53,'Données projet'!$A$269:$I$289,4,0))</f>
        <v>78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17.285714285714285</v>
      </c>
      <c r="N54" s="14">
        <f>IF('Données projet'!$A$36&gt;35,N53+M54-V53,IF(A54&lt;'Données projet'!$A$36,$K$205^A54,IF(A54='Données projet'!$A$36,'Données projet'!$B$36,N53+M54-V53)))</f>
        <v>427.57142857142838</v>
      </c>
      <c r="O54" s="14">
        <f>N54*VLOOKUP('Données projet'!$B$9,Paramètres!$A$1:$I$89,3,0)*VLOOKUP('Données projet'!$B$9,Paramètres!$A$1:$I$89,5,0)</f>
        <v>239.01242857142847</v>
      </c>
      <c r="P54" s="14">
        <f t="shared" si="33"/>
        <v>58.226998714225545</v>
      </c>
      <c r="Q54" s="22">
        <f t="shared" si="53"/>
        <v>517.69200252251403</v>
      </c>
      <c r="R54" s="62">
        <f t="shared" si="0"/>
        <v>811.02533585584729</v>
      </c>
      <c r="S54" s="62">
        <f ca="1">AVERAGE(OFFSET($R$3,0,0,'Données projet'!$E$9+1,1))-AVERAGE(OFFSET($H$3,0,0,'Données projet'!$E$9+1,1))</f>
        <v>374.79806286316051</v>
      </c>
      <c r="T54" s="62">
        <f t="shared" si="34"/>
        <v>350.01856672839466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4.1223335449901573</v>
      </c>
      <c r="AB54" s="23">
        <f>EXP(-LN(2)/2)*AB53+(1-EXP(-LN(2)/2))/(LN(2)/2)*V54*Y54*VLOOKUP('Données projet'!$B$9,Paramètres!$A$1:$I$89,3,0)*0.475*44/12</f>
        <v>6.2026826160962948E-3</v>
      </c>
      <c r="AC54" s="24">
        <f t="shared" si="3"/>
        <v>4.1285362276062534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7.4</v>
      </c>
      <c r="AI54" s="14">
        <f>IF('Données projet'!$A$62&gt;35,AI53+AH54-AQ53,IF(A54&lt;'Données projet'!$A$62,$AF$205^A54,IF(A54='Données projet'!$A$62,'Données projet'!$B$62,AI53+AH54-AQ53)))</f>
        <v>209.40000000000009</v>
      </c>
      <c r="AJ54" s="14">
        <f>AI54*VLOOKUP('Données projet'!$B$10,Paramètres!$A$1:$I$89,3,0)*VLOOKUP('Données projet'!$B$10,Paramètres!$A$1:$I$89,5,0)</f>
        <v>182.93184000000011</v>
      </c>
      <c r="AK54" s="14">
        <f t="shared" si="35"/>
        <v>45.973851929814685</v>
      </c>
      <c r="AL54" s="22">
        <f t="shared" si="4"/>
        <v>398.67741344442743</v>
      </c>
      <c r="AM54" s="62">
        <f t="shared" si="5"/>
        <v>692.01074677776069</v>
      </c>
      <c r="AN54" s="62">
        <f ca="1">AVERAGE(OFFSET($AM$3,0,0,'Données projet'!$E$10+1,1))-AVERAGE(OFFSET($H$3,0,0,'Données projet'!$E$10+1,1))</f>
        <v>401.89597032936751</v>
      </c>
      <c r="AO54" s="62">
        <f t="shared" si="36"/>
        <v>417.85733543972361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185.99999999999997</v>
      </c>
      <c r="BE54" s="14">
        <f>BD54*VLOOKUP('Données projet'!$B$11,Paramètres!$A$1:$I$89,3,0)*VLOOKUP('Données projet'!$B$11,Paramètres!$A$1:$I$89,5,0)</f>
        <v>168.29279999999997</v>
      </c>
      <c r="BF54" s="14">
        <f t="shared" si="37"/>
        <v>42.707443263135104</v>
      </c>
      <c r="BG54" s="22">
        <f t="shared" si="7"/>
        <v>367.49209034996028</v>
      </c>
      <c r="BH54" s="62">
        <f t="shared" si="8"/>
        <v>660.82542368329359</v>
      </c>
      <c r="BI54" s="62">
        <f ca="1">AVERAGE(OFFSET($BH$3,0,0,'Données projet'!$E$11+1,1))-AVERAGE(OFFSET($H$3,0,0,'Données projet'!$E$11+1,1))</f>
        <v>430.40491895612814</v>
      </c>
      <c r="BJ54" s="62">
        <f t="shared" si="38"/>
        <v>231.36959598460686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5.2564102564102599</v>
      </c>
      <c r="BY54" s="13">
        <f>IF('Données projet'!$A$114&gt;35,BY53+BX54-CG53,IF(A54&lt;'Données projet'!$A$114,$BV$205^A54,IF(A54='Données projet'!$A$114,'Données projet'!$B$114,BY53+BX54-CG53)))</f>
        <v>154.61538461538461</v>
      </c>
      <c r="BZ54" s="14">
        <f>BY54*VLOOKUP('Données projet'!$B$12,Paramètres!$A$1:$I$89,3,0)*VLOOKUP('Données projet'!$B$12,Paramètres!$A$1:$I$89,5,0)</f>
        <v>147.13200000000001</v>
      </c>
      <c r="CA54" s="14">
        <f t="shared" si="39"/>
        <v>37.926091844382093</v>
      </c>
      <c r="CB54" s="22">
        <f t="shared" si="10"/>
        <v>322.30950996229876</v>
      </c>
      <c r="CC54" s="62">
        <f t="shared" si="11"/>
        <v>615.64284329563202</v>
      </c>
      <c r="CD54" s="62">
        <f ca="1">AVERAGE(OFFSET($CC$3,0,0,'Données projet'!$E$12+1,1))-AVERAGE(OFFSET($H$3,0,0,'Données projet'!$E$12+1,1))</f>
        <v>367.11183928586667</v>
      </c>
      <c r="CE54" s="62">
        <f t="shared" si="40"/>
        <v>281.52963027844595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19</v>
      </c>
      <c r="CT54" s="13">
        <f>IF('Données projet'!$A$140&gt;35,CT53+CS54-DB53,IF(A54&lt;'Données projet'!$A$140,$CQ$205^A54,IF(A54='Données projet'!$A$140,'Données projet'!$B$140,CT53+CS54-DB53)))</f>
        <v>338.99999999999966</v>
      </c>
      <c r="CU54" s="18">
        <f>CT54*VLOOKUP('Données projet'!$B$13,Paramètres!$A$1:$I$89,3,0)*VLOOKUP('Données projet'!$B$13,Paramètres!$A$1:$I$89,5,0)</f>
        <v>202.72199999999981</v>
      </c>
      <c r="CV54" s="14">
        <f t="shared" si="41"/>
        <v>50.341909475522797</v>
      </c>
      <c r="CW54" s="22">
        <f t="shared" si="13"/>
        <v>440.75297566986848</v>
      </c>
      <c r="CX54" s="62">
        <f t="shared" si="14"/>
        <v>734.08630900320179</v>
      </c>
      <c r="CY54" s="62">
        <f ca="1">AVERAGE(OFFSET($CX$3,0,0,'Données projet'!$E$13+1,1))-AVERAGE(OFFSET($H$3,0,0,'Données projet'!$E$13+1,1))</f>
        <v>308.47522272937135</v>
      </c>
      <c r="CZ54" s="62">
        <f t="shared" si="42"/>
        <v>302.54354650449721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2.1452961589940434</v>
      </c>
      <c r="DH54" s="23">
        <f>EXP(-LN(2)/2)*DH53+(1-EXP(-LN(2)/2))/(LN(2)/2)*DB54*DE54*VLOOKUP('Données projet'!$B$13,Paramètres!$A$1:$I$89,3,0)*0.475*44/12</f>
        <v>1.1928021970844489E-2</v>
      </c>
      <c r="DI54" s="24">
        <f t="shared" si="15"/>
        <v>2.1572241809648878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7.3600000000000083</v>
      </c>
      <c r="DO54" s="13">
        <f>IF('Données projet'!$A$166&gt;35,DO53+DN54-DW53,IF(A54&lt;'Données projet'!$A$166,$DL$205^A54,IF(A54='Données projet'!$A$166,'Données projet'!$B$166,DO53+DN54-DW53)))</f>
        <v>249.15999999999994</v>
      </c>
      <c r="DP54" s="18">
        <f>DO54*VLOOKUP('Données projet'!$B$14,Paramètres!$A$1:$I$89,3,0)*VLOOKUP('Données projet'!$B$14,Paramètres!$A$1:$I$89,5,0)</f>
        <v>198.23169599999997</v>
      </c>
      <c r="DQ54" s="14">
        <f t="shared" si="43"/>
        <v>49.355347391815158</v>
      </c>
      <c r="DR54" s="22">
        <f t="shared" si="16"/>
        <v>431.21410057407803</v>
      </c>
      <c r="DS54" s="62">
        <f t="shared" si="17"/>
        <v>724.54743390741135</v>
      </c>
      <c r="DT54" s="62">
        <f ca="1">AVERAGE(OFFSET($DS$3,0,0,'Données projet'!$E$14+1,1))-AVERAGE(OFFSET($H$3,0,0,'Données projet'!$E$14+1,1))</f>
        <v>370.58277541710277</v>
      </c>
      <c r="DU54" s="62">
        <f t="shared" si="44"/>
        <v>404.61777090709171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9.75</v>
      </c>
      <c r="EJ54" s="13">
        <f>IF('Données projet'!$A$192&gt;35,EJ53+EI54-ER53,IF(A54&lt;'Données projet'!$A$192,$EG$205^A54,IF(A54='Données projet'!$A$192,'Données projet'!$B$192,EJ53+EI54-ER53)))</f>
        <v>216.25</v>
      </c>
      <c r="EK54" s="18">
        <f>EJ54*VLOOKUP('Données projet'!$B$15,Paramètres!$A$1:$I$89,3,0)*VLOOKUP('Données projet'!$B$15,Paramètres!$A$1:$I$89,5,0)</f>
        <v>134.94</v>
      </c>
      <c r="EL54" s="14">
        <f t="shared" si="45"/>
        <v>35.135358771568036</v>
      </c>
      <c r="EM54" s="22">
        <f t="shared" si="19"/>
        <v>296.21458319381429</v>
      </c>
      <c r="EN54" s="62">
        <f t="shared" si="20"/>
        <v>589.54791652714766</v>
      </c>
      <c r="EO54" s="62">
        <f ca="1">AVERAGE(OFFSET($EN$3,0,0,'Données projet'!$E$15+1,1))-AVERAGE(OFFSET($H$3,0,0,'Données projet'!$E$15+1,1))</f>
        <v>240.22884864766218</v>
      </c>
      <c r="EP54" s="62">
        <f t="shared" si="46"/>
        <v>343.23776884143166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5.7515003970755538</v>
      </c>
      <c r="EX54" s="23">
        <f>EXP(-LN(2)/2)*EX53+(1-EXP(-LN(2)/2))/(LN(2)/2)*ER54*EU54*VLOOKUP('Données projet'!$B$15,Paramètres!$A$1:$I$89,3,0)*0.475*44/12</f>
        <v>1.1406806206112369E-2</v>
      </c>
      <c r="EY54" s="24">
        <f t="shared" si="21"/>
        <v>5.7629072032816664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22.7</v>
      </c>
      <c r="FE54" s="13">
        <f>IF('Données projet'!$A$218&gt;35,FE53+FD54-FM53,IF(A54&lt;'Données projet'!$A$218,$FB$205^A54,IF(A54='Données projet'!$A$218,'Données projet'!$B$218,FE53+FD54-FM53)))</f>
        <v>311.69999999999976</v>
      </c>
      <c r="FF54" s="18">
        <f>FE54*VLOOKUP('Données projet'!$B$16,Paramètres!$A$1:$I$89,3,0)*VLOOKUP('Données projet'!$B$16,Paramètres!$A$1:$I$89,5,0)</f>
        <v>145.87559999999988</v>
      </c>
      <c r="FG54" s="14">
        <f t="shared" si="47"/>
        <v>37.639785440563593</v>
      </c>
      <c r="FH54" s="22">
        <f t="shared" si="22"/>
        <v>319.62262964231468</v>
      </c>
      <c r="FI54" s="62">
        <f t="shared" si="23"/>
        <v>612.95596297564794</v>
      </c>
      <c r="FJ54" s="62">
        <f ca="1">AVERAGE(OFFSET($FI$3,0,0,'Données projet'!$E$16+1,1))-AVERAGE(OFFSET($H$3,0,0,'Données projet'!$E$16+1,1))</f>
        <v>399.92909819003523</v>
      </c>
      <c r="FK54" s="62">
        <f t="shared" si="48"/>
        <v>163.7053537268381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7.3600000000000083</v>
      </c>
      <c r="FZ54" s="13">
        <f>IF('Données projet'!$A$244&gt;35,FZ53+FY54-GH53,IF(A54&lt;'Données projet'!$A$244,$FW$205^A54,IF(A54='Données projet'!$A$244,'Données projet'!$B$244,FZ53+FY54-GH53)))</f>
        <v>249.15999999999994</v>
      </c>
      <c r="GA54" s="18">
        <f>FZ54*VLOOKUP('Données projet'!$B$17,Paramètres!$A$1:$I$89,3,0)*VLOOKUP('Données projet'!$B$17,Paramètres!$A$1:$I$89,5,0)</f>
        <v>182.68411199999994</v>
      </c>
      <c r="GB54" s="14">
        <f t="shared" si="49"/>
        <v>45.91883623040173</v>
      </c>
      <c r="GC54" s="22">
        <f t="shared" si="25"/>
        <v>398.15013483461621</v>
      </c>
      <c r="GD54" s="62">
        <f t="shared" si="26"/>
        <v>691.48346816794947</v>
      </c>
      <c r="GE54" s="62">
        <f ca="1">AVERAGE(OFFSET($GD$3,0,0,'Données projet'!$E$17+1,1))-AVERAGE(OFFSET($H$3,0,0,'Données projet'!$E$17+1,1))</f>
        <v>344.4426665022238</v>
      </c>
      <c r="GF54" s="62">
        <f t="shared" si="50"/>
        <v>376.41441893222185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16.100000000000001</v>
      </c>
      <c r="GU54" s="13">
        <f>IF('Données projet'!$A$270&gt;35,GU53+GT54-HC53,IF(A54&lt;'Données projet'!$A$270,$GR$205^A54,IF(A54='Données projet'!$A$270,'Données projet'!$B$270,GU53+GT54-HC53)))</f>
        <v>291.10000000000002</v>
      </c>
      <c r="GV54" s="18">
        <f>GU54*VLOOKUP('Données projet'!$B$18,Paramètres!$A$1:$I$89,3,0)*VLOOKUP('Données projet'!$B$18,Paramètres!$A$1:$I$89,5,0)</f>
        <v>140.01910000000001</v>
      </c>
      <c r="GW54" s="14">
        <f t="shared" si="51"/>
        <v>36.30138100205631</v>
      </c>
      <c r="GX54" s="22">
        <f t="shared" si="28"/>
        <v>307.09150441191474</v>
      </c>
      <c r="GY54" s="62">
        <f t="shared" si="29"/>
        <v>600.42483774524806</v>
      </c>
      <c r="GZ54" s="62">
        <f ca="1">AVERAGE(OFFSET($GY$3,0,0,'Données projet'!$E$18+1,1))-AVERAGE(OFFSET($H$3,0,0,'Données projet'!$E$18+1,1))</f>
        <v>441.17479680509746</v>
      </c>
      <c r="HA54" s="62">
        <f t="shared" si="52"/>
        <v>198.56576128410069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17.285714285714285</v>
      </c>
      <c r="N55" s="14">
        <f>IF('Données projet'!$A$36&gt;35,N54+M55-V54,IF(A55&lt;'Données projet'!$A$36,$K$205^A55,IF(A55='Données projet'!$A$36,'Données projet'!$B$36,N54+M55-V54)))</f>
        <v>444.85714285714266</v>
      </c>
      <c r="O55" s="14">
        <f>N55*VLOOKUP('Données projet'!$B$9,Paramètres!$A$1:$I$89,3,0)*VLOOKUP('Données projet'!$B$9,Paramètres!$A$1:$I$89,5,0)</f>
        <v>248.67514285714276</v>
      </c>
      <c r="P55" s="14">
        <f t="shared" si="33"/>
        <v>60.30215496200401</v>
      </c>
      <c r="Q55" s="22">
        <f t="shared" si="53"/>
        <v>538.13546036834725</v>
      </c>
      <c r="R55" s="62">
        <f t="shared" si="0"/>
        <v>831.46879370168062</v>
      </c>
      <c r="S55" s="62">
        <f ca="1">AVERAGE(OFFSET($R$3,0,0,'Données projet'!$E$9+1,1))-AVERAGE(OFFSET($H$3,0,0,'Données projet'!$E$9+1,1))</f>
        <v>374.79806286316051</v>
      </c>
      <c r="T55" s="62">
        <f t="shared" si="34"/>
        <v>350.01856672839466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4.0096081174183018</v>
      </c>
      <c r="AB55" s="23">
        <f>EXP(-LN(2)/2)*AB54+(1-EXP(-LN(2)/2))/(LN(2)/2)*V55*Y55*VLOOKUP('Données projet'!$B$9,Paramètres!$A$1:$I$89,3,0)*0.475*44/12</f>
        <v>4.3859589393896049E-3</v>
      </c>
      <c r="AC55" s="24">
        <f t="shared" si="3"/>
        <v>4.0139940763576911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7.4</v>
      </c>
      <c r="AI55" s="14">
        <f>IF('Données projet'!$A$62&gt;35,AI54+AH55-AQ54,IF(A55&lt;'Données projet'!$A$62,$AF$205^A55,IF(A55='Données projet'!$A$62,'Données projet'!$B$62,AI54+AH55-AQ54)))</f>
        <v>216.8000000000001</v>
      </c>
      <c r="AJ55" s="14">
        <f>AI55*VLOOKUP('Données projet'!$B$10,Paramètres!$A$1:$I$89,3,0)*VLOOKUP('Données projet'!$B$10,Paramètres!$A$1:$I$89,5,0)</f>
        <v>189.39648000000011</v>
      </c>
      <c r="AK55" s="14">
        <f t="shared" si="35"/>
        <v>47.406498452084548</v>
      </c>
      <c r="AL55" s="22">
        <f t="shared" si="4"/>
        <v>412.43185413738075</v>
      </c>
      <c r="AM55" s="62">
        <f t="shared" si="5"/>
        <v>705.76518747071407</v>
      </c>
      <c r="AN55" s="62">
        <f ca="1">AVERAGE(OFFSET($AM$3,0,0,'Données projet'!$E$10+1,1))-AVERAGE(OFFSET($H$3,0,0,'Données projet'!$E$10+1,1))</f>
        <v>401.89597032936751</v>
      </c>
      <c r="AO55" s="62">
        <f t="shared" si="36"/>
        <v>417.85733543972361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193.99999999999997</v>
      </c>
      <c r="BE55" s="14">
        <f>BD55*VLOOKUP('Données projet'!$B$11,Paramètres!$A$1:$I$89,3,0)*VLOOKUP('Données projet'!$B$11,Paramètres!$A$1:$I$89,5,0)</f>
        <v>175.53119999999998</v>
      </c>
      <c r="BF55" s="14">
        <f t="shared" si="37"/>
        <v>44.326510481422488</v>
      </c>
      <c r="BG55" s="22">
        <f t="shared" si="7"/>
        <v>382.9188457551441</v>
      </c>
      <c r="BH55" s="62">
        <f t="shared" si="8"/>
        <v>676.25217908847742</v>
      </c>
      <c r="BI55" s="62">
        <f ca="1">AVERAGE(OFFSET($BH$3,0,0,'Données projet'!$E$11+1,1))-AVERAGE(OFFSET($H$3,0,0,'Données projet'!$E$11+1,1))</f>
        <v>430.40491895612814</v>
      </c>
      <c r="BJ55" s="62">
        <f t="shared" si="38"/>
        <v>231.36959598460686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5.2564102564102599</v>
      </c>
      <c r="BY55" s="13">
        <f>IF('Données projet'!$A$114&gt;35,BY54+BX55-CG54,IF(A55&lt;'Données projet'!$A$114,$BV$205^A55,IF(A55='Données projet'!$A$114,'Données projet'!$B$114,BY54+BX55-CG54)))</f>
        <v>159.87179487179486</v>
      </c>
      <c r="BZ55" s="14">
        <f>BY55*VLOOKUP('Données projet'!$B$12,Paramètres!$A$1:$I$89,3,0)*VLOOKUP('Données projet'!$B$12,Paramètres!$A$1:$I$89,5,0)</f>
        <v>152.13399999999999</v>
      </c>
      <c r="CA55" s="14">
        <f t="shared" si="39"/>
        <v>39.063145346110034</v>
      </c>
      <c r="CB55" s="22">
        <f t="shared" si="10"/>
        <v>333.00169481114159</v>
      </c>
      <c r="CC55" s="62">
        <f t="shared" si="11"/>
        <v>626.3350281444749</v>
      </c>
      <c r="CD55" s="62">
        <f ca="1">AVERAGE(OFFSET($CC$3,0,0,'Données projet'!$E$12+1,1))-AVERAGE(OFFSET($H$3,0,0,'Données projet'!$E$12+1,1))</f>
        <v>367.11183928586667</v>
      </c>
      <c r="CE55" s="62">
        <f t="shared" si="40"/>
        <v>281.52963027844595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19</v>
      </c>
      <c r="CT55" s="13">
        <f>IF('Données projet'!$A$140&gt;35,CT54+CS55-DB54,IF(A55&lt;'Données projet'!$A$140,$CQ$205^A55,IF(A55='Données projet'!$A$140,'Données projet'!$B$140,CT54+CS55-DB54)))</f>
        <v>357.99999999999966</v>
      </c>
      <c r="CU55" s="18">
        <f>CT55*VLOOKUP('Données projet'!$B$13,Paramètres!$A$1:$I$89,3,0)*VLOOKUP('Données projet'!$B$13,Paramètres!$A$1:$I$89,5,0)</f>
        <v>214.0839999999998</v>
      </c>
      <c r="CV55" s="14">
        <f t="shared" si="41"/>
        <v>52.827039557879765</v>
      </c>
      <c r="CW55" s="22">
        <f t="shared" si="13"/>
        <v>464.87006056330688</v>
      </c>
      <c r="CX55" s="62">
        <f t="shared" si="14"/>
        <v>758.20339389664014</v>
      </c>
      <c r="CY55" s="62">
        <f ca="1">AVERAGE(OFFSET($CX$3,0,0,'Données projet'!$E$13+1,1))-AVERAGE(OFFSET($H$3,0,0,'Données projet'!$E$13+1,1))</f>
        <v>308.47522272937135</v>
      </c>
      <c r="CZ55" s="62">
        <f t="shared" si="42"/>
        <v>302.54354650449721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2.0866329227101295</v>
      </c>
      <c r="DH55" s="23">
        <f>EXP(-LN(2)/2)*DH54+(1-EXP(-LN(2)/2))/(LN(2)/2)*DB55*DE55*VLOOKUP('Données projet'!$B$13,Paramètres!$A$1:$I$89,3,0)*0.475*44/12</f>
        <v>8.4343852217262649E-3</v>
      </c>
      <c r="DI55" s="24">
        <f t="shared" si="15"/>
        <v>2.0950673079318558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7.3600000000000083</v>
      </c>
      <c r="DO55" s="13">
        <f>IF('Données projet'!$A$166&gt;35,DO54+DN55-DW54,IF(A55&lt;'Données projet'!$A$166,$DL$205^A55,IF(A55='Données projet'!$A$166,'Données projet'!$B$166,DO54+DN55-DW54)))</f>
        <v>256.51999999999992</v>
      </c>
      <c r="DP55" s="18">
        <f>DO55*VLOOKUP('Données projet'!$B$14,Paramètres!$A$1:$I$89,3,0)*VLOOKUP('Données projet'!$B$14,Paramètres!$A$1:$I$89,5,0)</f>
        <v>204.08731199999997</v>
      </c>
      <c r="DQ55" s="14">
        <f t="shared" si="43"/>
        <v>50.641374824638383</v>
      </c>
      <c r="DR55" s="22">
        <f t="shared" si="16"/>
        <v>443.65246288624508</v>
      </c>
      <c r="DS55" s="62">
        <f t="shared" si="17"/>
        <v>736.98579621957833</v>
      </c>
      <c r="DT55" s="62">
        <f ca="1">AVERAGE(OFFSET($DS$3,0,0,'Données projet'!$E$14+1,1))-AVERAGE(OFFSET($H$3,0,0,'Données projet'!$E$14+1,1))</f>
        <v>370.58277541710277</v>
      </c>
      <c r="DU55" s="62">
        <f t="shared" si="44"/>
        <v>404.61777090709171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9.75</v>
      </c>
      <c r="EJ55" s="13">
        <f>IF('Données projet'!$A$192&gt;35,EJ54+EI55-ER54,IF(A55&lt;'Données projet'!$A$192,$EG$205^A55,IF(A55='Données projet'!$A$192,'Données projet'!$B$192,EJ54+EI55-ER54)))</f>
        <v>226</v>
      </c>
      <c r="EK55" s="18">
        <f>EJ55*VLOOKUP('Données projet'!$B$15,Paramètres!$A$1:$I$89,3,0)*VLOOKUP('Données projet'!$B$15,Paramètres!$A$1:$I$89,5,0)</f>
        <v>141.024</v>
      </c>
      <c r="EL55" s="14">
        <f t="shared" si="45"/>
        <v>36.531489925882461</v>
      </c>
      <c r="EM55" s="22">
        <f t="shared" si="19"/>
        <v>309.24247828757859</v>
      </c>
      <c r="EN55" s="62">
        <f t="shared" si="20"/>
        <v>602.57581162091196</v>
      </c>
      <c r="EO55" s="62">
        <f ca="1">AVERAGE(OFFSET($EN$3,0,0,'Données projet'!$E$15+1,1))-AVERAGE(OFFSET($H$3,0,0,'Données projet'!$E$15+1,1))</f>
        <v>240.22884864766218</v>
      </c>
      <c r="EP55" s="62">
        <f t="shared" si="46"/>
        <v>343.23776884143166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5.5942253162592621</v>
      </c>
      <c r="EX55" s="23">
        <f>EXP(-LN(2)/2)*EX54+(1-EXP(-LN(2)/2))/(LN(2)/2)*ER55*EU55*VLOOKUP('Données projet'!$B$15,Paramètres!$A$1:$I$89,3,0)*0.475*44/12</f>
        <v>8.065830020022851E-3</v>
      </c>
      <c r="EY55" s="24">
        <f t="shared" si="21"/>
        <v>5.6022911462792848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22.7</v>
      </c>
      <c r="FE55" s="13">
        <f>IF('Données projet'!$A$218&gt;35,FE54+FD55-FM54,IF(A55&lt;'Données projet'!$A$218,$FB$205^A55,IF(A55='Données projet'!$A$218,'Données projet'!$B$218,FE54+FD55-FM54)))</f>
        <v>334.39999999999975</v>
      </c>
      <c r="FF55" s="18">
        <f>FE55*VLOOKUP('Données projet'!$B$16,Paramètres!$A$1:$I$89,3,0)*VLOOKUP('Données projet'!$B$16,Paramètres!$A$1:$I$89,5,0)</f>
        <v>156.49919999999989</v>
      </c>
      <c r="FG55" s="14">
        <f t="shared" si="47"/>
        <v>40.051886402928353</v>
      </c>
      <c r="FH55" s="22">
        <f t="shared" si="22"/>
        <v>342.32647548509999</v>
      </c>
      <c r="FI55" s="62">
        <f t="shared" si="23"/>
        <v>635.65980881843325</v>
      </c>
      <c r="FJ55" s="62">
        <f ca="1">AVERAGE(OFFSET($FI$3,0,0,'Données projet'!$E$16+1,1))-AVERAGE(OFFSET($H$3,0,0,'Données projet'!$E$16+1,1))</f>
        <v>399.92909819003523</v>
      </c>
      <c r="FK55" s="62">
        <f t="shared" si="48"/>
        <v>163.7053537268381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7.3600000000000083</v>
      </c>
      <c r="FZ55" s="13">
        <f>IF('Données projet'!$A$244&gt;35,FZ54+FY55-GH54,IF(A55&lt;'Données projet'!$A$244,$FW$205^A55,IF(A55='Données projet'!$A$244,'Données projet'!$B$244,FZ54+FY55-GH54)))</f>
        <v>256.51999999999992</v>
      </c>
      <c r="GA55" s="18">
        <f>FZ55*VLOOKUP('Données projet'!$B$17,Paramètres!$A$1:$I$89,3,0)*VLOOKUP('Données projet'!$B$17,Paramètres!$A$1:$I$89,5,0)</f>
        <v>188.08046399999995</v>
      </c>
      <c r="GB55" s="14">
        <f t="shared" si="49"/>
        <v>47.115320222436289</v>
      </c>
      <c r="GC55" s="22">
        <f t="shared" si="25"/>
        <v>409.63265752074312</v>
      </c>
      <c r="GD55" s="62">
        <f t="shared" si="26"/>
        <v>702.96599085407638</v>
      </c>
      <c r="GE55" s="62">
        <f ca="1">AVERAGE(OFFSET($GD$3,0,0,'Données projet'!$E$17+1,1))-AVERAGE(OFFSET($H$3,0,0,'Données projet'!$E$17+1,1))</f>
        <v>344.4426665022238</v>
      </c>
      <c r="GF55" s="62">
        <f t="shared" si="50"/>
        <v>376.41441893222185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16.100000000000001</v>
      </c>
      <c r="GU55" s="13">
        <f>IF('Données projet'!$A$270&gt;35,GU54+GT55-HC54,IF(A55&lt;'Données projet'!$A$270,$GR$205^A55,IF(A55='Données projet'!$A$270,'Données projet'!$B$270,GU54+GT55-HC54)))</f>
        <v>307.20000000000005</v>
      </c>
      <c r="GV55" s="18">
        <f>GU55*VLOOKUP('Données projet'!$B$18,Paramètres!$A$1:$I$89,3,0)*VLOOKUP('Données projet'!$B$18,Paramètres!$A$1:$I$89,5,0)</f>
        <v>147.76320000000001</v>
      </c>
      <c r="GW55" s="14">
        <f t="shared" si="51"/>
        <v>38.069821166127106</v>
      </c>
      <c r="GX55" s="22">
        <f t="shared" si="28"/>
        <v>323.65917853100467</v>
      </c>
      <c r="GY55" s="62">
        <f t="shared" si="29"/>
        <v>616.99251186433798</v>
      </c>
      <c r="GZ55" s="62">
        <f ca="1">AVERAGE(OFFSET($GY$3,0,0,'Données projet'!$E$18+1,1))-AVERAGE(OFFSET($H$3,0,0,'Données projet'!$E$18+1,1))</f>
        <v>441.17479680509746</v>
      </c>
      <c r="HA55" s="62">
        <f t="shared" si="52"/>
        <v>198.56576128410069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17.285714285714285</v>
      </c>
      <c r="N56" s="14">
        <f>IF('Données projet'!$A$36&gt;35,N55+M56-V55,IF(A56&lt;'Données projet'!$A$36,$K$205^A56,IF(A56='Données projet'!$A$36,'Données projet'!$B$36,N55+M56-V55)))</f>
        <v>462.14285714285694</v>
      </c>
      <c r="O56" s="14">
        <f>N56*VLOOKUP('Données projet'!$B$9,Paramètres!$A$1:$I$89,3,0)*VLOOKUP('Données projet'!$B$9,Paramètres!$A$1:$I$89,5,0)</f>
        <v>258.33785714285705</v>
      </c>
      <c r="P56" s="14">
        <f t="shared" si="33"/>
        <v>62.367944130057822</v>
      </c>
      <c r="Q56" s="22">
        <f t="shared" si="53"/>
        <v>558.56260388366002</v>
      </c>
      <c r="R56" s="62">
        <f t="shared" si="0"/>
        <v>851.89593721699339</v>
      </c>
      <c r="S56" s="62">
        <f ca="1">AVERAGE(OFFSET($R$3,0,0,'Données projet'!$E$9+1,1))-AVERAGE(OFFSET($H$3,0,0,'Données projet'!$E$9+1,1))</f>
        <v>374.79806286316051</v>
      </c>
      <c r="T56" s="62">
        <f t="shared" si="34"/>
        <v>350.01856672839466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3.8999651725913713</v>
      </c>
      <c r="AB56" s="23">
        <f>EXP(-LN(2)/2)*AB55+(1-EXP(-LN(2)/2))/(LN(2)/2)*V56*Y56*VLOOKUP('Données projet'!$B$9,Paramètres!$A$1:$I$89,3,0)*0.475*44/12</f>
        <v>3.1013413080481474E-3</v>
      </c>
      <c r="AC56" s="24">
        <f t="shared" si="3"/>
        <v>3.9030665138994194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7.4</v>
      </c>
      <c r="AI56" s="14">
        <f>IF('Données projet'!$A$62&gt;35,AI55+AH56-AQ55,IF(A56&lt;'Données projet'!$A$62,$AF$205^A56,IF(A56='Données projet'!$A$62,'Données projet'!$B$62,AI55+AH56-AQ55)))</f>
        <v>224.2000000000001</v>
      </c>
      <c r="AJ56" s="14">
        <f>AI56*VLOOKUP('Données projet'!$B$10,Paramètres!$A$1:$I$89,3,0)*VLOOKUP('Données projet'!$B$10,Paramètres!$A$1:$I$89,5,0)</f>
        <v>195.86112000000011</v>
      </c>
      <c r="AK56" s="14">
        <f t="shared" si="35"/>
        <v>48.833463106716465</v>
      </c>
      <c r="AL56" s="22">
        <f t="shared" si="4"/>
        <v>426.17639891086469</v>
      </c>
      <c r="AM56" s="62">
        <f t="shared" si="5"/>
        <v>719.50973224419795</v>
      </c>
      <c r="AN56" s="62">
        <f ca="1">AVERAGE(OFFSET($AM$3,0,0,'Données projet'!$E$10+1,1))-AVERAGE(OFFSET($H$3,0,0,'Données projet'!$E$10+1,1))</f>
        <v>401.89597032936751</v>
      </c>
      <c r="AO56" s="62">
        <f t="shared" si="36"/>
        <v>417.85733543972361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201.99999999999997</v>
      </c>
      <c r="BE56" s="14">
        <f>BD56*VLOOKUP('Données projet'!$B$11,Paramètres!$A$1:$I$89,3,0)*VLOOKUP('Données projet'!$B$11,Paramètres!$A$1:$I$89,5,0)</f>
        <v>182.76959999999997</v>
      </c>
      <c r="BF56" s="14">
        <f t="shared" si="37"/>
        <v>45.937822477650357</v>
      </c>
      <c r="BG56" s="22">
        <f t="shared" si="7"/>
        <v>398.33209414857424</v>
      </c>
      <c r="BH56" s="62">
        <f t="shared" si="8"/>
        <v>691.6654274819075</v>
      </c>
      <c r="BI56" s="62">
        <f ca="1">AVERAGE(OFFSET($BH$3,0,0,'Données projet'!$E$11+1,1))-AVERAGE(OFFSET($H$3,0,0,'Données projet'!$E$11+1,1))</f>
        <v>430.40491895612814</v>
      </c>
      <c r="BJ56" s="62">
        <f t="shared" si="38"/>
        <v>231.36959598460686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5.2564102564102599</v>
      </c>
      <c r="BY56" s="13">
        <f>IF('Données projet'!$A$114&gt;35,BY55+BX56-CG55,IF(A56&lt;'Données projet'!$A$114,$BV$205^A56,IF(A56='Données projet'!$A$114,'Données projet'!$B$114,BY55+BX56-CG55)))</f>
        <v>165.12820512820511</v>
      </c>
      <c r="BZ56" s="14">
        <f>BY56*VLOOKUP('Données projet'!$B$12,Paramètres!$A$1:$I$89,3,0)*VLOOKUP('Données projet'!$B$12,Paramètres!$A$1:$I$89,5,0)</f>
        <v>157.136</v>
      </c>
      <c r="CA56" s="14">
        <f t="shared" si="39"/>
        <v>40.195854714214285</v>
      </c>
      <c r="CB56" s="22">
        <f t="shared" si="10"/>
        <v>343.68631362725654</v>
      </c>
      <c r="CC56" s="62">
        <f t="shared" si="11"/>
        <v>637.01964696058985</v>
      </c>
      <c r="CD56" s="62">
        <f ca="1">AVERAGE(OFFSET($CC$3,0,0,'Données projet'!$E$12+1,1))-AVERAGE(OFFSET($H$3,0,0,'Données projet'!$E$12+1,1))</f>
        <v>367.11183928586667</v>
      </c>
      <c r="CE56" s="62">
        <f t="shared" si="40"/>
        <v>281.52963027844595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19</v>
      </c>
      <c r="CT56" s="13">
        <f>IF('Données projet'!$A$140&gt;35,CT55+CS56-DB55,IF(A56&lt;'Données projet'!$A$140,$CQ$205^A56,IF(A56='Données projet'!$A$140,'Données projet'!$B$140,CT55+CS56-DB55)))</f>
        <v>376.99999999999966</v>
      </c>
      <c r="CU56" s="18">
        <f>CT56*VLOOKUP('Données projet'!$B$13,Paramètres!$A$1:$I$89,3,0)*VLOOKUP('Données projet'!$B$13,Paramètres!$A$1:$I$89,5,0)</f>
        <v>225.4459999999998</v>
      </c>
      <c r="CV56" s="14">
        <f t="shared" si="41"/>
        <v>55.296857101810794</v>
      </c>
      <c r="CW56" s="22">
        <f t="shared" si="13"/>
        <v>488.96047611898672</v>
      </c>
      <c r="CX56" s="62">
        <f t="shared" si="14"/>
        <v>782.29380945232003</v>
      </c>
      <c r="CY56" s="62">
        <f ca="1">AVERAGE(OFFSET($CX$3,0,0,'Données projet'!$E$13+1,1))-AVERAGE(OFFSET($H$3,0,0,'Données projet'!$E$13+1,1))</f>
        <v>308.47522272937135</v>
      </c>
      <c r="CZ56" s="62">
        <f t="shared" si="42"/>
        <v>302.54354650449721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2.0295738357073647</v>
      </c>
      <c r="DH56" s="23">
        <f>EXP(-LN(2)/2)*DH55+(1-EXP(-LN(2)/2))/(LN(2)/2)*DB56*DE56*VLOOKUP('Données projet'!$B$13,Paramètres!$A$1:$I$89,3,0)*0.475*44/12</f>
        <v>5.9640109854222443E-3</v>
      </c>
      <c r="DI56" s="24">
        <f t="shared" si="15"/>
        <v>2.0355378466927871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7.3600000000000083</v>
      </c>
      <c r="DO56" s="13">
        <f>IF('Données projet'!$A$166&gt;35,DO55+DN56-DW55,IF(A56&lt;'Données projet'!$A$166,$DL$205^A56,IF(A56='Données projet'!$A$166,'Données projet'!$B$166,DO55+DN56-DW55)))</f>
        <v>263.87999999999994</v>
      </c>
      <c r="DP56" s="18">
        <f>DO56*VLOOKUP('Données projet'!$B$14,Paramètres!$A$1:$I$89,3,0)*VLOOKUP('Données projet'!$B$14,Paramètres!$A$1:$I$89,5,0)</f>
        <v>209.94292799999997</v>
      </c>
      <c r="DQ56" s="14">
        <f t="shared" si="43"/>
        <v>51.9231138331048</v>
      </c>
      <c r="DR56" s="22">
        <f t="shared" si="16"/>
        <v>456.08335619265745</v>
      </c>
      <c r="DS56" s="62">
        <f t="shared" si="17"/>
        <v>749.41668952599071</v>
      </c>
      <c r="DT56" s="62">
        <f ca="1">AVERAGE(OFFSET($DS$3,0,0,'Données projet'!$E$14+1,1))-AVERAGE(OFFSET($H$3,0,0,'Données projet'!$E$14+1,1))</f>
        <v>370.58277541710277</v>
      </c>
      <c r="DU56" s="62">
        <f t="shared" si="44"/>
        <v>404.61777090709171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9.75</v>
      </c>
      <c r="EJ56" s="13">
        <f>IF('Données projet'!$A$192&gt;35,EJ55+EI56-ER55,IF(A56&lt;'Données projet'!$A$192,$EG$205^A56,IF(A56='Données projet'!$A$192,'Données projet'!$B$192,EJ55+EI56-ER55)))</f>
        <v>235.75</v>
      </c>
      <c r="EK56" s="18">
        <f>EJ56*VLOOKUP('Données projet'!$B$15,Paramètres!$A$1:$I$89,3,0)*VLOOKUP('Données projet'!$B$15,Paramètres!$A$1:$I$89,5,0)</f>
        <v>147.108</v>
      </c>
      <c r="EL56" s="14">
        <f t="shared" si="45"/>
        <v>37.920625436598897</v>
      </c>
      <c r="EM56" s="22">
        <f t="shared" si="19"/>
        <v>322.25818930207646</v>
      </c>
      <c r="EN56" s="62">
        <f t="shared" si="20"/>
        <v>615.59152263540977</v>
      </c>
      <c r="EO56" s="62">
        <f ca="1">AVERAGE(OFFSET($EN$3,0,0,'Données projet'!$E$15+1,1))-AVERAGE(OFFSET($H$3,0,0,'Données projet'!$E$15+1,1))</f>
        <v>240.22884864766218</v>
      </c>
      <c r="EP56" s="62">
        <f t="shared" si="46"/>
        <v>343.23776884143166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5.4412509307986294</v>
      </c>
      <c r="EX56" s="23">
        <f>EXP(-LN(2)/2)*EX55+(1-EXP(-LN(2)/2))/(LN(2)/2)*ER56*EU56*VLOOKUP('Données projet'!$B$15,Paramètres!$A$1:$I$89,3,0)*0.475*44/12</f>
        <v>5.7034031030561844E-3</v>
      </c>
      <c r="EY56" s="24">
        <f t="shared" si="21"/>
        <v>5.4469543339016857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22.7</v>
      </c>
      <c r="FE56" s="13">
        <f>IF('Données projet'!$A$218&gt;35,FE55+FD56-FM55,IF(A56&lt;'Données projet'!$A$218,$FB$205^A56,IF(A56='Données projet'!$A$218,'Données projet'!$B$218,FE55+FD56-FM55)))</f>
        <v>357.09999999999974</v>
      </c>
      <c r="FF56" s="18">
        <f>FE56*VLOOKUP('Données projet'!$B$16,Paramètres!$A$1:$I$89,3,0)*VLOOKUP('Données projet'!$B$16,Paramètres!$A$1:$I$89,5,0)</f>
        <v>167.12279999999987</v>
      </c>
      <c r="FG56" s="14">
        <f t="shared" si="47"/>
        <v>42.444987720629342</v>
      </c>
      <c r="FH56" s="22">
        <f t="shared" si="22"/>
        <v>364.99723028009589</v>
      </c>
      <c r="FI56" s="62">
        <f t="shared" si="23"/>
        <v>658.33056361342915</v>
      </c>
      <c r="FJ56" s="62">
        <f ca="1">AVERAGE(OFFSET($FI$3,0,0,'Données projet'!$E$16+1,1))-AVERAGE(OFFSET($H$3,0,0,'Données projet'!$E$16+1,1))</f>
        <v>399.92909819003523</v>
      </c>
      <c r="FK56" s="62">
        <f t="shared" si="48"/>
        <v>163.7053537268381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7.3600000000000083</v>
      </c>
      <c r="FZ56" s="13">
        <f>IF('Données projet'!$A$244&gt;35,FZ55+FY56-GH55,IF(A56&lt;'Données projet'!$A$244,$FW$205^A56,IF(A56='Données projet'!$A$244,'Données projet'!$B$244,FZ55+FY56-GH55)))</f>
        <v>263.87999999999994</v>
      </c>
      <c r="GA56" s="18">
        <f>FZ56*VLOOKUP('Données projet'!$B$17,Paramètres!$A$1:$I$89,3,0)*VLOOKUP('Données projet'!$B$17,Paramètres!$A$1:$I$89,5,0)</f>
        <v>193.47681599999996</v>
      </c>
      <c r="GB56" s="14">
        <f t="shared" si="49"/>
        <v>48.307814384267459</v>
      </c>
      <c r="GC56" s="22">
        <f t="shared" si="25"/>
        <v>421.10823125259907</v>
      </c>
      <c r="GD56" s="62">
        <f t="shared" si="26"/>
        <v>714.44156458593238</v>
      </c>
      <c r="GE56" s="62">
        <f ca="1">AVERAGE(OFFSET($GD$3,0,0,'Données projet'!$E$17+1,1))-AVERAGE(OFFSET($H$3,0,0,'Données projet'!$E$17+1,1))</f>
        <v>344.4426665022238</v>
      </c>
      <c r="GF56" s="62">
        <f t="shared" si="50"/>
        <v>376.41441893222185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16.100000000000001</v>
      </c>
      <c r="GU56" s="13">
        <f>IF('Données projet'!$A$270&gt;35,GU55+GT56-HC55,IF(A56&lt;'Données projet'!$A$270,$GR$205^A56,IF(A56='Données projet'!$A$270,'Données projet'!$B$270,GU55+GT56-HC55)))</f>
        <v>323.30000000000007</v>
      </c>
      <c r="GV56" s="18">
        <f>GU56*VLOOKUP('Données projet'!$B$18,Paramètres!$A$1:$I$89,3,0)*VLOOKUP('Données projet'!$B$18,Paramètres!$A$1:$I$89,5,0)</f>
        <v>155.50730000000004</v>
      </c>
      <c r="GW56" s="14">
        <f t="shared" si="51"/>
        <v>39.827500793386761</v>
      </c>
      <c r="GX56" s="22">
        <f t="shared" si="28"/>
        <v>340.2081113818154</v>
      </c>
      <c r="GY56" s="62">
        <f t="shared" si="29"/>
        <v>633.54144471514871</v>
      </c>
      <c r="GZ56" s="62">
        <f ca="1">AVERAGE(OFFSET($GY$3,0,0,'Données projet'!$E$18+1,1))-AVERAGE(OFFSET($H$3,0,0,'Données projet'!$E$18+1,1))</f>
        <v>441.17479680509746</v>
      </c>
      <c r="HA56" s="62">
        <f t="shared" si="52"/>
        <v>198.56576128410069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17.285714285714285</v>
      </c>
      <c r="N57" s="14">
        <f>IF('Données projet'!$A$36&gt;35,N56+M57-V56,IF(A57&lt;'Données projet'!$A$36,$K$205^A57,IF(A57='Données projet'!$A$36,'Données projet'!$B$36,N56+M57-V56)))</f>
        <v>479.42857142857122</v>
      </c>
      <c r="O57" s="14">
        <f>N57*VLOOKUP('Données projet'!$B$9,Paramètres!$A$1:$I$89,3,0)*VLOOKUP('Données projet'!$B$9,Paramètres!$A$1:$I$89,5,0)</f>
        <v>268.00057142857128</v>
      </c>
      <c r="P57" s="14">
        <f t="shared" si="33"/>
        <v>64.42475669606354</v>
      </c>
      <c r="Q57" s="22">
        <f t="shared" si="53"/>
        <v>578.97411315040551</v>
      </c>
      <c r="R57" s="62">
        <f t="shared" si="0"/>
        <v>872.30744648373889</v>
      </c>
      <c r="S57" s="62">
        <f ca="1">AVERAGE(OFFSET($R$3,0,0,'Données projet'!$E$9+1,1))-AVERAGE(OFFSET($H$3,0,0,'Données projet'!$E$9+1,1))</f>
        <v>374.79806286316051</v>
      </c>
      <c r="T57" s="62">
        <f t="shared" si="34"/>
        <v>350.01856672839466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3.7933204198566055</v>
      </c>
      <c r="AB57" s="23">
        <f>EXP(-LN(2)/2)*AB56+(1-EXP(-LN(2)/2))/(LN(2)/2)*V57*Y57*VLOOKUP('Données projet'!$B$9,Paramètres!$A$1:$I$89,3,0)*0.475*44/12</f>
        <v>2.1929794696948024E-3</v>
      </c>
      <c r="AC57" s="24">
        <f t="shared" si="3"/>
        <v>3.7955133993263002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7.4</v>
      </c>
      <c r="AI57" s="14">
        <f>IF('Données projet'!$A$62&gt;35,AI56+AH57-AQ56,IF(A57&lt;'Données projet'!$A$62,$AF$205^A57,IF(A57='Données projet'!$A$62,'Données projet'!$B$62,AI56+AH57-AQ56)))</f>
        <v>231.60000000000011</v>
      </c>
      <c r="AJ57" s="14">
        <f>AI57*VLOOKUP('Données projet'!$B$10,Paramètres!$A$1:$I$89,3,0)*VLOOKUP('Données projet'!$B$10,Paramètres!$A$1:$I$89,5,0)</f>
        <v>202.32576000000014</v>
      </c>
      <c r="AK57" s="14">
        <f t="shared" si="35"/>
        <v>50.254954935552938</v>
      </c>
      <c r="AL57" s="22">
        <f t="shared" si="4"/>
        <v>439.91141184608824</v>
      </c>
      <c r="AM57" s="62">
        <f t="shared" si="5"/>
        <v>733.24474517942156</v>
      </c>
      <c r="AN57" s="62">
        <f ca="1">AVERAGE(OFFSET($AM$3,0,0,'Données projet'!$E$10+1,1))-AVERAGE(OFFSET($H$3,0,0,'Données projet'!$E$10+1,1))</f>
        <v>401.89597032936751</v>
      </c>
      <c r="AO57" s="62">
        <f t="shared" si="36"/>
        <v>417.85733543972361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209.99999999999997</v>
      </c>
      <c r="BE57" s="14">
        <f>BD57*VLOOKUP('Données projet'!$B$11,Paramètres!$A$1:$I$89,3,0)*VLOOKUP('Données projet'!$B$11,Paramètres!$A$1:$I$89,5,0)</f>
        <v>190.00799999999995</v>
      </c>
      <c r="BF57" s="14">
        <f t="shared" si="37"/>
        <v>47.541721533308163</v>
      </c>
      <c r="BG57" s="22">
        <f t="shared" si="7"/>
        <v>413.73243167051163</v>
      </c>
      <c r="BH57" s="62">
        <f t="shared" si="8"/>
        <v>707.06576500384494</v>
      </c>
      <c r="BI57" s="62">
        <f ca="1">AVERAGE(OFFSET($BH$3,0,0,'Données projet'!$E$11+1,1))-AVERAGE(OFFSET($H$3,0,0,'Données projet'!$E$11+1,1))</f>
        <v>430.40491895612814</v>
      </c>
      <c r="BJ57" s="62">
        <f t="shared" si="38"/>
        <v>231.36959598460686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5.2564102564102599</v>
      </c>
      <c r="BY57" s="13">
        <f>IF('Données projet'!$A$114&gt;35,BY56+BX57-CG56,IF(A57&lt;'Données projet'!$A$114,$BV$205^A57,IF(A57='Données projet'!$A$114,'Données projet'!$B$114,BY56+BX57-CG56)))</f>
        <v>170.38461538461536</v>
      </c>
      <c r="BZ57" s="14">
        <f>BY57*VLOOKUP('Données projet'!$B$12,Paramètres!$A$1:$I$89,3,0)*VLOOKUP('Données projet'!$B$12,Paramètres!$A$1:$I$89,5,0)</f>
        <v>162.13799999999998</v>
      </c>
      <c r="CA57" s="14">
        <f t="shared" si="39"/>
        <v>41.324374095861224</v>
      </c>
      <c r="CB57" s="22">
        <f t="shared" si="10"/>
        <v>354.36363488362491</v>
      </c>
      <c r="CC57" s="62">
        <f t="shared" si="11"/>
        <v>647.69696821695823</v>
      </c>
      <c r="CD57" s="62">
        <f ca="1">AVERAGE(OFFSET($CC$3,0,0,'Données projet'!$E$12+1,1))-AVERAGE(OFFSET($H$3,0,0,'Données projet'!$E$12+1,1))</f>
        <v>367.11183928586667</v>
      </c>
      <c r="CE57" s="62">
        <f t="shared" si="40"/>
        <v>281.52963027844595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19</v>
      </c>
      <c r="CT57" s="13">
        <f>IF('Données projet'!$A$140&gt;35,CT56+CS57-DB56,IF(A57&lt;'Données projet'!$A$140,$CQ$205^A57,IF(A57='Données projet'!$A$140,'Données projet'!$B$140,CT56+CS57-DB56)))</f>
        <v>395.99999999999966</v>
      </c>
      <c r="CU57" s="18">
        <f>CT57*VLOOKUP('Données projet'!$B$13,Paramètres!$A$1:$I$89,3,0)*VLOOKUP('Données projet'!$B$13,Paramètres!$A$1:$I$89,5,0)</f>
        <v>236.80799999999982</v>
      </c>
      <c r="CV57" s="14">
        <f t="shared" si="41"/>
        <v>57.752221878398714</v>
      </c>
      <c r="CW57" s="22">
        <f t="shared" si="13"/>
        <v>513.02571977154412</v>
      </c>
      <c r="CX57" s="62">
        <f t="shared" si="14"/>
        <v>806.35905310487738</v>
      </c>
      <c r="CY57" s="62">
        <f ca="1">AVERAGE(OFFSET($CX$3,0,0,'Données projet'!$E$13+1,1))-AVERAGE(OFFSET($H$3,0,0,'Données projet'!$E$13+1,1))</f>
        <v>308.47522272937135</v>
      </c>
      <c r="CZ57" s="62">
        <f t="shared" si="42"/>
        <v>302.54354650449721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1.9740750324392975</v>
      </c>
      <c r="DH57" s="23">
        <f>EXP(-LN(2)/2)*DH56+(1-EXP(-LN(2)/2))/(LN(2)/2)*DB57*DE57*VLOOKUP('Données projet'!$B$13,Paramètres!$A$1:$I$89,3,0)*0.475*44/12</f>
        <v>4.2171926108631325E-3</v>
      </c>
      <c r="DI57" s="24">
        <f t="shared" si="15"/>
        <v>1.9782922250501607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7.3600000000000083</v>
      </c>
      <c r="DO57" s="13">
        <f>IF('Données projet'!$A$166&gt;35,DO56+DN57-DW56,IF(A57&lt;'Données projet'!$A$166,$DL$205^A57,IF(A57='Données projet'!$A$166,'Données projet'!$B$166,DO56+DN57-DW56)))</f>
        <v>271.23999999999995</v>
      </c>
      <c r="DP57" s="18">
        <f>DO57*VLOOKUP('Données projet'!$B$14,Paramètres!$A$1:$I$89,3,0)*VLOOKUP('Données projet'!$B$14,Paramètres!$A$1:$I$89,5,0)</f>
        <v>215.79854399999996</v>
      </c>
      <c r="DQ57" s="14">
        <f t="shared" si="43"/>
        <v>53.200697768809484</v>
      </c>
      <c r="DR57" s="22">
        <f t="shared" si="16"/>
        <v>468.50701274734303</v>
      </c>
      <c r="DS57" s="62">
        <f t="shared" si="17"/>
        <v>761.84034608067634</v>
      </c>
      <c r="DT57" s="62">
        <f ca="1">AVERAGE(OFFSET($DS$3,0,0,'Données projet'!$E$14+1,1))-AVERAGE(OFFSET($H$3,0,0,'Données projet'!$E$14+1,1))</f>
        <v>370.58277541710277</v>
      </c>
      <c r="DU57" s="62">
        <f t="shared" si="44"/>
        <v>404.61777090709171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9.75</v>
      </c>
      <c r="EJ57" s="13">
        <f>IF('Données projet'!$A$192&gt;35,EJ56+EI57-ER56,IF(A57&lt;'Données projet'!$A$192,$EG$205^A57,IF(A57='Données projet'!$A$192,'Données projet'!$B$192,EJ56+EI57-ER56)))</f>
        <v>245.5</v>
      </c>
      <c r="EK57" s="18">
        <f>EJ57*VLOOKUP('Données projet'!$B$15,Paramètres!$A$1:$I$89,3,0)*VLOOKUP('Données projet'!$B$15,Paramètres!$A$1:$I$89,5,0)</f>
        <v>153.19199999999998</v>
      </c>
      <c r="EL57" s="14">
        <f t="shared" si="45"/>
        <v>39.303087713366921</v>
      </c>
      <c r="EM57" s="22">
        <f t="shared" si="19"/>
        <v>335.2622777674473</v>
      </c>
      <c r="EN57" s="62">
        <f t="shared" si="20"/>
        <v>628.59561110078062</v>
      </c>
      <c r="EO57" s="62">
        <f ca="1">AVERAGE(OFFSET($EN$3,0,0,'Données projet'!$E$15+1,1))-AVERAGE(OFFSET($H$3,0,0,'Données projet'!$E$15+1,1))</f>
        <v>240.22884864766218</v>
      </c>
      <c r="EP57" s="62">
        <f t="shared" si="46"/>
        <v>343.23776884143166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5.2924596379529909</v>
      </c>
      <c r="EX57" s="23">
        <f>EXP(-LN(2)/2)*EX56+(1-EXP(-LN(2)/2))/(LN(2)/2)*ER57*EU57*VLOOKUP('Données projet'!$B$15,Paramètres!$A$1:$I$89,3,0)*0.475*44/12</f>
        <v>4.0329150100114255E-3</v>
      </c>
      <c r="EY57" s="24">
        <f t="shared" si="21"/>
        <v>5.2964925529630023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22.7</v>
      </c>
      <c r="FE57" s="13">
        <f>IF('Données projet'!$A$218&gt;35,FE56+FD57-FM56,IF(A57&lt;'Données projet'!$A$218,$FB$205^A57,IF(A57='Données projet'!$A$218,'Données projet'!$B$218,FE56+FD57-FM56)))</f>
        <v>379.79999999999973</v>
      </c>
      <c r="FF57" s="18">
        <f>FE57*VLOOKUP('Données projet'!$B$16,Paramètres!$A$1:$I$89,3,0)*VLOOKUP('Données projet'!$B$16,Paramètres!$A$1:$I$89,5,0)</f>
        <v>177.74639999999988</v>
      </c>
      <c r="FG57" s="14">
        <f t="shared" si="47"/>
        <v>44.820434632332443</v>
      </c>
      <c r="FH57" s="22">
        <f t="shared" si="22"/>
        <v>387.63723698464543</v>
      </c>
      <c r="FI57" s="62">
        <f t="shared" si="23"/>
        <v>680.97057031797874</v>
      </c>
      <c r="FJ57" s="62">
        <f ca="1">AVERAGE(OFFSET($FI$3,0,0,'Données projet'!$E$16+1,1))-AVERAGE(OFFSET($H$3,0,0,'Données projet'!$E$16+1,1))</f>
        <v>399.92909819003523</v>
      </c>
      <c r="FK57" s="62">
        <f t="shared" si="48"/>
        <v>163.7053537268381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7.3600000000000083</v>
      </c>
      <c r="FZ57" s="13">
        <f>IF('Données projet'!$A$244&gt;35,FZ56+FY57-GH56,IF(A57&lt;'Données projet'!$A$244,$FW$205^A57,IF(A57='Données projet'!$A$244,'Données projet'!$B$244,FZ56+FY57-GH56)))</f>
        <v>271.23999999999995</v>
      </c>
      <c r="GA57" s="18">
        <f>FZ57*VLOOKUP('Données projet'!$B$17,Paramètres!$A$1:$I$89,3,0)*VLOOKUP('Données projet'!$B$17,Paramètres!$A$1:$I$89,5,0)</f>
        <v>198.87316799999996</v>
      </c>
      <c r="GB57" s="14">
        <f t="shared" si="49"/>
        <v>49.496442782493347</v>
      </c>
      <c r="GC57" s="22">
        <f t="shared" si="25"/>
        <v>432.57707211284247</v>
      </c>
      <c r="GD57" s="62">
        <f t="shared" si="26"/>
        <v>725.91040544617579</v>
      </c>
      <c r="GE57" s="62">
        <f ca="1">AVERAGE(OFFSET($GD$3,0,0,'Données projet'!$E$17+1,1))-AVERAGE(OFFSET($H$3,0,0,'Données projet'!$E$17+1,1))</f>
        <v>344.4426665022238</v>
      </c>
      <c r="GF57" s="62">
        <f t="shared" si="50"/>
        <v>376.41441893222185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16.100000000000001</v>
      </c>
      <c r="GU57" s="13">
        <f>IF('Données projet'!$A$270&gt;35,GU56+GT57-HC56,IF(A57&lt;'Données projet'!$A$270,$GR$205^A57,IF(A57='Données projet'!$A$270,'Données projet'!$B$270,GU56+GT57-HC56)))</f>
        <v>339.40000000000009</v>
      </c>
      <c r="GV57" s="18">
        <f>GU57*VLOOKUP('Données projet'!$B$18,Paramètres!$A$1:$I$89,3,0)*VLOOKUP('Données projet'!$B$18,Paramètres!$A$1:$I$89,5,0)</f>
        <v>163.25140000000005</v>
      </c>
      <c r="GW57" s="14">
        <f t="shared" si="51"/>
        <v>41.575016896583769</v>
      </c>
      <c r="GX57" s="22">
        <f t="shared" si="28"/>
        <v>356.73934276155018</v>
      </c>
      <c r="GY57" s="62">
        <f t="shared" si="29"/>
        <v>650.07267609488349</v>
      </c>
      <c r="GZ57" s="62">
        <f ca="1">AVERAGE(OFFSET($GY$3,0,0,'Données projet'!$E$18+1,1))-AVERAGE(OFFSET($H$3,0,0,'Données projet'!$E$18+1,1))</f>
        <v>441.17479680509746</v>
      </c>
      <c r="HA57" s="62">
        <f t="shared" si="52"/>
        <v>198.56576128410069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17.285714285714285</v>
      </c>
      <c r="N58" s="14">
        <f>IF('Données projet'!$A$36&gt;35,N57+M58-V57,IF(A58&lt;'Données projet'!$A$36,$K$205^A58,IF(A58='Données projet'!$A$36,'Données projet'!$B$36,N57+M58-V57)))</f>
        <v>496.7142857142855</v>
      </c>
      <c r="O58" s="14">
        <f>N58*VLOOKUP('Données projet'!$B$9,Paramètres!$A$1:$I$89,3,0)*VLOOKUP('Données projet'!$B$9,Paramètres!$A$1:$I$89,5,0)</f>
        <v>277.66328571428562</v>
      </c>
      <c r="P58" s="14">
        <f t="shared" si="33"/>
        <v>66.47295338451616</v>
      </c>
      <c r="Q58" s="22">
        <f t="shared" si="53"/>
        <v>599.37061643041295</v>
      </c>
      <c r="R58" s="62">
        <f t="shared" si="0"/>
        <v>892.70394976374632</v>
      </c>
      <c r="S58" s="62">
        <f ca="1">AVERAGE(OFFSET($R$3,0,0,'Données projet'!$E$9+1,1))-AVERAGE(OFFSET($H$3,0,0,'Données projet'!$E$9+1,1))</f>
        <v>374.79806286316051</v>
      </c>
      <c r="T58" s="62">
        <f t="shared" si="34"/>
        <v>350.01856672839466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3.6895918734935753</v>
      </c>
      <c r="AB58" s="23">
        <f>EXP(-LN(2)/2)*AB57+(1-EXP(-LN(2)/2))/(LN(2)/2)*V58*Y58*VLOOKUP('Données projet'!$B$9,Paramètres!$A$1:$I$89,3,0)*0.475*44/12</f>
        <v>1.5506706540240737E-3</v>
      </c>
      <c r="AC58" s="24">
        <f t="shared" si="3"/>
        <v>3.6911425441475996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239</v>
      </c>
      <c r="AG58" s="13">
        <f>VLOOKUP(A58,'Données projet'!$A$61:$I$81,9,0)</f>
        <v>7.4</v>
      </c>
      <c r="AH58" s="13">
        <f t="array" ref="AH58">INDEX(AG:AG,MIN(IF(ISNUMBER(AG58:AG254),ROW(AG58:AG254),"")))</f>
        <v>7.4</v>
      </c>
      <c r="AI58" s="14">
        <f>IF('Données projet'!$A$62&gt;35,AI57+AH58-AQ57,IF(A58&lt;'Données projet'!$A$62,$AF$205^A58,IF(A58='Données projet'!$A$62,'Données projet'!$B$62,AI57+AH58-AQ57)))</f>
        <v>239.00000000000011</v>
      </c>
      <c r="AJ58" s="14">
        <f>AI58*VLOOKUP('Données projet'!$B$10,Paramètres!$A$1:$I$89,3,0)*VLOOKUP('Données projet'!$B$10,Paramètres!$A$1:$I$89,5,0)</f>
        <v>208.79040000000015</v>
      </c>
      <c r="AK58" s="14">
        <f t="shared" si="35"/>
        <v>51.671168863475195</v>
      </c>
      <c r="AL58" s="22">
        <f t="shared" si="4"/>
        <v>453.63723243721955</v>
      </c>
      <c r="AM58" s="62">
        <f t="shared" si="5"/>
        <v>746.97056577055287</v>
      </c>
      <c r="AN58" s="62">
        <f ca="1">AVERAGE(OFFSET($AM$3,0,0,'Données projet'!$E$10+1,1))-AVERAGE(OFFSET($H$3,0,0,'Données projet'!$E$10+1,1))</f>
        <v>401.89597032936751</v>
      </c>
      <c r="AO58" s="62">
        <f t="shared" si="36"/>
        <v>417.85733543972361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217.99999999999997</v>
      </c>
      <c r="BE58" s="14">
        <f>BD58*VLOOKUP('Données projet'!$B$11,Paramètres!$A$1:$I$89,3,0)*VLOOKUP('Données projet'!$B$11,Paramètres!$A$1:$I$89,5,0)</f>
        <v>197.24639999999997</v>
      </c>
      <c r="BF58" s="14">
        <f t="shared" si="37"/>
        <v>49.138522374247202</v>
      </c>
      <c r="BG58" s="22">
        <f t="shared" si="7"/>
        <v>429.1204064684805</v>
      </c>
      <c r="BH58" s="62">
        <f t="shared" si="8"/>
        <v>722.45373980181375</v>
      </c>
      <c r="BI58" s="62">
        <f ca="1">AVERAGE(OFFSET($BH$3,0,0,'Données projet'!$E$11+1,1))-AVERAGE(OFFSET($H$3,0,0,'Données projet'!$E$11+1,1))</f>
        <v>430.40491895612814</v>
      </c>
      <c r="BJ58" s="62">
        <f t="shared" si="38"/>
        <v>231.36959598460686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42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175.64102564102564</v>
      </c>
      <c r="BW58" s="13">
        <f>VLOOKUP(A58,'Données projet'!$A$113:$I$133,9,0)</f>
        <v>5.2564102564102599</v>
      </c>
      <c r="BX58" s="13">
        <f t="array" ref="BX58">INDEX(BW:BW,MIN(IF(ISNUMBER(BW58:BW254),ROW(BW58:BW254),"")))</f>
        <v>5.2564102564102599</v>
      </c>
      <c r="BY58" s="13">
        <f>IF('Données projet'!$A$114&gt;35,BY57+BX58-CG57,IF(A58&lt;'Données projet'!$A$114,$BV$205^A58,IF(A58='Données projet'!$A$114,'Données projet'!$B$114,BY57+BX58-CG57)))</f>
        <v>175.64102564102561</v>
      </c>
      <c r="BZ58" s="14">
        <f>BY58*VLOOKUP('Données projet'!$B$12,Paramètres!$A$1:$I$89,3,0)*VLOOKUP('Données projet'!$B$12,Paramètres!$A$1:$I$89,5,0)</f>
        <v>167.14</v>
      </c>
      <c r="CA58" s="14">
        <f t="shared" si="39"/>
        <v>42.448847586931429</v>
      </c>
      <c r="CB58" s="22">
        <f t="shared" si="10"/>
        <v>365.03390954723886</v>
      </c>
      <c r="CC58" s="62">
        <f t="shared" si="11"/>
        <v>658.36724288057212</v>
      </c>
      <c r="CD58" s="62">
        <f ca="1">AVERAGE(OFFSET($CC$3,0,0,'Données projet'!$E$12+1,1))-AVERAGE(OFFSET($H$3,0,0,'Données projet'!$E$12+1,1))</f>
        <v>367.11183928586667</v>
      </c>
      <c r="CE58" s="62">
        <f t="shared" si="40"/>
        <v>281.52963027844595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415</v>
      </c>
      <c r="CR58" s="13">
        <f>VLOOKUP(A58,'Données projet'!$A$139:$I$159,9,0)</f>
        <v>19</v>
      </c>
      <c r="CS58" s="13">
        <f t="array" ref="CS58">INDEX(CR:CR,MIN(IF(ISNUMBER(CR58:CR254),ROW(CR58:CR254),"")))</f>
        <v>19</v>
      </c>
      <c r="CT58" s="13">
        <f>IF('Données projet'!$A$140&gt;35,CT57+CS58-DB57,IF(A58&lt;'Données projet'!$A$140,$CQ$205^A58,IF(A58='Données projet'!$A$140,'Données projet'!$B$140,CT57+CS58-DB57)))</f>
        <v>414.99999999999966</v>
      </c>
      <c r="CU58" s="18">
        <f>CT58*VLOOKUP('Données projet'!$B$13,Paramètres!$A$1:$I$89,3,0)*VLOOKUP('Données projet'!$B$13,Paramètres!$A$1:$I$89,5,0)</f>
        <v>248.16999999999982</v>
      </c>
      <c r="CV58" s="14">
        <f t="shared" si="41"/>
        <v>60.193906493778805</v>
      </c>
      <c r="CW58" s="22">
        <f t="shared" si="13"/>
        <v>537.06713714333102</v>
      </c>
      <c r="CX58" s="62">
        <f t="shared" si="14"/>
        <v>830.4004704766644</v>
      </c>
      <c r="CY58" s="62">
        <f ca="1">AVERAGE(OFFSET($CX$3,0,0,'Données projet'!$E$13+1,1))-AVERAGE(OFFSET($H$3,0,0,'Données projet'!$E$13+1,1))</f>
        <v>308.47522272937135</v>
      </c>
      <c r="CZ58" s="62">
        <f t="shared" si="42"/>
        <v>302.54354650449721</v>
      </c>
      <c r="DA58" s="16">
        <f>IF(ISNA(VLOOKUP(A58,'Données projet'!$A$139:$I$159,3,0)),0,VLOOKUP(A58,'Données projet'!$A$139:$I$159,3,0))</f>
        <v>9</v>
      </c>
      <c r="DB58" s="16">
        <f>IF(ISNA(VLOOKUP(A58,'Données projet'!$A$139:$I$159,4,0)),0,VLOOKUP(A58,'Données projet'!$A$139:$I$159,4,0))</f>
        <v>47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1.9200938468651507</v>
      </c>
      <c r="DH58" s="23">
        <f>EXP(-LN(2)/2)*DH57+(1-EXP(-LN(2)/2))/(LN(2)/2)*DB58*DE58*VLOOKUP('Données projet'!$B$13,Paramètres!$A$1:$I$89,3,0)*0.475*44/12</f>
        <v>2.9820054927111221E-3</v>
      </c>
      <c r="DI58" s="24">
        <f t="shared" si="15"/>
        <v>1.9230758523578619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278.60000000000002</v>
      </c>
      <c r="DM58" s="13">
        <f>VLOOKUP(A58,'Données projet'!$A$165:$I$185,9,0)</f>
        <v>7.3600000000000083</v>
      </c>
      <c r="DN58" s="13">
        <f t="array" ref="DN58">INDEX(DM:DM,MIN(IF(ISNUMBER(DM58:DM254),ROW(DM58:DM254),"")))</f>
        <v>7.3600000000000083</v>
      </c>
      <c r="DO58" s="13">
        <f>IF('Données projet'!$A$166&gt;35,DO57+DN58-DW57,IF(A58&lt;'Données projet'!$A$166,$DL$205^A58,IF(A58='Données projet'!$A$166,'Données projet'!$B$166,DO57+DN58-DW57)))</f>
        <v>278.59999999999997</v>
      </c>
      <c r="DP58" s="18">
        <f>DO58*VLOOKUP('Données projet'!$B$14,Paramètres!$A$1:$I$89,3,0)*VLOOKUP('Données projet'!$B$14,Paramètres!$A$1:$I$89,5,0)</f>
        <v>221.65415999999999</v>
      </c>
      <c r="DQ58" s="14">
        <f t="shared" si="43"/>
        <v>54.474252334510162</v>
      </c>
      <c r="DR58" s="22">
        <f t="shared" si="16"/>
        <v>480.92365148260507</v>
      </c>
      <c r="DS58" s="62">
        <f t="shared" si="17"/>
        <v>774.25698481593838</v>
      </c>
      <c r="DT58" s="62">
        <f ca="1">AVERAGE(OFFSET($DS$3,0,0,'Données projet'!$E$14+1,1))-AVERAGE(OFFSET($H$3,0,0,'Données projet'!$E$14+1,1))</f>
        <v>370.58277541710277</v>
      </c>
      <c r="DU58" s="62">
        <f t="shared" si="44"/>
        <v>404.61777090709171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9.75</v>
      </c>
      <c r="EJ58" s="13">
        <f>IF('Données projet'!$A$192&gt;35,EJ57+EI58-ER57,IF(A58&lt;'Données projet'!$A$192,$EG$205^A58,IF(A58='Données projet'!$A$192,'Données projet'!$B$192,EJ57+EI58-ER57)))</f>
        <v>255.25</v>
      </c>
      <c r="EK58" s="18">
        <f>EJ58*VLOOKUP('Données projet'!$B$15,Paramètres!$A$1:$I$89,3,0)*VLOOKUP('Données projet'!$B$15,Paramètres!$A$1:$I$89,5,0)</f>
        <v>159.27600000000001</v>
      </c>
      <c r="EL58" s="14">
        <f t="shared" si="45"/>
        <v>40.679172107249002</v>
      </c>
      <c r="EM58" s="22">
        <f t="shared" si="19"/>
        <v>348.25525808679203</v>
      </c>
      <c r="EN58" s="62">
        <f t="shared" si="20"/>
        <v>641.58859142012534</v>
      </c>
      <c r="EO58" s="62">
        <f ca="1">AVERAGE(OFFSET($EN$3,0,0,'Données projet'!$E$15+1,1))-AVERAGE(OFFSET($H$3,0,0,'Données projet'!$E$15+1,1))</f>
        <v>240.22884864766218</v>
      </c>
      <c r="EP58" s="62">
        <f t="shared" si="46"/>
        <v>343.23776884143166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5.1477370508348104</v>
      </c>
      <c r="EX58" s="23">
        <f>EXP(-LN(2)/2)*EX57+(1-EXP(-LN(2)/2))/(LN(2)/2)*ER58*EU58*VLOOKUP('Données projet'!$B$15,Paramètres!$A$1:$I$89,3,0)*0.475*44/12</f>
        <v>2.8517015515280922E-3</v>
      </c>
      <c r="EY58" s="24">
        <f t="shared" si="21"/>
        <v>5.1505887523863381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22.7</v>
      </c>
      <c r="FE58" s="13">
        <f>IF('Données projet'!$A$218&gt;35,FE57+FD58-FM57,IF(A58&lt;'Données projet'!$A$218,$FB$205^A58,IF(A58='Données projet'!$A$218,'Données projet'!$B$218,FE57+FD58-FM57)))</f>
        <v>402.49999999999972</v>
      </c>
      <c r="FF58" s="18">
        <f>FE58*VLOOKUP('Données projet'!$B$16,Paramètres!$A$1:$I$89,3,0)*VLOOKUP('Données projet'!$B$16,Paramètres!$A$1:$I$89,5,0)</f>
        <v>188.36999999999986</v>
      </c>
      <c r="FG58" s="14">
        <f t="shared" si="47"/>
        <v>47.179402486491256</v>
      </c>
      <c r="FH58" s="22">
        <f t="shared" si="22"/>
        <v>410.24854266397205</v>
      </c>
      <c r="FI58" s="62">
        <f t="shared" si="23"/>
        <v>703.58187599730536</v>
      </c>
      <c r="FJ58" s="62">
        <f ca="1">AVERAGE(OFFSET($FI$3,0,0,'Données projet'!$E$16+1,1))-AVERAGE(OFFSET($H$3,0,0,'Données projet'!$E$16+1,1))</f>
        <v>399.92909819003523</v>
      </c>
      <c r="FK58" s="62">
        <f t="shared" si="48"/>
        <v>163.7053537268381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278.60000000000002</v>
      </c>
      <c r="FX58" s="13">
        <f>VLOOKUP(A58,'Données projet'!$A$243:$I$263,9,0)</f>
        <v>7.3600000000000083</v>
      </c>
      <c r="FY58" s="13">
        <f t="array" ref="FY58">INDEX(FX:FX,MIN(IF(ISNUMBER(FX58:FX254),ROW(FX58:FX254),"")))</f>
        <v>7.3600000000000083</v>
      </c>
      <c r="FZ58" s="13">
        <f>IF('Données projet'!$A$244&gt;35,FZ57+FY58-GH57,IF(A58&lt;'Données projet'!$A$244,$FW$205^A58,IF(A58='Données projet'!$A$244,'Données projet'!$B$244,FZ57+FY58-GH57)))</f>
        <v>278.59999999999997</v>
      </c>
      <c r="GA58" s="18">
        <f>FZ58*VLOOKUP('Données projet'!$B$17,Paramètres!$A$1:$I$89,3,0)*VLOOKUP('Données projet'!$B$17,Paramètres!$A$1:$I$89,5,0)</f>
        <v>204.26951999999997</v>
      </c>
      <c r="GB58" s="14">
        <f t="shared" si="49"/>
        <v>50.681322367447613</v>
      </c>
      <c r="GC58" s="22">
        <f t="shared" si="25"/>
        <v>444.03938378997123</v>
      </c>
      <c r="GD58" s="62">
        <f t="shared" si="26"/>
        <v>737.37271712330448</v>
      </c>
      <c r="GE58" s="62">
        <f ca="1">AVERAGE(OFFSET($GD$3,0,0,'Données projet'!$E$17+1,1))-AVERAGE(OFFSET($H$3,0,0,'Données projet'!$E$17+1,1))</f>
        <v>344.4426665022238</v>
      </c>
      <c r="GF58" s="62">
        <f t="shared" si="50"/>
        <v>376.41441893222185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16.100000000000001</v>
      </c>
      <c r="GU58" s="13">
        <f>IF('Données projet'!$A$270&gt;35,GU57+GT58-HC57,IF(A58&lt;'Données projet'!$A$270,$GR$205^A58,IF(A58='Données projet'!$A$270,'Données projet'!$B$270,GU57+GT58-HC57)))</f>
        <v>355.50000000000011</v>
      </c>
      <c r="GV58" s="18">
        <f>GU58*VLOOKUP('Données projet'!$B$18,Paramètres!$A$1:$I$89,3,0)*VLOOKUP('Données projet'!$B$18,Paramètres!$A$1:$I$89,5,0)</f>
        <v>170.99550000000008</v>
      </c>
      <c r="GW58" s="14">
        <f t="shared" si="51"/>
        <v>43.312906647296153</v>
      </c>
      <c r="GX58" s="22">
        <f t="shared" si="28"/>
        <v>373.25380824404095</v>
      </c>
      <c r="GY58" s="62">
        <f t="shared" si="29"/>
        <v>666.58714157737427</v>
      </c>
      <c r="GZ58" s="62">
        <f ca="1">AVERAGE(OFFSET($GY$3,0,0,'Données projet'!$E$18+1,1))-AVERAGE(OFFSET($H$3,0,0,'Données projet'!$E$18+1,1))</f>
        <v>441.17479680509746</v>
      </c>
      <c r="HA58" s="62">
        <f t="shared" si="52"/>
        <v>198.56576128410069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514</v>
      </c>
      <c r="L59" s="13">
        <f>VLOOKUP(A59,'Données projet'!$A$35:$I$55,9,0)</f>
        <v>17.285714285714285</v>
      </c>
      <c r="M59" s="13">
        <f t="array" ref="M59">INDEX(L:L,MIN(IF(ISNUMBER(L59:L255),ROW(L59:L255),"")))</f>
        <v>17.285714285714285</v>
      </c>
      <c r="N59" s="14">
        <f>IF('Données projet'!$A$36&gt;35,N58+M59-V58,IF(A59&lt;'Données projet'!$A$36,$K$205^A59,IF(A59='Données projet'!$A$36,'Données projet'!$B$36,N58+M59-V58)))</f>
        <v>513.99999999999977</v>
      </c>
      <c r="O59" s="14">
        <f>N59*VLOOKUP('Données projet'!$B$9,Paramètres!$A$1:$I$89,3,0)*VLOOKUP('Données projet'!$B$9,Paramètres!$A$1:$I$89,5,0)</f>
        <v>287.32599999999985</v>
      </c>
      <c r="P59" s="14">
        <f t="shared" si="33"/>
        <v>68.512868389632061</v>
      </c>
      <c r="Q59" s="22">
        <f t="shared" si="53"/>
        <v>619.75269577860888</v>
      </c>
      <c r="R59" s="62">
        <f t="shared" si="0"/>
        <v>913.08602911194225</v>
      </c>
      <c r="S59" s="62">
        <f ca="1">AVERAGE(OFFSET($R$3,0,0,'Données projet'!$E$9+1,1))-AVERAGE(OFFSET($H$3,0,0,'Données projet'!$E$9+1,1))</f>
        <v>374.79806286316051</v>
      </c>
      <c r="T59" s="62">
        <f t="shared" si="34"/>
        <v>350.01856672839466</v>
      </c>
      <c r="U59" s="16">
        <f>IF(ISNA(VLOOKUP(A59,'Données projet'!$A$35:$I$55,3,0)),0,VLOOKUP(A59,'Données projet'!$A$35:$I$55,3,0))</f>
        <v>6</v>
      </c>
      <c r="V59" s="16">
        <f>IF(ISNA(VLOOKUP(A59,'Données projet'!$A$35:$I$55,4,0)),0,VLOOKUP(A59,'Données projet'!$A$35:$I$55,4,0))</f>
        <v>85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3.5886997896856894</v>
      </c>
      <c r="AB59" s="23">
        <f>EXP(-LN(2)/2)*AB58+(1-EXP(-LN(2)/2))/(LN(2)/2)*V59*Y59*VLOOKUP('Données projet'!$B$9,Paramètres!$A$1:$I$89,3,0)*0.475*44/12</f>
        <v>1.0964897348474012E-3</v>
      </c>
      <c r="AC59" s="24">
        <f t="shared" si="3"/>
        <v>3.5897962794205367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6.6</v>
      </c>
      <c r="AI59" s="14">
        <f>IF('Données projet'!$A$62&gt;35,AI58+AH59-AQ58,IF(A59&lt;'Données projet'!$A$62,$AF$205^A59,IF(A59='Données projet'!$A$62,'Données projet'!$B$62,AI58+AH59-AQ58)))</f>
        <v>245.60000000000011</v>
      </c>
      <c r="AJ59" s="14">
        <f>AI59*VLOOKUP('Données projet'!$B$10,Paramètres!$A$1:$I$89,3,0)*VLOOKUP('Données projet'!$B$10,Paramètres!$A$1:$I$89,5,0)</f>
        <v>214.55616000000015</v>
      </c>
      <c r="AK59" s="14">
        <f t="shared" si="35"/>
        <v>52.929974128776678</v>
      </c>
      <c r="AL59" s="22">
        <f t="shared" si="4"/>
        <v>465.87168360761962</v>
      </c>
      <c r="AM59" s="62">
        <f t="shared" si="5"/>
        <v>759.20501694095287</v>
      </c>
      <c r="AN59" s="62">
        <f ca="1">AVERAGE(OFFSET($AM$3,0,0,'Données projet'!$E$10+1,1))-AVERAGE(OFFSET($H$3,0,0,'Données projet'!$E$10+1,1))</f>
        <v>401.89597032936751</v>
      </c>
      <c r="AO59" s="62">
        <f t="shared" si="36"/>
        <v>417.85733543972361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183.59999999999997</v>
      </c>
      <c r="BE59" s="14">
        <f>BD59*VLOOKUP('Données projet'!$B$11,Paramètres!$A$1:$I$89,3,0)*VLOOKUP('Données projet'!$B$11,Paramètres!$A$1:$I$89,5,0)</f>
        <v>166.12127999999996</v>
      </c>
      <c r="BF59" s="14">
        <f t="shared" si="37"/>
        <v>42.220155874487318</v>
      </c>
      <c r="BG59" s="22">
        <f t="shared" si="7"/>
        <v>362.86133414806528</v>
      </c>
      <c r="BH59" s="62">
        <f t="shared" si="8"/>
        <v>656.1946674813986</v>
      </c>
      <c r="BI59" s="62">
        <f ca="1">AVERAGE(OFFSET($BH$3,0,0,'Données projet'!$E$11+1,1))-AVERAGE(OFFSET($H$3,0,0,'Données projet'!$E$11+1,1))</f>
        <v>430.40491895612814</v>
      </c>
      <c r="BJ59" s="62">
        <f t="shared" si="38"/>
        <v>231.36959598460686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4.8717948717948731</v>
      </c>
      <c r="BY59" s="13">
        <f>IF('Données projet'!$A$114&gt;35,BY58+BX59-CG58,IF(A59&lt;'Données projet'!$A$114,$BV$205^A59,IF(A59='Données projet'!$A$114,'Données projet'!$B$114,BY58+BX59-CG58)))</f>
        <v>180.51282051282047</v>
      </c>
      <c r="BZ59" s="14">
        <f>BY59*VLOOKUP('Données projet'!$B$12,Paramètres!$A$1:$I$89,3,0)*VLOOKUP('Données projet'!$B$12,Paramètres!$A$1:$I$89,5,0)</f>
        <v>171.77599999999995</v>
      </c>
      <c r="CA59" s="14">
        <f t="shared" si="39"/>
        <v>43.48754759203468</v>
      </c>
      <c r="CB59" s="22">
        <f t="shared" si="10"/>
        <v>374.91734538946031</v>
      </c>
      <c r="CC59" s="62">
        <f t="shared" si="11"/>
        <v>668.25067872279362</v>
      </c>
      <c r="CD59" s="62">
        <f ca="1">AVERAGE(OFFSET($CC$3,0,0,'Données projet'!$E$12+1,1))-AVERAGE(OFFSET($H$3,0,0,'Données projet'!$E$12+1,1))</f>
        <v>367.11183928586667</v>
      </c>
      <c r="CE59" s="62">
        <f t="shared" si="40"/>
        <v>281.52963027844595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20</v>
      </c>
      <c r="CT59" s="13">
        <f>IF('Données projet'!$A$140&gt;35,CT58+CS59-DB58,IF(A59&lt;'Données projet'!$A$140,$CQ$205^A59,IF(A59='Données projet'!$A$140,'Données projet'!$B$140,CT58+CS59-DB58)))</f>
        <v>387.99999999999966</v>
      </c>
      <c r="CU59" s="18">
        <f>CT59*VLOOKUP('Données projet'!$B$13,Paramètres!$A$1:$I$89,3,0)*VLOOKUP('Données projet'!$B$13,Paramètres!$A$1:$I$89,5,0)</f>
        <v>232.0239999999998</v>
      </c>
      <c r="CV59" s="14">
        <f t="shared" si="41"/>
        <v>56.720094243161022</v>
      </c>
      <c r="CW59" s="22">
        <f t="shared" si="13"/>
        <v>502.89596414017177</v>
      </c>
      <c r="CX59" s="62">
        <f t="shared" si="14"/>
        <v>796.22929747350508</v>
      </c>
      <c r="CY59" s="62">
        <f ca="1">AVERAGE(OFFSET($CX$3,0,0,'Données projet'!$E$13+1,1))-AVERAGE(OFFSET($H$3,0,0,'Données projet'!$E$13+1,1))</f>
        <v>308.47522272937135</v>
      </c>
      <c r="CZ59" s="62">
        <f t="shared" si="42"/>
        <v>302.54354650449721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1.8675887796492763</v>
      </c>
      <c r="DH59" s="23">
        <f>EXP(-LN(2)/2)*DH58+(1-EXP(-LN(2)/2))/(LN(2)/2)*DB59*DE59*VLOOKUP('Données projet'!$B$13,Paramètres!$A$1:$I$89,3,0)*0.475*44/12</f>
        <v>2.1085963054315662E-3</v>
      </c>
      <c r="DI59" s="24">
        <f t="shared" si="15"/>
        <v>1.8696973759547078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6.2799999999999958</v>
      </c>
      <c r="DO59" s="13">
        <f>IF('Données projet'!$A$166&gt;35,DO58+DN59-DW58,IF(A59&lt;'Données projet'!$A$166,$DL$205^A59,IF(A59='Données projet'!$A$166,'Données projet'!$B$166,DO58+DN59-DW58)))</f>
        <v>284.87999999999994</v>
      </c>
      <c r="DP59" s="18">
        <f>DO59*VLOOKUP('Données projet'!$B$14,Paramètres!$A$1:$I$89,3,0)*VLOOKUP('Données projet'!$B$14,Paramètres!$A$1:$I$89,5,0)</f>
        <v>226.65052799999998</v>
      </c>
      <c r="DQ59" s="14">
        <f t="shared" si="43"/>
        <v>55.557830188244751</v>
      </c>
      <c r="DR59" s="22">
        <f t="shared" si="16"/>
        <v>491.51289051119289</v>
      </c>
      <c r="DS59" s="62">
        <f t="shared" si="17"/>
        <v>784.84622384452621</v>
      </c>
      <c r="DT59" s="62">
        <f ca="1">AVERAGE(OFFSET($DS$3,0,0,'Données projet'!$E$14+1,1))-AVERAGE(OFFSET($H$3,0,0,'Données projet'!$E$14+1,1))</f>
        <v>370.58277541710277</v>
      </c>
      <c r="DU59" s="62">
        <f t="shared" si="44"/>
        <v>404.61777090709171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9.75</v>
      </c>
      <c r="EJ59" s="13">
        <f>IF('Données projet'!$A$192&gt;35,EJ58+EI59-ER58,IF(A59&lt;'Données projet'!$A$192,$EG$205^A59,IF(A59='Données projet'!$A$192,'Données projet'!$B$192,EJ58+EI59-ER58)))</f>
        <v>265</v>
      </c>
      <c r="EK59" s="18">
        <f>EJ59*VLOOKUP('Données projet'!$B$15,Paramètres!$A$1:$I$89,3,0)*VLOOKUP('Données projet'!$B$15,Paramètres!$A$1:$I$89,5,0)</f>
        <v>165.35999999999999</v>
      </c>
      <c r="EL59" s="14">
        <f t="shared" si="45"/>
        <v>42.04915012784209</v>
      </c>
      <c r="EM59" s="22">
        <f t="shared" si="19"/>
        <v>361.2376031393249</v>
      </c>
      <c r="EN59" s="62">
        <f t="shared" si="20"/>
        <v>654.57093647265822</v>
      </c>
      <c r="EO59" s="62">
        <f ca="1">AVERAGE(OFFSET($EN$3,0,0,'Données projet'!$E$15+1,1))-AVERAGE(OFFSET($H$3,0,0,'Données projet'!$E$15+1,1))</f>
        <v>240.22884864766218</v>
      </c>
      <c r="EP59" s="62">
        <f t="shared" si="46"/>
        <v>343.23776884143166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5.0069719104720063</v>
      </c>
      <c r="EX59" s="23">
        <f>EXP(-LN(2)/2)*EX58+(1-EXP(-LN(2)/2))/(LN(2)/2)*ER59*EU59*VLOOKUP('Données projet'!$B$15,Paramètres!$A$1:$I$89,3,0)*0.475*44/12</f>
        <v>2.0164575050057127E-3</v>
      </c>
      <c r="EY59" s="24">
        <f t="shared" si="21"/>
        <v>5.008988367977012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22.7</v>
      </c>
      <c r="FE59" s="13">
        <f>IF('Données projet'!$A$218&gt;35,FE58+FD59-FM58,IF(A59&lt;'Données projet'!$A$218,$FB$205^A59,IF(A59='Données projet'!$A$218,'Données projet'!$B$218,FE58+FD59-FM58)))</f>
        <v>425.1999999999997</v>
      </c>
      <c r="FF59" s="18">
        <f>FE59*VLOOKUP('Données projet'!$B$16,Paramètres!$A$1:$I$89,3,0)*VLOOKUP('Données projet'!$B$16,Paramètres!$A$1:$I$89,5,0)</f>
        <v>198.99359999999987</v>
      </c>
      <c r="FG59" s="14">
        <f t="shared" si="47"/>
        <v>49.522926570252494</v>
      </c>
      <c r="FH59" s="22">
        <f t="shared" si="22"/>
        <v>432.83295044318953</v>
      </c>
      <c r="FI59" s="62">
        <f t="shared" si="23"/>
        <v>726.16628377652285</v>
      </c>
      <c r="FJ59" s="62">
        <f ca="1">AVERAGE(OFFSET($FI$3,0,0,'Données projet'!$E$16+1,1))-AVERAGE(OFFSET($H$3,0,0,'Données projet'!$E$16+1,1))</f>
        <v>399.92909819003523</v>
      </c>
      <c r="FK59" s="62">
        <f t="shared" si="48"/>
        <v>163.7053537268381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6.2799999999999958</v>
      </c>
      <c r="FZ59" s="13">
        <f>IF('Données projet'!$A$244&gt;35,FZ58+FY59-GH58,IF(A59&lt;'Données projet'!$A$244,$FW$205^A59,IF(A59='Données projet'!$A$244,'Données projet'!$B$244,FZ58+FY59-GH58)))</f>
        <v>284.87999999999994</v>
      </c>
      <c r="GA59" s="18">
        <f>FZ59*VLOOKUP('Données projet'!$B$17,Paramètres!$A$1:$I$89,3,0)*VLOOKUP('Données projet'!$B$17,Paramètres!$A$1:$I$89,5,0)</f>
        <v>208.87401599999995</v>
      </c>
      <c r="GB59" s="14">
        <f t="shared" si="49"/>
        <v>51.689452927517024</v>
      </c>
      <c r="GC59" s="22">
        <f t="shared" si="25"/>
        <v>453.81470838209202</v>
      </c>
      <c r="GD59" s="62">
        <f t="shared" si="26"/>
        <v>747.14804171542528</v>
      </c>
      <c r="GE59" s="62">
        <f ca="1">AVERAGE(OFFSET($GD$3,0,0,'Données projet'!$E$17+1,1))-AVERAGE(OFFSET($H$3,0,0,'Données projet'!$E$17+1,1))</f>
        <v>344.4426665022238</v>
      </c>
      <c r="GF59" s="62">
        <f t="shared" si="50"/>
        <v>376.41441893222185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16.100000000000001</v>
      </c>
      <c r="GU59" s="13">
        <f>IF('Données projet'!$A$270&gt;35,GU58+GT59-HC58,IF(A59&lt;'Données projet'!$A$270,$GR$205^A59,IF(A59='Données projet'!$A$270,'Données projet'!$B$270,GU58+GT59-HC58)))</f>
        <v>371.60000000000014</v>
      </c>
      <c r="GV59" s="18">
        <f>GU59*VLOOKUP('Données projet'!$B$18,Paramètres!$A$1:$I$89,3,0)*VLOOKUP('Données projet'!$B$18,Paramètres!$A$1:$I$89,5,0)</f>
        <v>178.73960000000008</v>
      </c>
      <c r="GW59" s="14">
        <f t="shared" si="51"/>
        <v>45.041655811512641</v>
      </c>
      <c r="GX59" s="22">
        <f t="shared" si="28"/>
        <v>389.75235387171801</v>
      </c>
      <c r="GY59" s="62">
        <f t="shared" si="29"/>
        <v>683.08568720505127</v>
      </c>
      <c r="GZ59" s="62">
        <f ca="1">AVERAGE(OFFSET($GY$3,0,0,'Données projet'!$E$18+1,1))-AVERAGE(OFFSET($H$3,0,0,'Données projet'!$E$18+1,1))</f>
        <v>441.17479680509746</v>
      </c>
      <c r="HA59" s="62">
        <f t="shared" si="52"/>
        <v>198.56576128410069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15.571428571428571</v>
      </c>
      <c r="N60" s="14">
        <f>IF('Données projet'!$A$36&gt;35,N59+M60-V59,IF(A60&lt;'Données projet'!$A$36,$K$205^A60,IF(A60='Données projet'!$A$36,'Données projet'!$B$36,N59+M60-V59)))</f>
        <v>444.57142857142833</v>
      </c>
      <c r="O60" s="14">
        <f>N60*VLOOKUP('Données projet'!$B$9,Paramètres!$A$1:$I$89,3,0)*VLOOKUP('Données projet'!$B$9,Paramètres!$A$1:$I$89,5,0)</f>
        <v>248.51542857142846</v>
      </c>
      <c r="P60" s="14">
        <f t="shared" si="33"/>
        <v>60.267932112745214</v>
      </c>
      <c r="Q60" s="22">
        <f t="shared" si="53"/>
        <v>537.79768652493578</v>
      </c>
      <c r="R60" s="62">
        <f t="shared" si="0"/>
        <v>831.13101985826916</v>
      </c>
      <c r="S60" s="62">
        <f ca="1">AVERAGE(OFFSET($R$3,0,0,'Données projet'!$E$9+1,1))-AVERAGE(OFFSET($H$3,0,0,'Données projet'!$E$9+1,1))</f>
        <v>374.79806286316051</v>
      </c>
      <c r="T60" s="62">
        <f t="shared" si="34"/>
        <v>350.01856672839466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3.4905666052152142</v>
      </c>
      <c r="AB60" s="23">
        <f>EXP(-LN(2)/2)*AB59+(1-EXP(-LN(2)/2))/(LN(2)/2)*V60*Y60*VLOOKUP('Données projet'!$B$9,Paramètres!$A$1:$I$89,3,0)*0.475*44/12</f>
        <v>7.7533532701203685E-4</v>
      </c>
      <c r="AC60" s="24">
        <f t="shared" si="3"/>
        <v>3.4913419405422261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6.6</v>
      </c>
      <c r="AI60" s="14">
        <f>IF('Données projet'!$A$62&gt;35,AI59+AH60-AQ59,IF(A60&lt;'Données projet'!$A$62,$AF$205^A60,IF(A60='Données projet'!$A$62,'Données projet'!$B$62,AI59+AH60-AQ59)))</f>
        <v>252.2000000000001</v>
      </c>
      <c r="AJ60" s="14">
        <f>AI60*VLOOKUP('Données projet'!$B$10,Paramètres!$A$1:$I$89,3,0)*VLOOKUP('Données projet'!$B$10,Paramètres!$A$1:$I$89,5,0)</f>
        <v>220.32192000000015</v>
      </c>
      <c r="AK60" s="14">
        <f t="shared" si="35"/>
        <v>54.18484748666981</v>
      </c>
      <c r="AL60" s="22">
        <f t="shared" si="4"/>
        <v>478.09928670595019</v>
      </c>
      <c r="AM60" s="62">
        <f t="shared" si="5"/>
        <v>771.43262003928351</v>
      </c>
      <c r="AN60" s="62">
        <f ca="1">AVERAGE(OFFSET($AM$3,0,0,'Données projet'!$E$10+1,1))-AVERAGE(OFFSET($H$3,0,0,'Données projet'!$E$10+1,1))</f>
        <v>401.89597032936751</v>
      </c>
      <c r="AO60" s="62">
        <f t="shared" si="36"/>
        <v>417.85733543972361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191.19999999999996</v>
      </c>
      <c r="BE60" s="14">
        <f>BD60*VLOOKUP('Données projet'!$B$11,Paramètres!$A$1:$I$89,3,0)*VLOOKUP('Données projet'!$B$11,Paramètres!$A$1:$I$89,5,0)</f>
        <v>172.99775999999997</v>
      </c>
      <c r="BF60" s="14">
        <f t="shared" si="37"/>
        <v>43.760737531919609</v>
      </c>
      <c r="BG60" s="22">
        <f t="shared" si="7"/>
        <v>377.52104986809326</v>
      </c>
      <c r="BH60" s="62">
        <f t="shared" si="8"/>
        <v>670.85438320142657</v>
      </c>
      <c r="BI60" s="62">
        <f ca="1">AVERAGE(OFFSET($BH$3,0,0,'Données projet'!$E$11+1,1))-AVERAGE(OFFSET($H$3,0,0,'Données projet'!$E$11+1,1))</f>
        <v>430.40491895612814</v>
      </c>
      <c r="BJ60" s="62">
        <f t="shared" si="38"/>
        <v>231.36959598460686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4.8717948717948731</v>
      </c>
      <c r="BY60" s="13">
        <f>IF('Données projet'!$A$114&gt;35,BY59+BX60-CG59,IF(A60&lt;'Données projet'!$A$114,$BV$205^A60,IF(A60='Données projet'!$A$114,'Données projet'!$B$114,BY59+BX60-CG59)))</f>
        <v>185.38461538461533</v>
      </c>
      <c r="BZ60" s="14">
        <f>BY60*VLOOKUP('Données projet'!$B$12,Paramètres!$A$1:$I$89,3,0)*VLOOKUP('Données projet'!$B$12,Paramètres!$A$1:$I$89,5,0)</f>
        <v>176.41199999999995</v>
      </c>
      <c r="CA60" s="14">
        <f t="shared" si="39"/>
        <v>44.522989246723967</v>
      </c>
      <c r="CB60" s="22">
        <f t="shared" si="10"/>
        <v>384.79510627137751</v>
      </c>
      <c r="CC60" s="62">
        <f t="shared" si="11"/>
        <v>678.12843960471082</v>
      </c>
      <c r="CD60" s="62">
        <f ca="1">AVERAGE(OFFSET($CC$3,0,0,'Données projet'!$E$12+1,1))-AVERAGE(OFFSET($H$3,0,0,'Données projet'!$E$12+1,1))</f>
        <v>367.11183928586667</v>
      </c>
      <c r="CE60" s="62">
        <f t="shared" si="40"/>
        <v>281.52963027844595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20</v>
      </c>
      <c r="CT60" s="13">
        <f>IF('Données projet'!$A$140&gt;35,CT59+CS60-DB59,IF(A60&lt;'Données projet'!$A$140,$CQ$205^A60,IF(A60='Données projet'!$A$140,'Données projet'!$B$140,CT59+CS60-DB59)))</f>
        <v>407.99999999999966</v>
      </c>
      <c r="CU60" s="18">
        <f>CT60*VLOOKUP('Données projet'!$B$13,Paramètres!$A$1:$I$89,3,0)*VLOOKUP('Données projet'!$B$13,Paramètres!$A$1:$I$89,5,0)</f>
        <v>243.98399999999984</v>
      </c>
      <c r="CV60" s="14">
        <f t="shared" si="41"/>
        <v>59.295884425254954</v>
      </c>
      <c r="CW60" s="22">
        <f t="shared" si="13"/>
        <v>528.21246537398554</v>
      </c>
      <c r="CX60" s="62">
        <f t="shared" si="14"/>
        <v>821.54579870731891</v>
      </c>
      <c r="CY60" s="62">
        <f ca="1">AVERAGE(OFFSET($CX$3,0,0,'Données projet'!$E$13+1,1))-AVERAGE(OFFSET($H$3,0,0,'Données projet'!$E$13+1,1))</f>
        <v>308.47522272937135</v>
      </c>
      <c r="CZ60" s="62">
        <f t="shared" si="42"/>
        <v>302.54354650449721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1.8165194662575412</v>
      </c>
      <c r="DH60" s="23">
        <f>EXP(-LN(2)/2)*DH59+(1-EXP(-LN(2)/2))/(LN(2)/2)*DB60*DE60*VLOOKUP('Données projet'!$B$13,Paramètres!$A$1:$I$89,3,0)*0.475*44/12</f>
        <v>1.4910027463555611E-3</v>
      </c>
      <c r="DI60" s="24">
        <f t="shared" si="15"/>
        <v>1.8180104690038967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6.2799999999999958</v>
      </c>
      <c r="DO60" s="13">
        <f>IF('Données projet'!$A$166&gt;35,DO59+DN60-DW59,IF(A60&lt;'Données projet'!$A$166,$DL$205^A60,IF(A60='Données projet'!$A$166,'Données projet'!$B$166,DO59+DN60-DW59)))</f>
        <v>291.15999999999991</v>
      </c>
      <c r="DP60" s="18">
        <f>DO60*VLOOKUP('Données projet'!$B$14,Paramètres!$A$1:$I$89,3,0)*VLOOKUP('Données projet'!$B$14,Paramètres!$A$1:$I$89,5,0)</f>
        <v>231.64689599999994</v>
      </c>
      <c r="DQ60" s="14">
        <f t="shared" si="43"/>
        <v>56.63863094599396</v>
      </c>
      <c r="DR60" s="22">
        <f t="shared" si="16"/>
        <v>502.09729276427265</v>
      </c>
      <c r="DS60" s="62">
        <f t="shared" si="17"/>
        <v>795.43062609760591</v>
      </c>
      <c r="DT60" s="62">
        <f ca="1">AVERAGE(OFFSET($DS$3,0,0,'Données projet'!$E$14+1,1))-AVERAGE(OFFSET($H$3,0,0,'Données projet'!$E$14+1,1))</f>
        <v>370.58277541710277</v>
      </c>
      <c r="DU60" s="62">
        <f t="shared" si="44"/>
        <v>404.61777090709171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9.75</v>
      </c>
      <c r="EJ60" s="13">
        <f>IF('Données projet'!$A$192&gt;35,EJ59+EI60-ER59,IF(A60&lt;'Données projet'!$A$192,$EG$205^A60,IF(A60='Données projet'!$A$192,'Données projet'!$B$192,EJ59+EI60-ER59)))</f>
        <v>274.75</v>
      </c>
      <c r="EK60" s="18">
        <f>EJ60*VLOOKUP('Données projet'!$B$15,Paramètres!$A$1:$I$89,3,0)*VLOOKUP('Données projet'!$B$15,Paramètres!$A$1:$I$89,5,0)</f>
        <v>171.44399999999999</v>
      </c>
      <c r="EL60" s="14">
        <f t="shared" si="45"/>
        <v>43.413272173627242</v>
      </c>
      <c r="EM60" s="22">
        <f t="shared" si="19"/>
        <v>374.20974903573409</v>
      </c>
      <c r="EN60" s="62">
        <f t="shared" si="20"/>
        <v>667.54308236906741</v>
      </c>
      <c r="EO60" s="62">
        <f ca="1">AVERAGE(OFFSET($EN$3,0,0,'Données projet'!$E$15+1,1))-AVERAGE(OFFSET($H$3,0,0,'Données projet'!$E$15+1,1))</f>
        <v>240.22884864766218</v>
      </c>
      <c r="EP60" s="62">
        <f t="shared" si="46"/>
        <v>343.23776884143166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4.87005600027494</v>
      </c>
      <c r="EX60" s="23">
        <f>EXP(-LN(2)/2)*EX59+(1-EXP(-LN(2)/2))/(LN(2)/2)*ER60*EU60*VLOOKUP('Données projet'!$B$15,Paramètres!$A$1:$I$89,3,0)*0.475*44/12</f>
        <v>1.4258507757640461E-3</v>
      </c>
      <c r="EY60" s="24">
        <f t="shared" si="21"/>
        <v>4.8714818510507039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22.7</v>
      </c>
      <c r="FE60" s="13">
        <f>IF('Données projet'!$A$218&gt;35,FE59+FD60-FM59,IF(A60&lt;'Données projet'!$A$218,$FB$205^A60,IF(A60='Données projet'!$A$218,'Données projet'!$B$218,FE59+FD60-FM59)))</f>
        <v>447.89999999999969</v>
      </c>
      <c r="FF60" s="18">
        <f>FE60*VLOOKUP('Données projet'!$B$16,Paramètres!$A$1:$I$89,3,0)*VLOOKUP('Données projet'!$B$16,Paramètres!$A$1:$I$89,5,0)</f>
        <v>209.61719999999985</v>
      </c>
      <c r="FG60" s="14">
        <f t="shared" si="47"/>
        <v>51.851925386563117</v>
      </c>
      <c r="FH60" s="22">
        <f t="shared" si="22"/>
        <v>455.39206004826383</v>
      </c>
      <c r="FI60" s="62">
        <f t="shared" si="23"/>
        <v>748.72539338159709</v>
      </c>
      <c r="FJ60" s="62">
        <f ca="1">AVERAGE(OFFSET($FI$3,0,0,'Données projet'!$E$16+1,1))-AVERAGE(OFFSET($H$3,0,0,'Données projet'!$E$16+1,1))</f>
        <v>399.92909819003523</v>
      </c>
      <c r="FK60" s="62">
        <f t="shared" si="48"/>
        <v>163.7053537268381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6.2799999999999958</v>
      </c>
      <c r="FZ60" s="13">
        <f>IF('Données projet'!$A$244&gt;35,FZ59+FY60-GH59,IF(A60&lt;'Données projet'!$A$244,$FW$205^A60,IF(A60='Données projet'!$A$244,'Données projet'!$B$244,FZ59+FY60-GH59)))</f>
        <v>291.15999999999991</v>
      </c>
      <c r="GA60" s="18">
        <f>FZ60*VLOOKUP('Données projet'!$B$17,Paramètres!$A$1:$I$89,3,0)*VLOOKUP('Données projet'!$B$17,Paramètres!$A$1:$I$89,5,0)</f>
        <v>213.47851199999994</v>
      </c>
      <c r="GB60" s="14">
        <f t="shared" si="49"/>
        <v>52.694999755073347</v>
      </c>
      <c r="GC60" s="22">
        <f t="shared" si="25"/>
        <v>463.58553297341928</v>
      </c>
      <c r="GD60" s="62">
        <f t="shared" si="26"/>
        <v>756.91886630675253</v>
      </c>
      <c r="GE60" s="62">
        <f ca="1">AVERAGE(OFFSET($GD$3,0,0,'Données projet'!$E$17+1,1))-AVERAGE(OFFSET($H$3,0,0,'Données projet'!$E$17+1,1))</f>
        <v>344.4426665022238</v>
      </c>
      <c r="GF60" s="62">
        <f t="shared" si="50"/>
        <v>376.41441893222185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16.100000000000001</v>
      </c>
      <c r="GU60" s="13">
        <f>IF('Données projet'!$A$270&gt;35,GU59+GT60-HC59,IF(A60&lt;'Données projet'!$A$270,$GR$205^A60,IF(A60='Données projet'!$A$270,'Données projet'!$B$270,GU59+GT60-HC59)))</f>
        <v>387.70000000000016</v>
      </c>
      <c r="GV60" s="18">
        <f>GU60*VLOOKUP('Données projet'!$B$18,Paramètres!$A$1:$I$89,3,0)*VLOOKUP('Données projet'!$B$18,Paramètres!$A$1:$I$89,5,0)</f>
        <v>186.48370000000008</v>
      </c>
      <c r="GW60" s="14">
        <f t="shared" si="51"/>
        <v>46.761705682043051</v>
      </c>
      <c r="GX60" s="22">
        <f t="shared" si="28"/>
        <v>406.2357482295584</v>
      </c>
      <c r="GY60" s="62">
        <f t="shared" si="29"/>
        <v>699.56908156289171</v>
      </c>
      <c r="GZ60" s="62">
        <f ca="1">AVERAGE(OFFSET($GY$3,0,0,'Données projet'!$E$18+1,1))-AVERAGE(OFFSET($H$3,0,0,'Données projet'!$E$18+1,1))</f>
        <v>441.17479680509746</v>
      </c>
      <c r="HA60" s="62">
        <f t="shared" si="52"/>
        <v>198.56576128410069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15.571428571428571</v>
      </c>
      <c r="N61" s="14">
        <f>IF('Données projet'!$A$36&gt;35,N60+M61-V60,IF(A61&lt;'Données projet'!$A$36,$K$205^A61,IF(A61='Données projet'!$A$36,'Données projet'!$B$36,N60+M61-V60)))</f>
        <v>460.14285714285688</v>
      </c>
      <c r="O61" s="14">
        <f>N61*VLOOKUP('Données projet'!$B$9,Paramètres!$A$1:$I$89,3,0)*VLOOKUP('Données projet'!$B$9,Paramètres!$A$1:$I$89,5,0)</f>
        <v>257.21985714285699</v>
      </c>
      <c r="P61" s="14">
        <f t="shared" si="33"/>
        <v>62.129393573116417</v>
      </c>
      <c r="Q61" s="22">
        <f t="shared" si="53"/>
        <v>556.19994499698703</v>
      </c>
      <c r="R61" s="62">
        <f t="shared" si="0"/>
        <v>849.5332783303204</v>
      </c>
      <c r="S61" s="62">
        <f ca="1">AVERAGE(OFFSET($R$3,0,0,'Données projet'!$E$9+1,1))-AVERAGE(OFFSET($H$3,0,0,'Données projet'!$E$9+1,1))</f>
        <v>374.79806286316051</v>
      </c>
      <c r="T61" s="62">
        <f t="shared" si="34"/>
        <v>350.01856672839466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3.3951168778346843</v>
      </c>
      <c r="AB61" s="23">
        <f>EXP(-LN(2)/2)*AB60+(1-EXP(-LN(2)/2))/(LN(2)/2)*V61*Y61*VLOOKUP('Données projet'!$B$9,Paramètres!$A$1:$I$89,3,0)*0.475*44/12</f>
        <v>5.4824486742370061E-4</v>
      </c>
      <c r="AC61" s="24">
        <f t="shared" si="3"/>
        <v>3.3956651227021082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6.6</v>
      </c>
      <c r="AI61" s="14">
        <f>IF('Données projet'!$A$62&gt;35,AI60+AH61-AQ60,IF(A61&lt;'Données projet'!$A$62,$AF$205^A61,IF(A61='Données projet'!$A$62,'Données projet'!$B$62,AI60+AH61-AQ60)))</f>
        <v>258.80000000000013</v>
      </c>
      <c r="AJ61" s="14">
        <f>AI61*VLOOKUP('Données projet'!$B$10,Paramètres!$A$1:$I$89,3,0)*VLOOKUP('Données projet'!$B$10,Paramètres!$A$1:$I$89,5,0)</f>
        <v>226.08768000000015</v>
      </c>
      <c r="AK61" s="14">
        <f t="shared" si="35"/>
        <v>55.435903662934521</v>
      </c>
      <c r="AL61" s="22">
        <f t="shared" si="4"/>
        <v>490.32024154627794</v>
      </c>
      <c r="AM61" s="62">
        <f t="shared" si="5"/>
        <v>783.65357487961126</v>
      </c>
      <c r="AN61" s="62">
        <f ca="1">AVERAGE(OFFSET($AM$3,0,0,'Données projet'!$E$10+1,1))-AVERAGE(OFFSET($H$3,0,0,'Données projet'!$E$10+1,1))</f>
        <v>401.89597032936751</v>
      </c>
      <c r="AO61" s="62">
        <f t="shared" si="36"/>
        <v>417.85733543972361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198.79999999999995</v>
      </c>
      <c r="BE61" s="14">
        <f>BD61*VLOOKUP('Données projet'!$B$11,Paramètres!$A$1:$I$89,3,0)*VLOOKUP('Données projet'!$B$11,Paramètres!$A$1:$I$89,5,0)</f>
        <v>179.87423999999993</v>
      </c>
      <c r="BF61" s="14">
        <f t="shared" si="37"/>
        <v>45.294205745553846</v>
      </c>
      <c r="BG61" s="22">
        <f t="shared" si="7"/>
        <v>392.16837634017276</v>
      </c>
      <c r="BH61" s="62">
        <f t="shared" si="8"/>
        <v>685.50170967350607</v>
      </c>
      <c r="BI61" s="62">
        <f ca="1">AVERAGE(OFFSET($BH$3,0,0,'Données projet'!$E$11+1,1))-AVERAGE(OFFSET($H$3,0,0,'Données projet'!$E$11+1,1))</f>
        <v>430.40491895612814</v>
      </c>
      <c r="BJ61" s="62">
        <f t="shared" si="38"/>
        <v>231.36959598460686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4.8717948717948731</v>
      </c>
      <c r="BY61" s="13">
        <f>IF('Données projet'!$A$114&gt;35,BY60+BX61-CG60,IF(A61&lt;'Données projet'!$A$114,$BV$205^A61,IF(A61='Données projet'!$A$114,'Données projet'!$B$114,BY60+BX61-CG60)))</f>
        <v>190.25641025641019</v>
      </c>
      <c r="BZ61" s="14">
        <f>BY61*VLOOKUP('Données projet'!$B$12,Paramètres!$A$1:$I$89,3,0)*VLOOKUP('Données projet'!$B$12,Paramètres!$A$1:$I$89,5,0)</f>
        <v>181.04799999999994</v>
      </c>
      <c r="CA61" s="14">
        <f t="shared" si="39"/>
        <v>45.555268021687233</v>
      </c>
      <c r="CB61" s="22">
        <f t="shared" si="10"/>
        <v>394.66735847110516</v>
      </c>
      <c r="CC61" s="62">
        <f t="shared" si="11"/>
        <v>688.00069180443847</v>
      </c>
      <c r="CD61" s="62">
        <f ca="1">AVERAGE(OFFSET($CC$3,0,0,'Données projet'!$E$12+1,1))-AVERAGE(OFFSET($H$3,0,0,'Données projet'!$E$12+1,1))</f>
        <v>367.11183928586667</v>
      </c>
      <c r="CE61" s="62">
        <f t="shared" si="40"/>
        <v>281.52963027844595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20</v>
      </c>
      <c r="CT61" s="13">
        <f>IF('Données projet'!$A$140&gt;35,CT60+CS61-DB60,IF(A61&lt;'Données projet'!$A$140,$CQ$205^A61,IF(A61='Données projet'!$A$140,'Données projet'!$B$140,CT60+CS61-DB60)))</f>
        <v>427.99999999999966</v>
      </c>
      <c r="CU61" s="18">
        <f>CT61*VLOOKUP('Données projet'!$B$13,Paramètres!$A$1:$I$89,3,0)*VLOOKUP('Données projet'!$B$13,Paramètres!$A$1:$I$89,5,0)</f>
        <v>255.94399999999982</v>
      </c>
      <c r="CV61" s="14">
        <f t="shared" si="41"/>
        <v>61.857013102708841</v>
      </c>
      <c r="CW61" s="22">
        <f t="shared" si="13"/>
        <v>553.50343115388421</v>
      </c>
      <c r="CX61" s="62">
        <f t="shared" si="14"/>
        <v>846.83676448721758</v>
      </c>
      <c r="CY61" s="62">
        <f ca="1">AVERAGE(OFFSET($CX$3,0,0,'Données projet'!$E$13+1,1))-AVERAGE(OFFSET($H$3,0,0,'Données projet'!$E$13+1,1))</f>
        <v>308.47522272937135</v>
      </c>
      <c r="CZ61" s="62">
        <f t="shared" si="42"/>
        <v>302.54354650449721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1.7668466459261218</v>
      </c>
      <c r="DH61" s="23">
        <f>EXP(-LN(2)/2)*DH60+(1-EXP(-LN(2)/2))/(LN(2)/2)*DB61*DE61*VLOOKUP('Données projet'!$B$13,Paramètres!$A$1:$I$89,3,0)*0.475*44/12</f>
        <v>1.0542981527157831E-3</v>
      </c>
      <c r="DI61" s="24">
        <f t="shared" si="15"/>
        <v>1.7679009440788376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6.2799999999999958</v>
      </c>
      <c r="DO61" s="13">
        <f>IF('Données projet'!$A$166&gt;35,DO60+DN61-DW60,IF(A61&lt;'Données projet'!$A$166,$DL$205^A61,IF(A61='Données projet'!$A$166,'Données projet'!$B$166,DO60+DN61-DW60)))</f>
        <v>297.43999999999988</v>
      </c>
      <c r="DP61" s="18">
        <f>DO61*VLOOKUP('Données projet'!$B$14,Paramètres!$A$1:$I$89,3,0)*VLOOKUP('Données projet'!$B$14,Paramètres!$A$1:$I$89,5,0)</f>
        <v>236.64326399999993</v>
      </c>
      <c r="DQ61" s="14">
        <f t="shared" si="43"/>
        <v>57.716721405473052</v>
      </c>
      <c r="DR61" s="22">
        <f t="shared" si="16"/>
        <v>512.67697458119881</v>
      </c>
      <c r="DS61" s="62">
        <f t="shared" si="17"/>
        <v>806.01030791453218</v>
      </c>
      <c r="DT61" s="62">
        <f ca="1">AVERAGE(OFFSET($DS$3,0,0,'Données projet'!$E$14+1,1))-AVERAGE(OFFSET($H$3,0,0,'Données projet'!$E$14+1,1))</f>
        <v>370.58277541710277</v>
      </c>
      <c r="DU61" s="62">
        <f t="shared" si="44"/>
        <v>404.61777090709171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9.75</v>
      </c>
      <c r="EJ61" s="13">
        <f>IF('Données projet'!$A$192&gt;35,EJ60+EI61-ER60,IF(A61&lt;'Données projet'!$A$192,$EG$205^A61,IF(A61='Données projet'!$A$192,'Données projet'!$B$192,EJ60+EI61-ER60)))</f>
        <v>284.5</v>
      </c>
      <c r="EK61" s="18">
        <f>EJ61*VLOOKUP('Données projet'!$B$15,Paramètres!$A$1:$I$89,3,0)*VLOOKUP('Données projet'!$B$15,Paramètres!$A$1:$I$89,5,0)</f>
        <v>177.52800000000002</v>
      </c>
      <c r="EL61" s="14">
        <f t="shared" si="45"/>
        <v>44.771769863863661</v>
      </c>
      <c r="EM61" s="22">
        <f t="shared" si="19"/>
        <v>387.17209917956257</v>
      </c>
      <c r="EN61" s="62">
        <f t="shared" si="20"/>
        <v>680.50543251289582</v>
      </c>
      <c r="EO61" s="62">
        <f ca="1">AVERAGE(OFFSET($EN$3,0,0,'Données projet'!$E$15+1,1))-AVERAGE(OFFSET($H$3,0,0,'Données projet'!$E$15+1,1))</f>
        <v>240.22884864766218</v>
      </c>
      <c r="EP61" s="62">
        <f t="shared" si="46"/>
        <v>343.23776884143166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4.7368840628423072</v>
      </c>
      <c r="EX61" s="23">
        <f>EXP(-LN(2)/2)*EX60+(1-EXP(-LN(2)/2))/(LN(2)/2)*ER61*EU61*VLOOKUP('Données projet'!$B$15,Paramètres!$A$1:$I$89,3,0)*0.475*44/12</f>
        <v>1.0082287525028564E-3</v>
      </c>
      <c r="EY61" s="24">
        <f t="shared" si="21"/>
        <v>4.7378922915948101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22.7</v>
      </c>
      <c r="FE61" s="13">
        <f>IF('Données projet'!$A$218&gt;35,FE60+FD61-FM60,IF(A61&lt;'Données projet'!$A$218,$FB$205^A61,IF(A61='Données projet'!$A$218,'Données projet'!$B$218,FE60+FD61-FM60)))</f>
        <v>470.59999999999968</v>
      </c>
      <c r="FF61" s="18">
        <f>FE61*VLOOKUP('Données projet'!$B$16,Paramètres!$A$1:$I$89,3,0)*VLOOKUP('Données projet'!$B$16,Paramètres!$A$1:$I$89,5,0)</f>
        <v>220.24079999999987</v>
      </c>
      <c r="FG61" s="14">
        <f t="shared" si="47"/>
        <v>54.167219078226751</v>
      </c>
      <c r="FH61" s="22">
        <f t="shared" si="22"/>
        <v>477.92729989457803</v>
      </c>
      <c r="FI61" s="62">
        <f t="shared" si="23"/>
        <v>771.26063322791128</v>
      </c>
      <c r="FJ61" s="62">
        <f ca="1">AVERAGE(OFFSET($FI$3,0,0,'Données projet'!$E$16+1,1))-AVERAGE(OFFSET($H$3,0,0,'Données projet'!$E$16+1,1))</f>
        <v>399.92909819003523</v>
      </c>
      <c r="FK61" s="62">
        <f t="shared" si="48"/>
        <v>163.7053537268381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6.2799999999999958</v>
      </c>
      <c r="FZ61" s="13">
        <f>IF('Données projet'!$A$244&gt;35,FZ60+FY61-GH60,IF(A61&lt;'Données projet'!$A$244,$FW$205^A61,IF(A61='Données projet'!$A$244,'Données projet'!$B$244,FZ60+FY61-GH60)))</f>
        <v>297.43999999999988</v>
      </c>
      <c r="GA61" s="18">
        <f>FZ61*VLOOKUP('Données projet'!$B$17,Paramètres!$A$1:$I$89,3,0)*VLOOKUP('Données projet'!$B$17,Paramètres!$A$1:$I$89,5,0)</f>
        <v>218.08300799999989</v>
      </c>
      <c r="GB61" s="14">
        <f t="shared" si="49"/>
        <v>53.698024996844545</v>
      </c>
      <c r="GC61" s="22">
        <f t="shared" si="25"/>
        <v>473.35196580283736</v>
      </c>
      <c r="GD61" s="62">
        <f t="shared" si="26"/>
        <v>766.68529913617067</v>
      </c>
      <c r="GE61" s="62">
        <f ca="1">AVERAGE(OFFSET($GD$3,0,0,'Données projet'!$E$17+1,1))-AVERAGE(OFFSET($H$3,0,0,'Données projet'!$E$17+1,1))</f>
        <v>344.4426665022238</v>
      </c>
      <c r="GF61" s="62">
        <f t="shared" si="50"/>
        <v>376.41441893222185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16.100000000000001</v>
      </c>
      <c r="GU61" s="13">
        <f>IF('Données projet'!$A$270&gt;35,GU60+GT61-HC60,IF(A61&lt;'Données projet'!$A$270,$GR$205^A61,IF(A61='Données projet'!$A$270,'Données projet'!$B$270,GU60+GT61-HC60)))</f>
        <v>403.80000000000018</v>
      </c>
      <c r="GV61" s="18">
        <f>GU61*VLOOKUP('Données projet'!$B$18,Paramètres!$A$1:$I$89,3,0)*VLOOKUP('Données projet'!$B$18,Paramètres!$A$1:$I$89,5,0)</f>
        <v>194.22780000000009</v>
      </c>
      <c r="GW61" s="14">
        <f t="shared" si="51"/>
        <v>48.473458826956033</v>
      </c>
      <c r="GX61" s="22">
        <f t="shared" si="28"/>
        <v>422.70469245694858</v>
      </c>
      <c r="GY61" s="62">
        <f t="shared" si="29"/>
        <v>716.03802579028184</v>
      </c>
      <c r="GZ61" s="62">
        <f ca="1">AVERAGE(OFFSET($GY$3,0,0,'Données projet'!$E$18+1,1))-AVERAGE(OFFSET($H$3,0,0,'Données projet'!$E$18+1,1))</f>
        <v>441.17479680509746</v>
      </c>
      <c r="HA61" s="62">
        <f t="shared" si="52"/>
        <v>198.56576128410069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15.571428571428571</v>
      </c>
      <c r="N62" s="14">
        <f>IF('Données projet'!$A$36&gt;35,N61+M62-V61,IF(A62&lt;'Données projet'!$A$36,$K$205^A62,IF(A62='Données projet'!$A$36,'Données projet'!$B$36,N61+M62-V61)))</f>
        <v>475.71428571428544</v>
      </c>
      <c r="O62" s="14">
        <f>N62*VLOOKUP('Données projet'!$B$9,Paramètres!$A$1:$I$89,3,0)*VLOOKUP('Données projet'!$B$9,Paramètres!$A$1:$I$89,5,0)</f>
        <v>265.92428571428559</v>
      </c>
      <c r="P62" s="14">
        <f t="shared" si="33"/>
        <v>63.983535636381461</v>
      </c>
      <c r="Q62" s="22">
        <f t="shared" si="53"/>
        <v>574.58945551907846</v>
      </c>
      <c r="R62" s="62">
        <f t="shared" si="0"/>
        <v>867.92278885241171</v>
      </c>
      <c r="S62" s="62">
        <f ca="1">AVERAGE(OFFSET($R$3,0,0,'Données projet'!$E$9+1,1))-AVERAGE(OFFSET($H$3,0,0,'Données projet'!$E$9+1,1))</f>
        <v>374.79806286316051</v>
      </c>
      <c r="T62" s="62">
        <f t="shared" si="34"/>
        <v>350.01856672839466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3.3022772282688577</v>
      </c>
      <c r="AB62" s="23">
        <f>EXP(-LN(2)/2)*AB61+(1-EXP(-LN(2)/2))/(LN(2)/2)*V62*Y62*VLOOKUP('Données projet'!$B$9,Paramètres!$A$1:$I$89,3,0)*0.475*44/12</f>
        <v>3.8766766350601843E-4</v>
      </c>
      <c r="AC62" s="24">
        <f t="shared" si="3"/>
        <v>3.3026648959323639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6.6</v>
      </c>
      <c r="AI62" s="14">
        <f>IF('Données projet'!$A$62&gt;35,AI61+AH62-AQ61,IF(A62&lt;'Données projet'!$A$62,$AF$205^A62,IF(A62='Données projet'!$A$62,'Données projet'!$B$62,AI61+AH62-AQ61)))</f>
        <v>265.40000000000015</v>
      </c>
      <c r="AJ62" s="14">
        <f>AI62*VLOOKUP('Données projet'!$B$10,Paramètres!$A$1:$I$89,3,0)*VLOOKUP('Données projet'!$B$10,Paramètres!$A$1:$I$89,5,0)</f>
        <v>231.85344000000018</v>
      </c>
      <c r="AK62" s="14">
        <f t="shared" si="35"/>
        <v>56.683251198403191</v>
      </c>
      <c r="AL62" s="22">
        <f t="shared" si="4"/>
        <v>502.53473717055255</v>
      </c>
      <c r="AM62" s="62">
        <f t="shared" si="5"/>
        <v>795.86807050388586</v>
      </c>
      <c r="AN62" s="62">
        <f ca="1">AVERAGE(OFFSET($AM$3,0,0,'Données projet'!$E$10+1,1))-AVERAGE(OFFSET($H$3,0,0,'Données projet'!$E$10+1,1))</f>
        <v>401.89597032936751</v>
      </c>
      <c r="AO62" s="62">
        <f t="shared" si="36"/>
        <v>417.85733543972361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206.39999999999995</v>
      </c>
      <c r="BE62" s="14">
        <f>BD62*VLOOKUP('Données projet'!$B$11,Paramètres!$A$1:$I$89,3,0)*VLOOKUP('Données projet'!$B$11,Paramètres!$A$1:$I$89,5,0)</f>
        <v>186.75071999999994</v>
      </c>
      <c r="BF62" s="14">
        <f t="shared" si="37"/>
        <v>46.820863587839391</v>
      </c>
      <c r="BG62" s="22">
        <f t="shared" si="7"/>
        <v>406.80384141548683</v>
      </c>
      <c r="BH62" s="62">
        <f t="shared" si="8"/>
        <v>700.13717474882014</v>
      </c>
      <c r="BI62" s="62">
        <f ca="1">AVERAGE(OFFSET($BH$3,0,0,'Données projet'!$E$11+1,1))-AVERAGE(OFFSET($H$3,0,0,'Données projet'!$E$11+1,1))</f>
        <v>430.40491895612814</v>
      </c>
      <c r="BJ62" s="62">
        <f t="shared" si="38"/>
        <v>231.36959598460686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4.8717948717948731</v>
      </c>
      <c r="BY62" s="13">
        <f>IF('Données projet'!$A$114&gt;35,BY61+BX62-CG61,IF(A62&lt;'Données projet'!$A$114,$BV$205^A62,IF(A62='Données projet'!$A$114,'Données projet'!$B$114,BY61+BX62-CG61)))</f>
        <v>195.12820512820505</v>
      </c>
      <c r="BZ62" s="14">
        <f>BY62*VLOOKUP('Données projet'!$B$12,Paramètres!$A$1:$I$89,3,0)*VLOOKUP('Données projet'!$B$12,Paramètres!$A$1:$I$89,5,0)</f>
        <v>185.68399999999991</v>
      </c>
      <c r="CA62" s="14">
        <f t="shared" si="39"/>
        <v>46.584474219718061</v>
      </c>
      <c r="CB62" s="22">
        <f t="shared" si="10"/>
        <v>404.5342592660088</v>
      </c>
      <c r="CC62" s="62">
        <f t="shared" si="11"/>
        <v>697.86759259934206</v>
      </c>
      <c r="CD62" s="62">
        <f ca="1">AVERAGE(OFFSET($CC$3,0,0,'Données projet'!$E$12+1,1))-AVERAGE(OFFSET($H$3,0,0,'Données projet'!$E$12+1,1))</f>
        <v>367.11183928586667</v>
      </c>
      <c r="CE62" s="62">
        <f t="shared" si="40"/>
        <v>281.52963027844595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20</v>
      </c>
      <c r="CT62" s="13">
        <f>IF('Données projet'!$A$140&gt;35,CT61+CS62-DB61,IF(A62&lt;'Données projet'!$A$140,$CQ$205^A62,IF(A62='Données projet'!$A$140,'Données projet'!$B$140,CT61+CS62-DB61)))</f>
        <v>447.99999999999966</v>
      </c>
      <c r="CU62" s="18">
        <f>CT62*VLOOKUP('Données projet'!$B$13,Paramètres!$A$1:$I$89,3,0)*VLOOKUP('Données projet'!$B$13,Paramètres!$A$1:$I$89,5,0)</f>
        <v>267.90399999999983</v>
      </c>
      <c r="CV62" s="14">
        <f t="shared" si="41"/>
        <v>64.40424363186321</v>
      </c>
      <c r="CW62" s="22">
        <f t="shared" si="13"/>
        <v>578.77019099216147</v>
      </c>
      <c r="CX62" s="62">
        <f t="shared" si="14"/>
        <v>872.10352432549485</v>
      </c>
      <c r="CY62" s="62">
        <f ca="1">AVERAGE(OFFSET($CX$3,0,0,'Données projet'!$E$13+1,1))-AVERAGE(OFFSET($H$3,0,0,'Données projet'!$E$13+1,1))</f>
        <v>308.47522272937135</v>
      </c>
      <c r="CZ62" s="62">
        <f t="shared" si="42"/>
        <v>302.54354650449721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1.7185321314788451</v>
      </c>
      <c r="DH62" s="23">
        <f>EXP(-LN(2)/2)*DH61+(1-EXP(-LN(2)/2))/(LN(2)/2)*DB62*DE62*VLOOKUP('Données projet'!$B$13,Paramètres!$A$1:$I$89,3,0)*0.475*44/12</f>
        <v>7.4550137317778054E-4</v>
      </c>
      <c r="DI62" s="24">
        <f t="shared" si="15"/>
        <v>1.719277632852023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6.2799999999999958</v>
      </c>
      <c r="DO62" s="13">
        <f>IF('Données projet'!$A$166&gt;35,DO61+DN62-DW61,IF(A62&lt;'Données projet'!$A$166,$DL$205^A62,IF(A62='Données projet'!$A$166,'Données projet'!$B$166,DO61+DN62-DW61)))</f>
        <v>303.71999999999986</v>
      </c>
      <c r="DP62" s="18">
        <f>DO62*VLOOKUP('Données projet'!$B$14,Paramètres!$A$1:$I$89,3,0)*VLOOKUP('Données projet'!$B$14,Paramètres!$A$1:$I$89,5,0)</f>
        <v>241.63963199999992</v>
      </c>
      <c r="DQ62" s="14">
        <f t="shared" si="43"/>
        <v>58.792165382566672</v>
      </c>
      <c r="DR62" s="22">
        <f t="shared" si="16"/>
        <v>523.25204710797016</v>
      </c>
      <c r="DS62" s="62">
        <f t="shared" si="17"/>
        <v>816.58538044130341</v>
      </c>
      <c r="DT62" s="62">
        <f ca="1">AVERAGE(OFFSET($DS$3,0,0,'Données projet'!$E$14+1,1))-AVERAGE(OFFSET($H$3,0,0,'Données projet'!$E$14+1,1))</f>
        <v>370.58277541710277</v>
      </c>
      <c r="DU62" s="62">
        <f t="shared" si="44"/>
        <v>404.61777090709171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9.75</v>
      </c>
      <c r="EJ62" s="13">
        <f>IF('Données projet'!$A$192&gt;35,EJ61+EI62-ER61,IF(A62&lt;'Données projet'!$A$192,$EG$205^A62,IF(A62='Données projet'!$A$192,'Données projet'!$B$192,EJ61+EI62-ER61)))</f>
        <v>294.25</v>
      </c>
      <c r="EK62" s="18">
        <f>EJ62*VLOOKUP('Données projet'!$B$15,Paramètres!$A$1:$I$89,3,0)*VLOOKUP('Données projet'!$B$15,Paramètres!$A$1:$I$89,5,0)</f>
        <v>183.61199999999999</v>
      </c>
      <c r="EL62" s="14">
        <f t="shared" si="45"/>
        <v>46.124858041839339</v>
      </c>
      <c r="EM62" s="22">
        <f t="shared" si="19"/>
        <v>400.12502775620351</v>
      </c>
      <c r="EN62" s="62">
        <f t="shared" si="20"/>
        <v>693.45836108953677</v>
      </c>
      <c r="EO62" s="62">
        <f ca="1">AVERAGE(OFFSET($EN$3,0,0,'Données projet'!$E$15+1,1))-AVERAGE(OFFSET($H$3,0,0,'Données projet'!$E$15+1,1))</f>
        <v>240.22884864766218</v>
      </c>
      <c r="EP62" s="62">
        <f t="shared" si="46"/>
        <v>343.23776884143166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4.6073537190419778</v>
      </c>
      <c r="EX62" s="23">
        <f>EXP(-LN(2)/2)*EX61+(1-EXP(-LN(2)/2))/(LN(2)/2)*ER62*EU62*VLOOKUP('Données projet'!$B$15,Paramètres!$A$1:$I$89,3,0)*0.475*44/12</f>
        <v>7.1292538788202305E-4</v>
      </c>
      <c r="EY62" s="24">
        <f t="shared" si="21"/>
        <v>4.6080666444298597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22.7</v>
      </c>
      <c r="FE62" s="13">
        <f>IF('Données projet'!$A$218&gt;35,FE61+FD62-FM61,IF(A62&lt;'Données projet'!$A$218,$FB$205^A62,IF(A62='Données projet'!$A$218,'Données projet'!$B$218,FE61+FD62-FM61)))</f>
        <v>493.29999999999967</v>
      </c>
      <c r="FF62" s="18">
        <f>FE62*VLOOKUP('Données projet'!$B$16,Paramètres!$A$1:$I$89,3,0)*VLOOKUP('Données projet'!$B$16,Paramètres!$A$1:$I$89,5,0)</f>
        <v>230.86439999999985</v>
      </c>
      <c r="FG62" s="14">
        <f t="shared" si="47"/>
        <v>56.469544196332308</v>
      </c>
      <c r="FH62" s="22">
        <f t="shared" si="22"/>
        <v>500.43995280861185</v>
      </c>
      <c r="FI62" s="62">
        <f t="shared" si="23"/>
        <v>793.77328614194516</v>
      </c>
      <c r="FJ62" s="62">
        <f ca="1">AVERAGE(OFFSET($FI$3,0,0,'Données projet'!$E$16+1,1))-AVERAGE(OFFSET($H$3,0,0,'Données projet'!$E$16+1,1))</f>
        <v>399.92909819003523</v>
      </c>
      <c r="FK62" s="62">
        <f t="shared" si="48"/>
        <v>163.7053537268381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6.2799999999999958</v>
      </c>
      <c r="FZ62" s="13">
        <f>IF('Données projet'!$A$244&gt;35,FZ61+FY62-GH61,IF(A62&lt;'Données projet'!$A$244,$FW$205^A62,IF(A62='Données projet'!$A$244,'Données projet'!$B$244,FZ61+FY62-GH61)))</f>
        <v>303.71999999999986</v>
      </c>
      <c r="GA62" s="18">
        <f>FZ62*VLOOKUP('Données projet'!$B$17,Paramètres!$A$1:$I$89,3,0)*VLOOKUP('Données projet'!$B$17,Paramètres!$A$1:$I$89,5,0)</f>
        <v>222.68750399999988</v>
      </c>
      <c r="GB62" s="14">
        <f t="shared" si="49"/>
        <v>54.698588025346766</v>
      </c>
      <c r="GC62" s="22">
        <f t="shared" si="25"/>
        <v>483.1141102774788</v>
      </c>
      <c r="GD62" s="62">
        <f t="shared" si="26"/>
        <v>776.44744361081212</v>
      </c>
      <c r="GE62" s="62">
        <f ca="1">AVERAGE(OFFSET($GD$3,0,0,'Données projet'!$E$17+1,1))-AVERAGE(OFFSET($H$3,0,0,'Données projet'!$E$17+1,1))</f>
        <v>344.4426665022238</v>
      </c>
      <c r="GF62" s="62">
        <f t="shared" si="50"/>
        <v>376.41441893222185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16.100000000000001</v>
      </c>
      <c r="GU62" s="13">
        <f>IF('Données projet'!$A$270&gt;35,GU61+GT62-HC61,IF(A62&lt;'Données projet'!$A$270,$GR$205^A62,IF(A62='Données projet'!$A$270,'Données projet'!$B$270,GU61+GT62-HC61)))</f>
        <v>419.9000000000002</v>
      </c>
      <c r="GV62" s="18">
        <f>GU62*VLOOKUP('Données projet'!$B$18,Paramètres!$A$1:$I$89,3,0)*VLOOKUP('Données projet'!$B$18,Paramètres!$A$1:$I$89,5,0)</f>
        <v>201.97190000000012</v>
      </c>
      <c r="GW62" s="14">
        <f t="shared" si="51"/>
        <v>50.17728389542318</v>
      </c>
      <c r="GX62" s="22">
        <f t="shared" si="28"/>
        <v>439.15982861786227</v>
      </c>
      <c r="GY62" s="62">
        <f t="shared" si="29"/>
        <v>732.49316195119559</v>
      </c>
      <c r="GZ62" s="62">
        <f ca="1">AVERAGE(OFFSET($GY$3,0,0,'Données projet'!$E$18+1,1))-AVERAGE(OFFSET($H$3,0,0,'Données projet'!$E$18+1,1))</f>
        <v>441.17479680509746</v>
      </c>
      <c r="HA62" s="62">
        <f t="shared" si="52"/>
        <v>198.56576128410069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15.571428571428571</v>
      </c>
      <c r="N63" s="14">
        <f>IF('Données projet'!$A$36&gt;35,N62+M63-V62,IF(A63&lt;'Données projet'!$A$36,$K$205^A63,IF(A63='Données projet'!$A$36,'Données projet'!$B$36,N62+M63-V62)))</f>
        <v>491.28571428571399</v>
      </c>
      <c r="O63" s="14">
        <f>N63*VLOOKUP('Données projet'!$B$9,Paramètres!$A$1:$I$89,3,0)*VLOOKUP('Données projet'!$B$9,Paramètres!$A$1:$I$89,5,0)</f>
        <v>274.62871428571412</v>
      </c>
      <c r="P63" s="14">
        <f t="shared" si="33"/>
        <v>65.830625361909483</v>
      </c>
      <c r="Q63" s="22">
        <f t="shared" si="53"/>
        <v>592.96668321961113</v>
      </c>
      <c r="R63" s="62">
        <f t="shared" si="0"/>
        <v>886.3000165529445</v>
      </c>
      <c r="S63" s="62">
        <f ca="1">AVERAGE(OFFSET($R$3,0,0,'Données projet'!$E$9+1,1))-AVERAGE(OFFSET($H$3,0,0,'Données projet'!$E$9+1,1))</f>
        <v>374.79806286316051</v>
      </c>
      <c r="T63" s="62">
        <f t="shared" si="34"/>
        <v>350.01856672839466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3.2119762838026338</v>
      </c>
      <c r="AB63" s="23">
        <f>EXP(-LN(2)/2)*AB62+(1-EXP(-LN(2)/2))/(LN(2)/2)*V63*Y63*VLOOKUP('Données projet'!$B$9,Paramètres!$A$1:$I$89,3,0)*0.475*44/12</f>
        <v>2.741224337118503E-4</v>
      </c>
      <c r="AC63" s="24">
        <f t="shared" si="3"/>
        <v>3.2122504062363455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272</v>
      </c>
      <c r="AG63" s="13">
        <f>VLOOKUP(A63,'Données projet'!$A$61:$I$81,9,0)</f>
        <v>6.6</v>
      </c>
      <c r="AH63" s="13">
        <f t="array" ref="AH63">INDEX(AG:AG,MIN(IF(ISNUMBER(AG63:AG259),ROW(AG63:AG259),"")))</f>
        <v>6.6</v>
      </c>
      <c r="AI63" s="14">
        <f>IF('Données projet'!$A$62&gt;35,AI62+AH63-AQ62,IF(A63&lt;'Données projet'!$A$62,$AF$205^A63,IF(A63='Données projet'!$A$62,'Données projet'!$B$62,AI62+AH63-AQ62)))</f>
        <v>272.00000000000017</v>
      </c>
      <c r="AJ63" s="14">
        <f>AI63*VLOOKUP('Données projet'!$B$10,Paramètres!$A$1:$I$89,3,0)*VLOOKUP('Données projet'!$B$10,Paramètres!$A$1:$I$89,5,0)</f>
        <v>237.61920000000018</v>
      </c>
      <c r="AK63" s="14">
        <f t="shared" si="35"/>
        <v>57.926992927794167</v>
      </c>
      <c r="AL63" s="22">
        <f t="shared" si="4"/>
        <v>514.74295268257515</v>
      </c>
      <c r="AM63" s="62">
        <f t="shared" si="5"/>
        <v>808.07628601590841</v>
      </c>
      <c r="AN63" s="62">
        <f ca="1">AVERAGE(OFFSET($AM$3,0,0,'Données projet'!$E$10+1,1))-AVERAGE(OFFSET($H$3,0,0,'Données projet'!$E$10+1,1))</f>
        <v>401.89597032936751</v>
      </c>
      <c r="AO63" s="62">
        <f t="shared" si="36"/>
        <v>417.85733543972361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50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213.99999999999994</v>
      </c>
      <c r="BE63" s="14">
        <f>BD63*VLOOKUP('Données projet'!$B$11,Paramètres!$A$1:$I$89,3,0)*VLOOKUP('Données projet'!$B$11,Paramètres!$A$1:$I$89,5,0)</f>
        <v>193.62719999999996</v>
      </c>
      <c r="BF63" s="14">
        <f t="shared" si="37"/>
        <v>48.340990547231193</v>
      </c>
      <c r="BG63" s="22">
        <f t="shared" si="7"/>
        <v>421.42793186976087</v>
      </c>
      <c r="BH63" s="62">
        <f t="shared" si="8"/>
        <v>714.76126520309413</v>
      </c>
      <c r="BI63" s="62">
        <f ca="1">AVERAGE(OFFSET($BH$3,0,0,'Données projet'!$E$11+1,1))-AVERAGE(OFFSET($H$3,0,0,'Données projet'!$E$11+1,1))</f>
        <v>430.40491895612814</v>
      </c>
      <c r="BJ63" s="62">
        <f t="shared" si="38"/>
        <v>231.36959598460686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200</v>
      </c>
      <c r="BW63" s="13">
        <f>VLOOKUP(A63,'Données projet'!$A$113:$I$133,9,0)</f>
        <v>4.8717948717948731</v>
      </c>
      <c r="BX63" s="13">
        <f t="array" ref="BX63">INDEX(BW:BW,MIN(IF(ISNUMBER(BW63:BW259),ROW(BW63:BW259),"")))</f>
        <v>4.8717948717948731</v>
      </c>
      <c r="BY63" s="13">
        <f>IF('Données projet'!$A$114&gt;35,BY62+BX63-CG62,IF(A63&lt;'Données projet'!$A$114,$BV$205^A63,IF(A63='Données projet'!$A$114,'Données projet'!$B$114,BY62+BX63-CG62)))</f>
        <v>199.99999999999991</v>
      </c>
      <c r="BZ63" s="14">
        <f>BY63*VLOOKUP('Données projet'!$B$12,Paramètres!$A$1:$I$89,3,0)*VLOOKUP('Données projet'!$B$12,Paramètres!$A$1:$I$89,5,0)</f>
        <v>190.31999999999991</v>
      </c>
      <c r="CA63" s="14">
        <f t="shared" si="39"/>
        <v>47.61069337740188</v>
      </c>
      <c r="CB63" s="22">
        <f t="shared" si="10"/>
        <v>414.39595763230813</v>
      </c>
      <c r="CC63" s="62">
        <f t="shared" si="11"/>
        <v>707.72929096564144</v>
      </c>
      <c r="CD63" s="62">
        <f ca="1">AVERAGE(OFFSET($CC$3,0,0,'Données projet'!$E$12+1,1))-AVERAGE(OFFSET($H$3,0,0,'Données projet'!$E$12+1,1))</f>
        <v>367.11183928586667</v>
      </c>
      <c r="CE63" s="62">
        <f t="shared" si="40"/>
        <v>281.52963027844595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29.487179487179485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468</v>
      </c>
      <c r="CR63" s="13">
        <f>VLOOKUP(A63,'Données projet'!$A$139:$I$159,9,0)</f>
        <v>20</v>
      </c>
      <c r="CS63" s="13">
        <f t="array" ref="CS63">INDEX(CR:CR,MIN(IF(ISNUMBER(CR63:CR259),ROW(CR63:CR259),"")))</f>
        <v>20</v>
      </c>
      <c r="CT63" s="13">
        <f>IF('Données projet'!$A$140&gt;35,CT62+CS63-DB62,IF(A63&lt;'Données projet'!$A$140,$CQ$205^A63,IF(A63='Données projet'!$A$140,'Données projet'!$B$140,CT62+CS63-DB62)))</f>
        <v>467.99999999999966</v>
      </c>
      <c r="CU63" s="18">
        <f>CT63*VLOOKUP('Données projet'!$B$13,Paramètres!$A$1:$I$89,3,0)*VLOOKUP('Données projet'!$B$13,Paramètres!$A$1:$I$89,5,0)</f>
        <v>279.86399999999981</v>
      </c>
      <c r="CV63" s="14">
        <f t="shared" si="41"/>
        <v>66.938267358965007</v>
      </c>
      <c r="CW63" s="22">
        <f t="shared" si="13"/>
        <v>604.01394898353021</v>
      </c>
      <c r="CX63" s="62">
        <f t="shared" si="14"/>
        <v>897.34728231686358</v>
      </c>
      <c r="CY63" s="62">
        <f ca="1">AVERAGE(OFFSET($CX$3,0,0,'Données projet'!$E$13+1,1))-AVERAGE(OFFSET($H$3,0,0,'Données projet'!$E$13+1,1))</f>
        <v>308.47522272937135</v>
      </c>
      <c r="CZ63" s="62">
        <f t="shared" si="42"/>
        <v>302.54354650449721</v>
      </c>
      <c r="DA63" s="16">
        <f>IF(ISNA(VLOOKUP(A63,'Données projet'!$A$139:$I$159,3,0)),0,VLOOKUP(A63,'Données projet'!$A$139:$I$159,3,0))</f>
        <v>10</v>
      </c>
      <c r="DB63" s="16">
        <f>IF(ISNA(VLOOKUP(A63,'Données projet'!$A$139:$I$159,4,0)),0,VLOOKUP(A63,'Données projet'!$A$139:$I$159,4,0))</f>
        <v>32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1.6715387799698791</v>
      </c>
      <c r="DH63" s="23">
        <f>EXP(-LN(2)/2)*DH62+(1-EXP(-LN(2)/2))/(LN(2)/2)*DB63*DE63*VLOOKUP('Données projet'!$B$13,Paramètres!$A$1:$I$89,3,0)*0.475*44/12</f>
        <v>5.2714907635789156E-4</v>
      </c>
      <c r="DI63" s="24">
        <f t="shared" si="15"/>
        <v>1.672065929046237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310</v>
      </c>
      <c r="DM63" s="13">
        <f>VLOOKUP(A63,'Données projet'!$A$165:$I$185,9,0)</f>
        <v>6.2799999999999958</v>
      </c>
      <c r="DN63" s="13">
        <f t="array" ref="DN63">INDEX(DM:DM,MIN(IF(ISNUMBER(DM63:DM259),ROW(DM63:DM259),"")))</f>
        <v>6.2799999999999958</v>
      </c>
      <c r="DO63" s="13">
        <f>IF('Données projet'!$A$166&gt;35,DO62+DN63-DW62,IF(A63&lt;'Données projet'!$A$166,$DL$205^A63,IF(A63='Données projet'!$A$166,'Données projet'!$B$166,DO62+DN63-DW62)))</f>
        <v>309.99999999999983</v>
      </c>
      <c r="DP63" s="18">
        <f>DO63*VLOOKUP('Données projet'!$B$14,Paramètres!$A$1:$I$89,3,0)*VLOOKUP('Données projet'!$B$14,Paramètres!$A$1:$I$89,5,0)</f>
        <v>246.63599999999985</v>
      </c>
      <c r="DQ63" s="14">
        <f t="shared" si="43"/>
        <v>59.865023903294535</v>
      </c>
      <c r="DR63" s="22">
        <f t="shared" si="16"/>
        <v>533.8226166315709</v>
      </c>
      <c r="DS63" s="62">
        <f t="shared" si="17"/>
        <v>827.15594996490427</v>
      </c>
      <c r="DT63" s="62">
        <f ca="1">AVERAGE(OFFSET($DS$3,0,0,'Données projet'!$E$14+1,1))-AVERAGE(OFFSET($H$3,0,0,'Données projet'!$E$14+1,1))</f>
        <v>370.58277541710277</v>
      </c>
      <c r="DU63" s="62">
        <f t="shared" si="44"/>
        <v>404.61777090709171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30.2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304</v>
      </c>
      <c r="EH63" s="13">
        <f>VLOOKUP(A63,'Données projet'!$A$191:$I$211,9,0)</f>
        <v>9.75</v>
      </c>
      <c r="EI63" s="13">
        <f t="array" ref="EI63">INDEX(EH:EH,MIN(IF(ISNUMBER(EH63:EH259),ROW(EH63:EH259),"")))</f>
        <v>9.75</v>
      </c>
      <c r="EJ63" s="13">
        <f>IF('Données projet'!$A$192&gt;35,EJ62+EI63-ER62,IF(A63&lt;'Données projet'!$A$192,$EG$205^A63,IF(A63='Données projet'!$A$192,'Données projet'!$B$192,EJ62+EI63-ER62)))</f>
        <v>304</v>
      </c>
      <c r="EK63" s="18">
        <f>EJ63*VLOOKUP('Données projet'!$B$15,Paramètres!$A$1:$I$89,3,0)*VLOOKUP('Données projet'!$B$15,Paramètres!$A$1:$I$89,5,0)</f>
        <v>189.696</v>
      </c>
      <c r="EL63" s="14">
        <f t="shared" si="45"/>
        <v>47.472736505152469</v>
      </c>
      <c r="EM63" s="22">
        <f t="shared" si="19"/>
        <v>413.06888274647389</v>
      </c>
      <c r="EN63" s="62">
        <f t="shared" si="20"/>
        <v>706.4022160798072</v>
      </c>
      <c r="EO63" s="62">
        <f ca="1">AVERAGE(OFFSET($EN$3,0,0,'Données projet'!$E$15+1,1))-AVERAGE(OFFSET($H$3,0,0,'Données projet'!$E$15+1,1))</f>
        <v>240.22884864766218</v>
      </c>
      <c r="EP63" s="62">
        <f t="shared" si="46"/>
        <v>343.23776884143166</v>
      </c>
      <c r="EQ63" s="16">
        <f>IF(ISNA(VLOOKUP(A63,'Données projet'!$A$191:$I$211,3,0)),0,VLOOKUP(A63,'Données projet'!$A$191:$I$211,3,0))</f>
        <v>8</v>
      </c>
      <c r="ER63" s="16">
        <f>IF(ISNA(VLOOKUP(A63,'Données projet'!$A$191:$I$211,4,0)),0,VLOOKUP(A63,'Données projet'!$A$191:$I$211,4,0))</f>
        <v>304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4.4813653893045728</v>
      </c>
      <c r="EX63" s="23">
        <f>EXP(-LN(2)/2)*EX62+(1-EXP(-LN(2)/2))/(LN(2)/2)*ER63*EU63*VLOOKUP('Données projet'!$B$15,Paramètres!$A$1:$I$89,3,0)*0.475*44/12</f>
        <v>5.0411437625142819E-4</v>
      </c>
      <c r="EY63" s="24">
        <f t="shared" si="21"/>
        <v>4.4818695036808247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516</v>
      </c>
      <c r="FC63" s="13">
        <f>VLOOKUP(A63,'Données projet'!$A$217:$I$237,9,0)</f>
        <v>22.7</v>
      </c>
      <c r="FD63" s="13">
        <f t="array" ref="FD63">INDEX(FC:FC,MIN(IF(ISNUMBER(FC63:FC259),ROW(FC63:FC259),"")))</f>
        <v>22.7</v>
      </c>
      <c r="FE63" s="13">
        <f>IF('Données projet'!$A$218&gt;35,FE62+FD63-FM62,IF(A63&lt;'Données projet'!$A$218,$FB$205^A63,IF(A63='Données projet'!$A$218,'Données projet'!$B$218,FE62+FD63-FM62)))</f>
        <v>515.99999999999966</v>
      </c>
      <c r="FF63" s="18">
        <f>FE63*VLOOKUP('Données projet'!$B$16,Paramètres!$A$1:$I$89,3,0)*VLOOKUP('Données projet'!$B$16,Paramètres!$A$1:$I$89,5,0)</f>
        <v>241.48799999999986</v>
      </c>
      <c r="FG63" s="14">
        <f t="shared" si="47"/>
        <v>58.759565673424916</v>
      </c>
      <c r="FH63" s="22">
        <f t="shared" si="22"/>
        <v>522.93117688121481</v>
      </c>
      <c r="FI63" s="62">
        <f t="shared" si="23"/>
        <v>816.26451021454818</v>
      </c>
      <c r="FJ63" s="62">
        <f ca="1">AVERAGE(OFFSET($FI$3,0,0,'Données projet'!$E$16+1,1))-AVERAGE(OFFSET($H$3,0,0,'Données projet'!$E$16+1,1))</f>
        <v>399.92909819003523</v>
      </c>
      <c r="FK63" s="62">
        <f t="shared" si="48"/>
        <v>163.7053537268381</v>
      </c>
      <c r="FL63" s="16">
        <f>IF(ISNA(VLOOKUP(A63,'Données projet'!$A$217:$I$237,3,0)),0,VLOOKUP(A63,'Données projet'!$A$217:$I$237,3,0))</f>
        <v>3</v>
      </c>
      <c r="FM63" s="16">
        <f>IF(ISNA(VLOOKUP(A63,'Données projet'!$A$217:$I$237,4,0)),0,VLOOKUP(A63,'Données projet'!$A$217:$I$237,4,0))</f>
        <v>112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310</v>
      </c>
      <c r="FX63" s="13">
        <f>VLOOKUP(A63,'Données projet'!$A$243:$I$263,9,0)</f>
        <v>6.2799999999999958</v>
      </c>
      <c r="FY63" s="13">
        <f t="array" ref="FY63">INDEX(FX:FX,MIN(IF(ISNUMBER(FX63:FX259),ROW(FX63:FX259),"")))</f>
        <v>6.2799999999999958</v>
      </c>
      <c r="FZ63" s="13">
        <f>IF('Données projet'!$A$244&gt;35,FZ62+FY63-GH62,IF(A63&lt;'Données projet'!$A$244,$FW$205^A63,IF(A63='Données projet'!$A$244,'Données projet'!$B$244,FZ62+FY63-GH62)))</f>
        <v>309.99999999999983</v>
      </c>
      <c r="GA63" s="18">
        <f>FZ63*VLOOKUP('Données projet'!$B$17,Paramètres!$A$1:$I$89,3,0)*VLOOKUP('Données projet'!$B$17,Paramètres!$A$1:$I$89,5,0)</f>
        <v>227.29199999999986</v>
      </c>
      <c r="GB63" s="14">
        <f t="shared" si="49"/>
        <v>55.69674561748365</v>
      </c>
      <c r="GC63" s="22">
        <f t="shared" si="25"/>
        <v>492.8720652837838</v>
      </c>
      <c r="GD63" s="62">
        <f t="shared" si="26"/>
        <v>786.20539861711711</v>
      </c>
      <c r="GE63" s="62">
        <f ca="1">AVERAGE(OFFSET($GD$3,0,0,'Données projet'!$E$17+1,1))-AVERAGE(OFFSET($H$3,0,0,'Données projet'!$E$17+1,1))</f>
        <v>344.4426665022238</v>
      </c>
      <c r="GF63" s="62">
        <f t="shared" si="50"/>
        <v>376.41441893222185</v>
      </c>
      <c r="GG63" s="16">
        <f>IF(ISNA(VLOOKUP(A63,'Données projet'!$A$243:$I$263,3,0)),0,VLOOKUP(A63,'Données projet'!$A$243:$I$263,3,0))</f>
        <v>5</v>
      </c>
      <c r="GH63" s="16">
        <f>IF(ISNA(VLOOKUP(A63,'Données projet'!$A$243:$I$263,4,0)),0,VLOOKUP(A63,'Données projet'!$A$243:$I$263,4,0))</f>
        <v>30.2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436</v>
      </c>
      <c r="GS63" s="13">
        <f>VLOOKUP(A63,'Données projet'!$A$269:$I$289,9,0)</f>
        <v>16.100000000000001</v>
      </c>
      <c r="GT63" s="13">
        <f t="array" ref="GT63">INDEX(GS:GS,MIN(IF(ISNUMBER(GS63:GS259),ROW(GS63:GS259),"")))</f>
        <v>16.100000000000001</v>
      </c>
      <c r="GU63" s="13">
        <f>IF('Données projet'!$A$270&gt;35,GU62+GT63-HC62,IF(A63&lt;'Données projet'!$A$270,$GR$205^A63,IF(A63='Données projet'!$A$270,'Données projet'!$B$270,GU62+GT63-HC62)))</f>
        <v>436.00000000000023</v>
      </c>
      <c r="GV63" s="18">
        <f>GU63*VLOOKUP('Données projet'!$B$18,Paramètres!$A$1:$I$89,3,0)*VLOOKUP('Données projet'!$B$18,Paramètres!$A$1:$I$89,5,0)</f>
        <v>209.71600000000012</v>
      </c>
      <c r="GW63" s="14">
        <f t="shared" si="51"/>
        <v>51.873519665760945</v>
      </c>
      <c r="GX63" s="22">
        <f t="shared" si="28"/>
        <v>455.60174675120055</v>
      </c>
      <c r="GY63" s="62">
        <f t="shared" si="29"/>
        <v>748.93508008453387</v>
      </c>
      <c r="GZ63" s="62">
        <f ca="1">AVERAGE(OFFSET($GY$3,0,0,'Données projet'!$E$18+1,1))-AVERAGE(OFFSET($H$3,0,0,'Données projet'!$E$18+1,1))</f>
        <v>441.17479680509746</v>
      </c>
      <c r="HA63" s="62">
        <f t="shared" si="52"/>
        <v>198.56576128410069</v>
      </c>
      <c r="HB63" s="16">
        <f>IF(ISNA(VLOOKUP(A63,'Données projet'!$A$269:$I$289,3,0)),0,VLOOKUP(A63,'Données projet'!$A$269:$I$289,3,0))</f>
        <v>3</v>
      </c>
      <c r="HC63" s="16">
        <f>IF(ISNA(VLOOKUP(A63,'Données projet'!$A$269:$I$289,4,0)),0,VLOOKUP(A63,'Données projet'!$A$269:$I$289,4,0))</f>
        <v>65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15.571428571428571</v>
      </c>
      <c r="N64" s="14">
        <f>IF('Données projet'!$A$36&gt;35,N63+M64-V63,IF(A64&lt;'Données projet'!$A$36,$K$205^A64,IF(A64='Données projet'!$A$36,'Données projet'!$B$36,N63+M64-V63)))</f>
        <v>506.85714285714255</v>
      </c>
      <c r="O64" s="14">
        <f>N64*VLOOKUP('Données projet'!$B$9,Paramètres!$A$1:$I$89,3,0)*VLOOKUP('Données projet'!$B$9,Paramètres!$A$1:$I$89,5,0)</f>
        <v>283.33314285714266</v>
      </c>
      <c r="P64" s="14">
        <f t="shared" si="33"/>
        <v>67.670911918680105</v>
      </c>
      <c r="Q64" s="22">
        <f t="shared" si="53"/>
        <v>611.33206206789123</v>
      </c>
      <c r="R64" s="62">
        <f t="shared" si="0"/>
        <v>904.66539540122449</v>
      </c>
      <c r="S64" s="62">
        <f ca="1">AVERAGE(OFFSET($R$3,0,0,'Données projet'!$E$9+1,1))-AVERAGE(OFFSET($H$3,0,0,'Données projet'!$E$9+1,1))</f>
        <v>374.79806286316051</v>
      </c>
      <c r="T64" s="62">
        <f t="shared" si="34"/>
        <v>350.01856672839466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3.1241446234115591</v>
      </c>
      <c r="AB64" s="23">
        <f>EXP(-LN(2)/2)*AB63+(1-EXP(-LN(2)/2))/(LN(2)/2)*V64*Y64*VLOOKUP('Données projet'!$B$9,Paramètres!$A$1:$I$89,3,0)*0.475*44/12</f>
        <v>1.9383383175300921E-4</v>
      </c>
      <c r="AC64" s="24">
        <f t="shared" si="3"/>
        <v>3.1243384572433119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</v>
      </c>
      <c r="AI64" s="14">
        <f>IF('Données projet'!$A$62&gt;35,AI63+AH64-AQ63,IF(A64&lt;'Données projet'!$A$62,$AF$205^A64,IF(A64='Données projet'!$A$62,'Données projet'!$B$62,AI63+AH64-AQ63)))</f>
        <v>228.00000000000017</v>
      </c>
      <c r="AJ64" s="14">
        <f>AI64*VLOOKUP('Données projet'!$B$10,Paramètres!$A$1:$I$89,3,0)*VLOOKUP('Données projet'!$B$10,Paramètres!$A$1:$I$89,5,0)</f>
        <v>199.18080000000018</v>
      </c>
      <c r="AK64" s="14">
        <f t="shared" si="35"/>
        <v>49.564089376413726</v>
      </c>
      <c r="AL64" s="22">
        <f t="shared" si="4"/>
        <v>433.23068233058757</v>
      </c>
      <c r="AM64" s="62">
        <f t="shared" si="5"/>
        <v>726.56401566392083</v>
      </c>
      <c r="AN64" s="62">
        <f ca="1">AVERAGE(OFFSET($AM$3,0,0,'Données projet'!$E$10+1,1))-AVERAGE(OFFSET($H$3,0,0,'Données projet'!$E$10+1,1))</f>
        <v>401.89597032936751</v>
      </c>
      <c r="AO64" s="62">
        <f t="shared" si="36"/>
        <v>417.85733543972361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221.19999999999993</v>
      </c>
      <c r="BE64" s="14">
        <f>BD64*VLOOKUP('Données projet'!$B$11,Paramètres!$A$1:$I$89,3,0)*VLOOKUP('Données projet'!$B$11,Paramètres!$A$1:$I$89,5,0)</f>
        <v>200.14175999999995</v>
      </c>
      <c r="BF64" s="14">
        <f t="shared" si="37"/>
        <v>49.775320997880847</v>
      </c>
      <c r="BG64" s="22">
        <f t="shared" si="7"/>
        <v>435.27224940464231</v>
      </c>
      <c r="BH64" s="62">
        <f t="shared" si="8"/>
        <v>728.60558273797562</v>
      </c>
      <c r="BI64" s="62">
        <f ca="1">AVERAGE(OFFSET($BH$3,0,0,'Données projet'!$E$11+1,1))-AVERAGE(OFFSET($H$3,0,0,'Données projet'!$E$11+1,1))</f>
        <v>430.40491895612814</v>
      </c>
      <c r="BJ64" s="62">
        <f t="shared" si="38"/>
        <v>231.36959598460686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4.6153846153846132</v>
      </c>
      <c r="BY64" s="13">
        <f>IF('Données projet'!$A$114&gt;35,BY63+BX64-CG63,IF(A64&lt;'Données projet'!$A$114,$BV$205^A64,IF(A64='Données projet'!$A$114,'Données projet'!$B$114,BY63+BX64-CG63)))</f>
        <v>175.12820512820505</v>
      </c>
      <c r="BZ64" s="14">
        <f>BY64*VLOOKUP('Données projet'!$B$12,Paramètres!$A$1:$I$89,3,0)*VLOOKUP('Données projet'!$B$12,Paramètres!$A$1:$I$89,5,0)</f>
        <v>166.65199999999993</v>
      </c>
      <c r="CA64" s="14">
        <f t="shared" si="39"/>
        <v>42.339317127801309</v>
      </c>
      <c r="CB64" s="22">
        <f t="shared" si="10"/>
        <v>363.99321066425381</v>
      </c>
      <c r="CC64" s="62">
        <f t="shared" si="11"/>
        <v>657.32654399758712</v>
      </c>
      <c r="CD64" s="62">
        <f ca="1">AVERAGE(OFFSET($CC$3,0,0,'Données projet'!$E$12+1,1))-AVERAGE(OFFSET($H$3,0,0,'Données projet'!$E$12+1,1))</f>
        <v>367.11183928586667</v>
      </c>
      <c r="CE64" s="62">
        <f t="shared" si="40"/>
        <v>281.52963027844595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18.2</v>
      </c>
      <c r="CT64" s="13">
        <f>IF('Données projet'!$A$140&gt;35,CT63+CS64-DB63,IF(A64&lt;'Données projet'!$A$140,$CQ$205^A64,IF(A64='Données projet'!$A$140,'Données projet'!$B$140,CT63+CS64-DB63)))</f>
        <v>454.19999999999965</v>
      </c>
      <c r="CU64" s="18">
        <f>CT64*VLOOKUP('Données projet'!$B$13,Paramètres!$A$1:$I$89,3,0)*VLOOKUP('Données projet'!$B$13,Paramètres!$A$1:$I$89,5,0)</f>
        <v>271.61159999999978</v>
      </c>
      <c r="CV64" s="14">
        <f t="shared" si="41"/>
        <v>65.19117293011513</v>
      </c>
      <c r="CW64" s="22">
        <f t="shared" si="13"/>
        <v>586.59816285328338</v>
      </c>
      <c r="CX64" s="62">
        <f t="shared" si="14"/>
        <v>879.93149618661664</v>
      </c>
      <c r="CY64" s="62">
        <f ca="1">AVERAGE(OFFSET($CX$3,0,0,'Données projet'!$E$13+1,1))-AVERAGE(OFFSET($H$3,0,0,'Données projet'!$E$13+1,1))</f>
        <v>308.47522272937135</v>
      </c>
      <c r="CZ64" s="62">
        <f t="shared" si="42"/>
        <v>302.54354650449721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1.6258304641291987</v>
      </c>
      <c r="DH64" s="23">
        <f>EXP(-LN(2)/2)*DH63+(1-EXP(-LN(2)/2))/(LN(2)/2)*DB64*DE64*VLOOKUP('Données projet'!$B$13,Paramètres!$A$1:$I$89,3,0)*0.475*44/12</f>
        <v>3.7275068658889027E-4</v>
      </c>
      <c r="DI64" s="24">
        <f t="shared" si="15"/>
        <v>1.6262032148157877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5.2399999999999975</v>
      </c>
      <c r="DO64" s="13">
        <f>IF('Données projet'!$A$166&gt;35,DO63+DN64-DW63,IF(A64&lt;'Données projet'!$A$166,$DL$205^A64,IF(A64='Données projet'!$A$166,'Données projet'!$B$166,DO63+DN64-DW63)))</f>
        <v>285.03999999999985</v>
      </c>
      <c r="DP64" s="18">
        <f>DO64*VLOOKUP('Données projet'!$B$14,Paramètres!$A$1:$I$89,3,0)*VLOOKUP('Données projet'!$B$14,Paramètres!$A$1:$I$89,5,0)</f>
        <v>226.7778239999999</v>
      </c>
      <c r="DQ64" s="14">
        <f t="shared" si="43"/>
        <v>55.585400699018884</v>
      </c>
      <c r="DR64" s="22">
        <f t="shared" si="16"/>
        <v>491.78261635079099</v>
      </c>
      <c r="DS64" s="62">
        <f t="shared" si="17"/>
        <v>785.1159496841243</v>
      </c>
      <c r="DT64" s="62">
        <f ca="1">AVERAGE(OFFSET($DS$3,0,0,'Données projet'!$E$14+1,1))-AVERAGE(OFFSET($H$3,0,0,'Données projet'!$E$14+1,1))</f>
        <v>370.58277541710277</v>
      </c>
      <c r="DU64" s="62">
        <f t="shared" si="44"/>
        <v>404.61777090709171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>
        <f>EJ64*VLOOKUP('Données projet'!$B$15,Paramètres!$A$1:$I$89,3,0)*VLOOKUP('Données projet'!$B$15,Paramètres!$A$1:$I$89,5,0)</f>
        <v>0</v>
      </c>
      <c r="EL64" s="14" t="e">
        <f t="shared" si="45"/>
        <v>#NUM!</v>
      </c>
      <c r="EM64" s="22" t="e">
        <f t="shared" si="19"/>
        <v>#NUM!</v>
      </c>
      <c r="EN64" s="62" t="e">
        <f t="shared" si="20"/>
        <v>#NUM!</v>
      </c>
      <c r="EO64" s="62">
        <f ca="1">AVERAGE(OFFSET($EN$3,0,0,'Données projet'!$E$15+1,1))-AVERAGE(OFFSET($H$3,0,0,'Données projet'!$E$15+1,1))</f>
        <v>240.22884864766218</v>
      </c>
      <c r="EP64" s="62">
        <f t="shared" si="46"/>
        <v>343.23776884143166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4.3588222170692754</v>
      </c>
      <c r="EX64" s="23">
        <f>EXP(-LN(2)/2)*EX63+(1-EXP(-LN(2)/2))/(LN(2)/2)*ER64*EU64*VLOOKUP('Données projet'!$B$15,Paramètres!$A$1:$I$89,3,0)*0.475*44/12</f>
        <v>3.5646269394101152E-4</v>
      </c>
      <c r="EY64" s="24">
        <f t="shared" si="21"/>
        <v>4.3591786797632164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22.7</v>
      </c>
      <c r="FE64" s="13">
        <f>IF('Données projet'!$A$218&gt;35,FE63+FD64-FM63,IF(A64&lt;'Données projet'!$A$218,$FB$205^A64,IF(A64='Données projet'!$A$218,'Données projet'!$B$218,FE63+FD64-FM63)))</f>
        <v>426.6999999999997</v>
      </c>
      <c r="FF64" s="18">
        <f>FE64*VLOOKUP('Données projet'!$B$16,Paramètres!$A$1:$I$89,3,0)*VLOOKUP('Données projet'!$B$16,Paramètres!$A$1:$I$89,5,0)</f>
        <v>199.69559999999984</v>
      </c>
      <c r="FG64" s="14">
        <f t="shared" si="47"/>
        <v>49.677263889452327</v>
      </c>
      <c r="FH64" s="22">
        <f t="shared" si="22"/>
        <v>434.32440460746255</v>
      </c>
      <c r="FI64" s="62">
        <f t="shared" si="23"/>
        <v>727.65773794079587</v>
      </c>
      <c r="FJ64" s="62">
        <f ca="1">AVERAGE(OFFSET($FI$3,0,0,'Données projet'!$E$16+1,1))-AVERAGE(OFFSET($H$3,0,0,'Données projet'!$E$16+1,1))</f>
        <v>399.92909819003523</v>
      </c>
      <c r="FK64" s="62">
        <f t="shared" si="48"/>
        <v>163.7053537268381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5.2399999999999975</v>
      </c>
      <c r="FZ64" s="13">
        <f>IF('Données projet'!$A$244&gt;35,FZ63+FY64-GH63,IF(A64&lt;'Données projet'!$A$244,$FW$205^A64,IF(A64='Données projet'!$A$244,'Données projet'!$B$244,FZ63+FY64-GH63)))</f>
        <v>285.03999999999985</v>
      </c>
      <c r="GA64" s="18">
        <f>FZ64*VLOOKUP('Données projet'!$B$17,Paramètres!$A$1:$I$89,3,0)*VLOOKUP('Données projet'!$B$17,Paramètres!$A$1:$I$89,5,0)</f>
        <v>208.9913279999999</v>
      </c>
      <c r="GB64" s="14">
        <f t="shared" si="49"/>
        <v>51.715103760424256</v>
      </c>
      <c r="GC64" s="22">
        <f t="shared" si="25"/>
        <v>454.06370198273868</v>
      </c>
      <c r="GD64" s="62">
        <f t="shared" si="26"/>
        <v>747.39703531607199</v>
      </c>
      <c r="GE64" s="62">
        <f ca="1">AVERAGE(OFFSET($GD$3,0,0,'Données projet'!$E$17+1,1))-AVERAGE(OFFSET($H$3,0,0,'Données projet'!$E$17+1,1))</f>
        <v>344.4426665022238</v>
      </c>
      <c r="GF64" s="62">
        <f t="shared" si="50"/>
        <v>376.41441893222185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18.2</v>
      </c>
      <c r="GU64" s="13">
        <f>IF('Données projet'!$A$270&gt;35,GU63+GT64-HC63,IF(A64&lt;'Données projet'!$A$270,$GR$205^A64,IF(A64='Données projet'!$A$270,'Données projet'!$B$270,GU63+GT64-HC63)))</f>
        <v>389.20000000000022</v>
      </c>
      <c r="GV64" s="18">
        <f>GU64*VLOOKUP('Données projet'!$B$18,Paramètres!$A$1:$I$89,3,0)*VLOOKUP('Données projet'!$B$18,Paramètres!$A$1:$I$89,5,0)</f>
        <v>187.2052000000001</v>
      </c>
      <c r="GW64" s="14">
        <f t="shared" si="51"/>
        <v>46.921530363318617</v>
      </c>
      <c r="GX64" s="22">
        <f t="shared" si="28"/>
        <v>407.77072204944676</v>
      </c>
      <c r="GY64" s="62">
        <f t="shared" si="29"/>
        <v>701.10405538278007</v>
      </c>
      <c r="GZ64" s="62">
        <f ca="1">AVERAGE(OFFSET($GY$3,0,0,'Données projet'!$E$18+1,1))-AVERAGE(OFFSET($H$3,0,0,'Données projet'!$E$18+1,1))</f>
        <v>441.17479680509746</v>
      </c>
      <c r="HA64" s="62">
        <f t="shared" si="52"/>
        <v>198.56576128410069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15.571428571428571</v>
      </c>
      <c r="N65" s="14">
        <f>IF('Données projet'!$A$36&gt;35,N64+M65-V64,IF(A65&lt;'Données projet'!$A$36,$K$205^A65,IF(A65='Données projet'!$A$36,'Données projet'!$B$36,N64+M65-V64)))</f>
        <v>522.4285714285711</v>
      </c>
      <c r="O65" s="14">
        <f>N65*VLOOKUP('Données projet'!$B$9,Paramètres!$A$1:$I$89,3,0)*VLOOKUP('Données projet'!$B$9,Paramètres!$A$1:$I$89,5,0)</f>
        <v>292.03757142857125</v>
      </c>
      <c r="P65" s="14">
        <f t="shared" si="33"/>
        <v>69.504628296156</v>
      </c>
      <c r="Q65" s="22">
        <f t="shared" si="53"/>
        <v>629.68599785389995</v>
      </c>
      <c r="R65" s="62">
        <f t="shared" si="0"/>
        <v>923.01933118723332</v>
      </c>
      <c r="S65" s="62">
        <f ca="1">AVERAGE(OFFSET($R$3,0,0,'Données projet'!$E$9+1,1))-AVERAGE(OFFSET($H$3,0,0,'Données projet'!$E$9+1,1))</f>
        <v>374.79806286316051</v>
      </c>
      <c r="T65" s="62">
        <f t="shared" si="34"/>
        <v>350.01856672839466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3.0387147243927446</v>
      </c>
      <c r="AB65" s="23">
        <f>EXP(-LN(2)/2)*AB64+(1-EXP(-LN(2)/2))/(LN(2)/2)*V65*Y65*VLOOKUP('Données projet'!$B$9,Paramètres!$A$1:$I$89,3,0)*0.475*44/12</f>
        <v>1.3706121685592515E-4</v>
      </c>
      <c r="AC65" s="24">
        <f t="shared" si="3"/>
        <v>3.0388517856096007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</v>
      </c>
      <c r="AI65" s="14">
        <f>IF('Données projet'!$A$62&gt;35,AI64+AH65-AQ64,IF(A65&lt;'Données projet'!$A$62,$AF$205^A65,IF(A65='Données projet'!$A$62,'Données projet'!$B$62,AI64+AH65-AQ64)))</f>
        <v>234.00000000000017</v>
      </c>
      <c r="AJ65" s="14">
        <f>AI65*VLOOKUP('Données projet'!$B$10,Paramètres!$A$1:$I$89,3,0)*VLOOKUP('Données projet'!$B$10,Paramètres!$A$1:$I$89,5,0)</f>
        <v>204.42240000000018</v>
      </c>
      <c r="AK65" s="14">
        <f t="shared" si="35"/>
        <v>50.714836797527312</v>
      </c>
      <c r="AL65" s="22">
        <f t="shared" si="4"/>
        <v>444.36402075569367</v>
      </c>
      <c r="AM65" s="62">
        <f t="shared" si="5"/>
        <v>737.69735408902693</v>
      </c>
      <c r="AN65" s="62">
        <f ca="1">AVERAGE(OFFSET($AM$3,0,0,'Données projet'!$E$10+1,1))-AVERAGE(OFFSET($H$3,0,0,'Données projet'!$E$10+1,1))</f>
        <v>401.89597032936751</v>
      </c>
      <c r="AO65" s="62">
        <f t="shared" si="36"/>
        <v>417.85733543972361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228.39999999999992</v>
      </c>
      <c r="BE65" s="14">
        <f>BD65*VLOOKUP('Données projet'!$B$11,Paramètres!$A$1:$I$89,3,0)*VLOOKUP('Données projet'!$B$11,Paramètres!$A$1:$I$89,5,0)</f>
        <v>206.65631999999994</v>
      </c>
      <c r="BF65" s="14">
        <f t="shared" si="37"/>
        <v>51.20422634371338</v>
      </c>
      <c r="BG65" s="22">
        <f t="shared" si="7"/>
        <v>449.10711821530072</v>
      </c>
      <c r="BH65" s="62">
        <f t="shared" si="8"/>
        <v>742.44045154863397</v>
      </c>
      <c r="BI65" s="62">
        <f ca="1">AVERAGE(OFFSET($BH$3,0,0,'Données projet'!$E$11+1,1))-AVERAGE(OFFSET($H$3,0,0,'Données projet'!$E$11+1,1))</f>
        <v>430.40491895612814</v>
      </c>
      <c r="BJ65" s="62">
        <f t="shared" si="38"/>
        <v>231.36959598460686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4.6153846153846132</v>
      </c>
      <c r="BY65" s="13">
        <f>IF('Données projet'!$A$114&gt;35,BY64+BX65-CG64,IF(A65&lt;'Données projet'!$A$114,$BV$205^A65,IF(A65='Données projet'!$A$114,'Données projet'!$B$114,BY64+BX65-CG64)))</f>
        <v>179.74358974358967</v>
      </c>
      <c r="BZ65" s="14">
        <f>BY65*VLOOKUP('Données projet'!$B$12,Paramètres!$A$1:$I$89,3,0)*VLOOKUP('Données projet'!$B$12,Paramètres!$A$1:$I$89,5,0)</f>
        <v>171.04399999999993</v>
      </c>
      <c r="CA65" s="14">
        <f t="shared" si="39"/>
        <v>43.32376147477413</v>
      </c>
      <c r="CB65" s="22">
        <f t="shared" si="10"/>
        <v>373.35718456856483</v>
      </c>
      <c r="CC65" s="62">
        <f t="shared" si="11"/>
        <v>666.69051790189815</v>
      </c>
      <c r="CD65" s="62">
        <f ca="1">AVERAGE(OFFSET($CC$3,0,0,'Données projet'!$E$12+1,1))-AVERAGE(OFFSET($H$3,0,0,'Données projet'!$E$12+1,1))</f>
        <v>367.11183928586667</v>
      </c>
      <c r="CE65" s="62">
        <f t="shared" si="40"/>
        <v>281.52963027844595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18.2</v>
      </c>
      <c r="CT65" s="13">
        <f>IF('Données projet'!$A$140&gt;35,CT64+CS65-DB64,IF(A65&lt;'Données projet'!$A$140,$CQ$205^A65,IF(A65='Données projet'!$A$140,'Données projet'!$B$140,CT64+CS65-DB64)))</f>
        <v>472.39999999999964</v>
      </c>
      <c r="CU65" s="18">
        <f>CT65*VLOOKUP('Données projet'!$B$13,Paramètres!$A$1:$I$89,3,0)*VLOOKUP('Données projet'!$B$13,Paramètres!$A$1:$I$89,5,0)</f>
        <v>282.49519999999978</v>
      </c>
      <c r="CV65" s="14">
        <f t="shared" si="41"/>
        <v>67.494043786841431</v>
      </c>
      <c r="CW65" s="22">
        <f t="shared" si="13"/>
        <v>609.56459959541507</v>
      </c>
      <c r="CX65" s="62">
        <f t="shared" si="14"/>
        <v>902.89793292874833</v>
      </c>
      <c r="CY65" s="62">
        <f ca="1">AVERAGE(OFFSET($CX$3,0,0,'Données projet'!$E$13+1,1))-AVERAGE(OFFSET($H$3,0,0,'Données projet'!$E$13+1,1))</f>
        <v>308.47522272937135</v>
      </c>
      <c r="CZ65" s="62">
        <f t="shared" si="42"/>
        <v>302.54354650449721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1.5813720445888775</v>
      </c>
      <c r="DH65" s="23">
        <f>EXP(-LN(2)/2)*DH64+(1-EXP(-LN(2)/2))/(LN(2)/2)*DB65*DE65*VLOOKUP('Données projet'!$B$13,Paramètres!$A$1:$I$89,3,0)*0.475*44/12</f>
        <v>2.6357453817894578E-4</v>
      </c>
      <c r="DI65" s="24">
        <f t="shared" si="15"/>
        <v>1.5816356191270564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5.2399999999999975</v>
      </c>
      <c r="DO65" s="13">
        <f>IF('Données projet'!$A$166&gt;35,DO64+DN65-DW64,IF(A65&lt;'Données projet'!$A$166,$DL$205^A65,IF(A65='Données projet'!$A$166,'Données projet'!$B$166,DO64+DN65-DW64)))</f>
        <v>290.27999999999986</v>
      </c>
      <c r="DP65" s="18">
        <f>DO65*VLOOKUP('Données projet'!$B$14,Paramètres!$A$1:$I$89,3,0)*VLOOKUP('Données projet'!$B$14,Paramètres!$A$1:$I$89,5,0)</f>
        <v>230.94676799999991</v>
      </c>
      <c r="DQ65" s="14">
        <f t="shared" si="43"/>
        <v>56.487345939251334</v>
      </c>
      <c r="DR65" s="22">
        <f t="shared" si="16"/>
        <v>500.61441511086258</v>
      </c>
      <c r="DS65" s="62">
        <f t="shared" si="17"/>
        <v>793.94774844419589</v>
      </c>
      <c r="DT65" s="62">
        <f ca="1">AVERAGE(OFFSET($DS$3,0,0,'Données projet'!$E$14+1,1))-AVERAGE(OFFSET($H$3,0,0,'Données projet'!$E$14+1,1))</f>
        <v>370.58277541710277</v>
      </c>
      <c r="DU65" s="62">
        <f t="shared" si="44"/>
        <v>404.61777090709171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>
        <f>EJ65*VLOOKUP('Données projet'!$B$15,Paramètres!$A$1:$I$89,3,0)*VLOOKUP('Données projet'!$B$15,Paramètres!$A$1:$I$89,5,0)</f>
        <v>0</v>
      </c>
      <c r="EL65" s="14" t="e">
        <f t="shared" si="45"/>
        <v>#NUM!</v>
      </c>
      <c r="EM65" s="22" t="e">
        <f t="shared" si="19"/>
        <v>#NUM!</v>
      </c>
      <c r="EN65" s="62" t="e">
        <f t="shared" si="20"/>
        <v>#NUM!</v>
      </c>
      <c r="EO65" s="62">
        <f ca="1">AVERAGE(OFFSET($EN$3,0,0,'Données projet'!$E$15+1,1))-AVERAGE(OFFSET($H$3,0,0,'Données projet'!$E$15+1,1))</f>
        <v>240.22884864766218</v>
      </c>
      <c r="EP65" s="62">
        <f t="shared" si="46"/>
        <v>343.23776884143166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4.2396299943230176</v>
      </c>
      <c r="EX65" s="23">
        <f>EXP(-LN(2)/2)*EX64+(1-EXP(-LN(2)/2))/(LN(2)/2)*ER65*EU65*VLOOKUP('Données projet'!$B$15,Paramètres!$A$1:$I$89,3,0)*0.475*44/12</f>
        <v>2.5205718812571409E-4</v>
      </c>
      <c r="EY65" s="24">
        <f t="shared" si="21"/>
        <v>4.2398820515111435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22.7</v>
      </c>
      <c r="FE65" s="13">
        <f>IF('Données projet'!$A$218&gt;35,FE64+FD65-FM64,IF(A65&lt;'Données projet'!$A$218,$FB$205^A65,IF(A65='Données projet'!$A$218,'Données projet'!$B$218,FE64+FD65-FM64)))</f>
        <v>449.39999999999969</v>
      </c>
      <c r="FF65" s="18">
        <f>FE65*VLOOKUP('Données projet'!$B$16,Paramètres!$A$1:$I$89,3,0)*VLOOKUP('Données projet'!$B$16,Paramètres!$A$1:$I$89,5,0)</f>
        <v>210.31919999999985</v>
      </c>
      <c r="FG65" s="14">
        <f t="shared" si="47"/>
        <v>52.005332762093687</v>
      </c>
      <c r="FH65" s="22">
        <f t="shared" si="22"/>
        <v>456.88189456064629</v>
      </c>
      <c r="FI65" s="62">
        <f t="shared" si="23"/>
        <v>750.21522789397955</v>
      </c>
      <c r="FJ65" s="62">
        <f ca="1">AVERAGE(OFFSET($FI$3,0,0,'Données projet'!$E$16+1,1))-AVERAGE(OFFSET($H$3,0,0,'Données projet'!$E$16+1,1))</f>
        <v>399.92909819003523</v>
      </c>
      <c r="FK65" s="62">
        <f t="shared" si="48"/>
        <v>163.7053537268381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5.2399999999999975</v>
      </c>
      <c r="FZ65" s="13">
        <f>IF('Données projet'!$A$244&gt;35,FZ64+FY65-GH64,IF(A65&lt;'Données projet'!$A$244,$FW$205^A65,IF(A65='Données projet'!$A$244,'Données projet'!$B$244,FZ64+FY65-GH64)))</f>
        <v>290.27999999999986</v>
      </c>
      <c r="GA65" s="18">
        <f>FZ65*VLOOKUP('Données projet'!$B$17,Paramètres!$A$1:$I$89,3,0)*VLOOKUP('Données projet'!$B$17,Paramètres!$A$1:$I$89,5,0)</f>
        <v>212.83329599999988</v>
      </c>
      <c r="GB65" s="14">
        <f t="shared" si="49"/>
        <v>52.554248411686309</v>
      </c>
      <c r="GC65" s="22">
        <f t="shared" si="25"/>
        <v>462.21663985035343</v>
      </c>
      <c r="GD65" s="62">
        <f t="shared" si="26"/>
        <v>755.54997318368669</v>
      </c>
      <c r="GE65" s="62">
        <f ca="1">AVERAGE(OFFSET($GD$3,0,0,'Données projet'!$E$17+1,1))-AVERAGE(OFFSET($H$3,0,0,'Données projet'!$E$17+1,1))</f>
        <v>344.4426665022238</v>
      </c>
      <c r="GF65" s="62">
        <f t="shared" si="50"/>
        <v>376.41441893222185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18.2</v>
      </c>
      <c r="GU65" s="13">
        <f>IF('Données projet'!$A$270&gt;35,GU64+GT65-HC64,IF(A65&lt;'Données projet'!$A$270,$GR$205^A65,IF(A65='Données projet'!$A$270,'Données projet'!$B$270,GU64+GT65-HC64)))</f>
        <v>407.4000000000002</v>
      </c>
      <c r="GV65" s="18">
        <f>GU65*VLOOKUP('Données projet'!$B$18,Paramètres!$A$1:$I$89,3,0)*VLOOKUP('Données projet'!$B$18,Paramètres!$A$1:$I$89,5,0)</f>
        <v>195.95940000000013</v>
      </c>
      <c r="GW65" s="14">
        <f t="shared" si="51"/>
        <v>48.855114082018353</v>
      </c>
      <c r="GX65" s="22">
        <f t="shared" si="28"/>
        <v>426.38527869284889</v>
      </c>
      <c r="GY65" s="62">
        <f t="shared" si="29"/>
        <v>719.7186120261822</v>
      </c>
      <c r="GZ65" s="62">
        <f ca="1">AVERAGE(OFFSET($GY$3,0,0,'Données projet'!$E$18+1,1))-AVERAGE(OFFSET($H$3,0,0,'Données projet'!$E$18+1,1))</f>
        <v>441.17479680509746</v>
      </c>
      <c r="HA65" s="62">
        <f t="shared" si="52"/>
        <v>198.56576128410069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538</v>
      </c>
      <c r="L66" s="13">
        <f>VLOOKUP(A66,'Données projet'!$A$35:$I$55,9,0)</f>
        <v>15.571428571428571</v>
      </c>
      <c r="M66" s="13">
        <f t="array" ref="M66">INDEX(L:L,MIN(IF(ISNUMBER(L66:L262),ROW(L66:L262),"")))</f>
        <v>15.571428571428571</v>
      </c>
      <c r="N66" s="14">
        <f>IF('Données projet'!$A$36&gt;35,N65+M66-V65,IF(A66&lt;'Données projet'!$A$36,$K$205^A66,IF(A66='Données projet'!$A$36,'Données projet'!$B$36,N65+M66-V65)))</f>
        <v>537.99999999999966</v>
      </c>
      <c r="O66" s="14">
        <f>N66*VLOOKUP('Données projet'!$B$9,Paramètres!$A$1:$I$89,3,0)*VLOOKUP('Données projet'!$B$9,Paramètres!$A$1:$I$89,5,0)</f>
        <v>300.74199999999985</v>
      </c>
      <c r="P66" s="14">
        <f t="shared" si="33"/>
        <v>71.331992805448763</v>
      </c>
      <c r="Q66" s="22">
        <f t="shared" si="53"/>
        <v>648.02887080282289</v>
      </c>
      <c r="R66" s="62">
        <f t="shared" si="0"/>
        <v>941.36220413615615</v>
      </c>
      <c r="S66" s="62">
        <f ca="1">AVERAGE(OFFSET($R$3,0,0,'Données projet'!$E$9+1,1))-AVERAGE(OFFSET($H$3,0,0,'Données projet'!$E$9+1,1))</f>
        <v>374.79806286316051</v>
      </c>
      <c r="T66" s="62">
        <f t="shared" si="34"/>
        <v>350.01856672839466</v>
      </c>
      <c r="U66" s="16">
        <f>IF(ISNA(VLOOKUP(A66,'Données projet'!$A$35:$I$55,3,0)),0,VLOOKUP(A66,'Données projet'!$A$35:$I$55,3,0))</f>
        <v>7</v>
      </c>
      <c r="V66" s="16">
        <f>IF(ISNA(VLOOKUP(A66,'Données projet'!$A$35:$I$55,4,0)),0,VLOOKUP(A66,'Données projet'!$A$35:$I$55,4,0))</f>
        <v>84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2.9556209104551625</v>
      </c>
      <c r="AB66" s="23">
        <f>EXP(-LN(2)/2)*AB65+(1-EXP(-LN(2)/2))/(LN(2)/2)*V66*Y66*VLOOKUP('Données projet'!$B$9,Paramètres!$A$1:$I$89,3,0)*0.475*44/12</f>
        <v>9.6916915876504606E-5</v>
      </c>
      <c r="AC66" s="24">
        <f t="shared" si="3"/>
        <v>2.9557178273710392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</v>
      </c>
      <c r="AI66" s="14">
        <f>IF('Données projet'!$A$62&gt;35,AI65+AH66-AQ65,IF(A66&lt;'Données projet'!$A$62,$AF$205^A66,IF(A66='Données projet'!$A$62,'Données projet'!$B$62,AI65+AH66-AQ65)))</f>
        <v>240.00000000000017</v>
      </c>
      <c r="AJ66" s="14">
        <f>AI66*VLOOKUP('Données projet'!$B$10,Paramètres!$A$1:$I$89,3,0)*VLOOKUP('Données projet'!$B$10,Paramètres!$A$1:$I$89,5,0)</f>
        <v>209.66400000000019</v>
      </c>
      <c r="AK66" s="14">
        <f t="shared" si="35"/>
        <v>51.862154403304579</v>
      </c>
      <c r="AL66" s="22">
        <f t="shared" si="4"/>
        <v>455.49138558575578</v>
      </c>
      <c r="AM66" s="62">
        <f t="shared" si="5"/>
        <v>748.82471891908904</v>
      </c>
      <c r="AN66" s="62">
        <f ca="1">AVERAGE(OFFSET($AM$3,0,0,'Données projet'!$E$10+1,1))-AVERAGE(OFFSET($H$3,0,0,'Données projet'!$E$10+1,1))</f>
        <v>401.89597032936751</v>
      </c>
      <c r="AO66" s="62">
        <f t="shared" si="36"/>
        <v>417.85733543972361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235.59999999999991</v>
      </c>
      <c r="BE66" s="14">
        <f>BD66*VLOOKUP('Données projet'!$B$11,Paramètres!$A$1:$I$89,3,0)*VLOOKUP('Données projet'!$B$11,Paramètres!$A$1:$I$89,5,0)</f>
        <v>213.17087999999993</v>
      </c>
      <c r="BF66" s="14">
        <f t="shared" si="37"/>
        <v>52.627897224631596</v>
      </c>
      <c r="BG66" s="22">
        <f t="shared" si="7"/>
        <v>462.93287033289988</v>
      </c>
      <c r="BH66" s="62">
        <f t="shared" si="8"/>
        <v>756.2662036662332</v>
      </c>
      <c r="BI66" s="62">
        <f ca="1">AVERAGE(OFFSET($BH$3,0,0,'Données projet'!$E$11+1,1))-AVERAGE(OFFSET($H$3,0,0,'Données projet'!$E$11+1,1))</f>
        <v>430.40491895612814</v>
      </c>
      <c r="BJ66" s="62">
        <f t="shared" si="38"/>
        <v>231.36959598460686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4.6153846153846132</v>
      </c>
      <c r="BY66" s="13">
        <f>IF('Données projet'!$A$114&gt;35,BY65+BX66-CG65,IF(A66&lt;'Données projet'!$A$114,$BV$205^A66,IF(A66='Données projet'!$A$114,'Données projet'!$B$114,BY65+BX66-CG65)))</f>
        <v>184.35897435897428</v>
      </c>
      <c r="BZ66" s="14">
        <f>BY66*VLOOKUP('Données projet'!$B$12,Paramètres!$A$1:$I$89,3,0)*VLOOKUP('Données projet'!$B$12,Paramètres!$A$1:$I$89,5,0)</f>
        <v>175.43599999999992</v>
      </c>
      <c r="CA66" s="14">
        <f t="shared" si="39"/>
        <v>44.305267494172632</v>
      </c>
      <c r="CB66" s="22">
        <f t="shared" si="10"/>
        <v>382.71604088568387</v>
      </c>
      <c r="CC66" s="62">
        <f t="shared" si="11"/>
        <v>676.04937421901718</v>
      </c>
      <c r="CD66" s="62">
        <f ca="1">AVERAGE(OFFSET($CC$3,0,0,'Données projet'!$E$12+1,1))-AVERAGE(OFFSET($H$3,0,0,'Données projet'!$E$12+1,1))</f>
        <v>367.11183928586667</v>
      </c>
      <c r="CE66" s="62">
        <f t="shared" si="40"/>
        <v>281.52963027844595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18.2</v>
      </c>
      <c r="CT66" s="13">
        <f>IF('Données projet'!$A$140&gt;35,CT65+CS66-DB65,IF(A66&lt;'Données projet'!$A$140,$CQ$205^A66,IF(A66='Données projet'!$A$140,'Données projet'!$B$140,CT65+CS66-DB65)))</f>
        <v>490.59999999999962</v>
      </c>
      <c r="CU66" s="18">
        <f>CT66*VLOOKUP('Données projet'!$B$13,Paramètres!$A$1:$I$89,3,0)*VLOOKUP('Données projet'!$B$13,Paramètres!$A$1:$I$89,5,0)</f>
        <v>293.37879999999979</v>
      </c>
      <c r="CV66" s="14">
        <f t="shared" si="41"/>
        <v>69.786607837118424</v>
      </c>
      <c r="CW66" s="22">
        <f t="shared" si="13"/>
        <v>632.51308531631423</v>
      </c>
      <c r="CX66" s="62">
        <f t="shared" si="14"/>
        <v>925.8464186496476</v>
      </c>
      <c r="CY66" s="62">
        <f ca="1">AVERAGE(OFFSET($CX$3,0,0,'Données projet'!$E$13+1,1))-AVERAGE(OFFSET($H$3,0,0,'Données projet'!$E$13+1,1))</f>
        <v>308.47522272937135</v>
      </c>
      <c r="CZ66" s="62">
        <f t="shared" si="42"/>
        <v>302.54354650449721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1.5381293428688532</v>
      </c>
      <c r="DH66" s="23">
        <f>EXP(-LN(2)/2)*DH65+(1-EXP(-LN(2)/2))/(LN(2)/2)*DB66*DE66*VLOOKUP('Données projet'!$B$13,Paramètres!$A$1:$I$89,3,0)*0.475*44/12</f>
        <v>1.8637534329444513E-4</v>
      </c>
      <c r="DI66" s="24">
        <f t="shared" si="15"/>
        <v>1.5383157182121476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5.2399999999999975</v>
      </c>
      <c r="DO66" s="13">
        <f>IF('Données projet'!$A$166&gt;35,DO65+DN66-DW65,IF(A66&lt;'Données projet'!$A$166,$DL$205^A66,IF(A66='Données projet'!$A$166,'Données projet'!$B$166,DO65+DN66-DW65)))</f>
        <v>295.51999999999987</v>
      </c>
      <c r="DP66" s="18">
        <f>DO66*VLOOKUP('Données projet'!$B$14,Paramètres!$A$1:$I$89,3,0)*VLOOKUP('Données projet'!$B$14,Paramètres!$A$1:$I$89,5,0)</f>
        <v>235.11571199999989</v>
      </c>
      <c r="DQ66" s="14">
        <f t="shared" si="43"/>
        <v>57.387397894153374</v>
      </c>
      <c r="DR66" s="22">
        <f t="shared" si="16"/>
        <v>509.44291639898364</v>
      </c>
      <c r="DS66" s="62">
        <f t="shared" si="17"/>
        <v>802.77624973231696</v>
      </c>
      <c r="DT66" s="62">
        <f ca="1">AVERAGE(OFFSET($DS$3,0,0,'Données projet'!$E$14+1,1))-AVERAGE(OFFSET($H$3,0,0,'Données projet'!$E$14+1,1))</f>
        <v>370.58277541710277</v>
      </c>
      <c r="DU66" s="62">
        <f t="shared" si="44"/>
        <v>404.61777090709171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>
        <f>EJ66*VLOOKUP('Données projet'!$B$15,Paramètres!$A$1:$I$89,3,0)*VLOOKUP('Données projet'!$B$15,Paramètres!$A$1:$I$89,5,0)</f>
        <v>0</v>
      </c>
      <c r="EL66" s="14" t="e">
        <f t="shared" si="45"/>
        <v>#NUM!</v>
      </c>
      <c r="EM66" s="22" t="e">
        <f t="shared" si="19"/>
        <v>#NUM!</v>
      </c>
      <c r="EN66" s="62" t="e">
        <f t="shared" si="20"/>
        <v>#NUM!</v>
      </c>
      <c r="EO66" s="62">
        <f ca="1">AVERAGE(OFFSET($EN$3,0,0,'Données projet'!$E$15+1,1))-AVERAGE(OFFSET($H$3,0,0,'Données projet'!$E$15+1,1))</f>
        <v>240.22884864766218</v>
      </c>
      <c r="EP66" s="62">
        <f t="shared" si="46"/>
        <v>343.23776884143166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4.1236970891758027</v>
      </c>
      <c r="EX66" s="23">
        <f>EXP(-LN(2)/2)*EX65+(1-EXP(-LN(2)/2))/(LN(2)/2)*ER66*EU66*VLOOKUP('Données projet'!$B$15,Paramètres!$A$1:$I$89,3,0)*0.475*44/12</f>
        <v>1.7823134697050576E-4</v>
      </c>
      <c r="EY66" s="24">
        <f t="shared" si="21"/>
        <v>4.1238753205227736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22.7</v>
      </c>
      <c r="FE66" s="13">
        <f>IF('Données projet'!$A$218&gt;35,FE65+FD66-FM65,IF(A66&lt;'Données projet'!$A$218,$FB$205^A66,IF(A66='Données projet'!$A$218,'Données projet'!$B$218,FE65+FD66-FM65)))</f>
        <v>472.09999999999968</v>
      </c>
      <c r="FF66" s="18">
        <f>FE66*VLOOKUP('Données projet'!$B$16,Paramètres!$A$1:$I$89,3,0)*VLOOKUP('Données projet'!$B$16,Paramètres!$A$1:$I$89,5,0)</f>
        <v>220.94279999999983</v>
      </c>
      <c r="FG66" s="14">
        <f t="shared" si="47"/>
        <v>54.31974761568528</v>
      </c>
      <c r="FH66" s="22">
        <f t="shared" si="22"/>
        <v>479.41560376398479</v>
      </c>
      <c r="FI66" s="62">
        <f t="shared" si="23"/>
        <v>772.74893709731805</v>
      </c>
      <c r="FJ66" s="62">
        <f ca="1">AVERAGE(OFFSET($FI$3,0,0,'Données projet'!$E$16+1,1))-AVERAGE(OFFSET($H$3,0,0,'Données projet'!$E$16+1,1))</f>
        <v>399.92909819003523</v>
      </c>
      <c r="FK66" s="62">
        <f t="shared" si="48"/>
        <v>163.7053537268381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5.2399999999999975</v>
      </c>
      <c r="FZ66" s="13">
        <f>IF('Données projet'!$A$244&gt;35,FZ65+FY66-GH65,IF(A66&lt;'Données projet'!$A$244,$FW$205^A66,IF(A66='Données projet'!$A$244,'Données projet'!$B$244,FZ65+FY66-GH65)))</f>
        <v>295.51999999999987</v>
      </c>
      <c r="GA66" s="18">
        <f>FZ66*VLOOKUP('Données projet'!$B$17,Paramètres!$A$1:$I$89,3,0)*VLOOKUP('Données projet'!$B$17,Paramètres!$A$1:$I$89,5,0)</f>
        <v>216.67526399999991</v>
      </c>
      <c r="GB66" s="14">
        <f t="shared" si="49"/>
        <v>53.391631603175213</v>
      </c>
      <c r="GC66" s="22">
        <f t="shared" si="25"/>
        <v>470.36650984219659</v>
      </c>
      <c r="GD66" s="62">
        <f t="shared" si="26"/>
        <v>763.69984317552985</v>
      </c>
      <c r="GE66" s="62">
        <f ca="1">AVERAGE(OFFSET($GD$3,0,0,'Données projet'!$E$17+1,1))-AVERAGE(OFFSET($H$3,0,0,'Données projet'!$E$17+1,1))</f>
        <v>344.4426665022238</v>
      </c>
      <c r="GF66" s="62">
        <f t="shared" si="50"/>
        <v>376.41441893222185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18.2</v>
      </c>
      <c r="GU66" s="13">
        <f>IF('Données projet'!$A$270&gt;35,GU65+GT66-HC65,IF(A66&lt;'Données projet'!$A$270,$GR$205^A66,IF(A66='Données projet'!$A$270,'Données projet'!$B$270,GU65+GT66-HC65)))</f>
        <v>425.60000000000019</v>
      </c>
      <c r="GV66" s="18">
        <f>GU66*VLOOKUP('Données projet'!$B$18,Paramètres!$A$1:$I$89,3,0)*VLOOKUP('Données projet'!$B$18,Paramètres!$A$1:$I$89,5,0)</f>
        <v>204.7136000000001</v>
      </c>
      <c r="GW66" s="14">
        <f t="shared" si="51"/>
        <v>50.778665738567213</v>
      </c>
      <c r="GX66" s="22">
        <f t="shared" si="28"/>
        <v>444.98236282800468</v>
      </c>
      <c r="GY66" s="62">
        <f t="shared" si="29"/>
        <v>738.315696161338</v>
      </c>
      <c r="GZ66" s="62">
        <f ca="1">AVERAGE(OFFSET($GY$3,0,0,'Données projet'!$E$18+1,1))-AVERAGE(OFFSET($H$3,0,0,'Données projet'!$E$18+1,1))</f>
        <v>441.17479680509746</v>
      </c>
      <c r="HA66" s="62">
        <f t="shared" si="52"/>
        <v>198.56576128410069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13.857142857142858</v>
      </c>
      <c r="N67" s="14">
        <f>IF('Données projet'!$A$36&gt;35,N66+M67-V66,IF(A67&lt;'Données projet'!$A$36,$K$205^A67,IF(A67='Données projet'!$A$36,'Données projet'!$B$36,N66+M67-V66)))</f>
        <v>467.85714285714255</v>
      </c>
      <c r="O67" s="14">
        <f>N67*VLOOKUP('Données projet'!$B$9,Paramètres!$A$1:$I$89,3,0)*VLOOKUP('Données projet'!$B$9,Paramètres!$A$1:$I$89,5,0)</f>
        <v>261.53214285714273</v>
      </c>
      <c r="P67" s="14">
        <f t="shared" si="33"/>
        <v>63.048857133846255</v>
      </c>
      <c r="Q67" s="22">
        <f t="shared" ref="Q67:Q98" si="54">(O67+P67)*0.475*44/12</f>
        <v>565.31190831763899</v>
      </c>
      <c r="R67" s="62">
        <f t="shared" ref="R67:R130" si="55">Q67+(I67+J67)*44/12</f>
        <v>858.64524165097237</v>
      </c>
      <c r="S67" s="62">
        <f ca="1">AVERAGE(OFFSET($R$3,0,0,'Données projet'!$E$9+1,1))-AVERAGE(OFFSET($H$3,0,0,'Données projet'!$E$9+1,1))</f>
        <v>374.79806286316051</v>
      </c>
      <c r="T67" s="62">
        <f t="shared" si="34"/>
        <v>350.01856672839466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2.8747993012294177</v>
      </c>
      <c r="AB67" s="23">
        <f>EXP(-LN(2)/2)*AB66+(1-EXP(-LN(2)/2))/(LN(2)/2)*V67*Y67*VLOOKUP('Données projet'!$B$9,Paramètres!$A$1:$I$89,3,0)*0.475*44/12</f>
        <v>6.8530608427962576E-5</v>
      </c>
      <c r="AC67" s="24">
        <f t="shared" si="3"/>
        <v>2.8748678318378458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6</v>
      </c>
      <c r="AI67" s="14">
        <f>IF('Données projet'!$A$62&gt;35,AI66+AH67-AQ66,IF(A67&lt;'Données projet'!$A$62,$AF$205^A67,IF(A67='Données projet'!$A$62,'Données projet'!$B$62,AI66+AH67-AQ66)))</f>
        <v>246.00000000000017</v>
      </c>
      <c r="AJ67" s="14">
        <f>AI67*VLOOKUP('Données projet'!$B$10,Paramètres!$A$1:$I$89,3,0)*VLOOKUP('Données projet'!$B$10,Paramètres!$A$1:$I$89,5,0)</f>
        <v>214.90560000000016</v>
      </c>
      <c r="AK67" s="14">
        <f t="shared" si="35"/>
        <v>53.006137800892375</v>
      </c>
      <c r="AL67" s="22">
        <f t="shared" si="4"/>
        <v>466.61294333655451</v>
      </c>
      <c r="AM67" s="62">
        <f t="shared" si="5"/>
        <v>759.94627666988777</v>
      </c>
      <c r="AN67" s="62">
        <f ca="1">AVERAGE(OFFSET($AM$3,0,0,'Données projet'!$E$10+1,1))-AVERAGE(OFFSET($H$3,0,0,'Données projet'!$E$10+1,1))</f>
        <v>401.89597032936751</v>
      </c>
      <c r="AO67" s="62">
        <f t="shared" si="36"/>
        <v>417.85733543972361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242.7999999999999</v>
      </c>
      <c r="BE67" s="14">
        <f>BD67*VLOOKUP('Données projet'!$B$11,Paramètres!$A$1:$I$89,3,0)*VLOOKUP('Données projet'!$B$11,Paramètres!$A$1:$I$89,5,0)</f>
        <v>219.68543999999989</v>
      </c>
      <c r="BF67" s="14">
        <f t="shared" si="37"/>
        <v>54.046511966469559</v>
      </c>
      <c r="BG67" s="22">
        <f t="shared" si="7"/>
        <v>476.74981634160099</v>
      </c>
      <c r="BH67" s="62">
        <f t="shared" si="8"/>
        <v>770.08314967493425</v>
      </c>
      <c r="BI67" s="62">
        <f ca="1">AVERAGE(OFFSET($BH$3,0,0,'Données projet'!$E$11+1,1))-AVERAGE(OFFSET($H$3,0,0,'Données projet'!$E$11+1,1))</f>
        <v>430.40491895612814</v>
      </c>
      <c r="BJ67" s="62">
        <f t="shared" si="38"/>
        <v>231.36959598460686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4.6153846153846132</v>
      </c>
      <c r="BY67" s="13">
        <f>IF('Données projet'!$A$114&gt;35,BY66+BX67-CG66,IF(A67&lt;'Données projet'!$A$114,$BV$205^A67,IF(A67='Données projet'!$A$114,'Données projet'!$B$114,BY66+BX67-CG66)))</f>
        <v>188.97435897435889</v>
      </c>
      <c r="BZ67" s="14">
        <f>BY67*VLOOKUP('Données projet'!$B$12,Paramètres!$A$1:$I$89,3,0)*VLOOKUP('Données projet'!$B$12,Paramètres!$A$1:$I$89,5,0)</f>
        <v>179.82799999999992</v>
      </c>
      <c r="CA67" s="14">
        <f t="shared" si="39"/>
        <v>45.283917206572795</v>
      </c>
      <c r="CB67" s="22">
        <f t="shared" si="10"/>
        <v>392.0699224681141</v>
      </c>
      <c r="CC67" s="62">
        <f t="shared" si="11"/>
        <v>685.40325580144736</v>
      </c>
      <c r="CD67" s="62">
        <f ca="1">AVERAGE(OFFSET($CC$3,0,0,'Données projet'!$E$12+1,1))-AVERAGE(OFFSET($H$3,0,0,'Données projet'!$E$12+1,1))</f>
        <v>367.11183928586667</v>
      </c>
      <c r="CE67" s="62">
        <f t="shared" si="40"/>
        <v>281.52963027844595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18.2</v>
      </c>
      <c r="CT67" s="13">
        <f>IF('Données projet'!$A$140&gt;35,CT66+CS67-DB66,IF(A67&lt;'Données projet'!$A$140,$CQ$205^A67,IF(A67='Données projet'!$A$140,'Données projet'!$B$140,CT66+CS67-DB66)))</f>
        <v>508.79999999999961</v>
      </c>
      <c r="CU67" s="18">
        <f>CT67*VLOOKUP('Données projet'!$B$13,Paramètres!$A$1:$I$89,3,0)*VLOOKUP('Données projet'!$B$13,Paramètres!$A$1:$I$89,5,0)</f>
        <v>304.26239999999979</v>
      </c>
      <c r="CV67" s="14">
        <f t="shared" si="41"/>
        <v>72.069291221838697</v>
      </c>
      <c r="CW67" s="22">
        <f t="shared" si="13"/>
        <v>655.44436221136868</v>
      </c>
      <c r="CX67" s="62">
        <f t="shared" si="14"/>
        <v>948.77769554470206</v>
      </c>
      <c r="CY67" s="62">
        <f ca="1">AVERAGE(OFFSET($CX$3,0,0,'Données projet'!$E$13+1,1))-AVERAGE(OFFSET($H$3,0,0,'Données projet'!$E$13+1,1))</f>
        <v>308.47522272937135</v>
      </c>
      <c r="CZ67" s="62">
        <f t="shared" si="42"/>
        <v>302.54354650449721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1.4960691151013976</v>
      </c>
      <c r="DH67" s="23">
        <f>EXP(-LN(2)/2)*DH66+(1-EXP(-LN(2)/2))/(LN(2)/2)*DB67*DE67*VLOOKUP('Données projet'!$B$13,Paramètres!$A$1:$I$89,3,0)*0.475*44/12</f>
        <v>1.3178726908947289E-4</v>
      </c>
      <c r="DI67" s="24">
        <f t="shared" si="15"/>
        <v>1.4962009023704872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5.2399999999999975</v>
      </c>
      <c r="DO67" s="13">
        <f>IF('Données projet'!$A$166&gt;35,DO66+DN67-DW66,IF(A67&lt;'Données projet'!$A$166,$DL$205^A67,IF(A67='Données projet'!$A$166,'Données projet'!$B$166,DO66+DN67-DW66)))</f>
        <v>300.75999999999988</v>
      </c>
      <c r="DP67" s="18">
        <f>DO67*VLOOKUP('Données projet'!$B$14,Paramètres!$A$1:$I$89,3,0)*VLOOKUP('Données projet'!$B$14,Paramètres!$A$1:$I$89,5,0)</f>
        <v>239.2846559999999</v>
      </c>
      <c r="DQ67" s="14">
        <f t="shared" si="43"/>
        <v>58.285594007367486</v>
      </c>
      <c r="DR67" s="22">
        <f t="shared" si="16"/>
        <v>518.2681854294982</v>
      </c>
      <c r="DS67" s="62">
        <f t="shared" si="17"/>
        <v>811.60151876283157</v>
      </c>
      <c r="DT67" s="62">
        <f ca="1">AVERAGE(OFFSET($DS$3,0,0,'Données projet'!$E$14+1,1))-AVERAGE(OFFSET($H$3,0,0,'Données projet'!$E$14+1,1))</f>
        <v>370.58277541710277</v>
      </c>
      <c r="DU67" s="62">
        <f t="shared" si="44"/>
        <v>404.61777090709171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>
        <f>EJ67*VLOOKUP('Données projet'!$B$15,Paramètres!$A$1:$I$89,3,0)*VLOOKUP('Données projet'!$B$15,Paramètres!$A$1:$I$89,5,0)</f>
        <v>0</v>
      </c>
      <c r="EL67" s="14" t="e">
        <f t="shared" si="45"/>
        <v>#NUM!</v>
      </c>
      <c r="EM67" s="22" t="e">
        <f t="shared" si="19"/>
        <v>#NUM!</v>
      </c>
      <c r="EN67" s="62" t="e">
        <f t="shared" si="20"/>
        <v>#NUM!</v>
      </c>
      <c r="EO67" s="62">
        <f ca="1">AVERAGE(OFFSET($EN$3,0,0,'Données projet'!$E$15+1,1))-AVERAGE(OFFSET($H$3,0,0,'Données projet'!$E$15+1,1))</f>
        <v>240.22884864766218</v>
      </c>
      <c r="EP67" s="62">
        <f t="shared" si="46"/>
        <v>343.23776884143166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4.0109343754164852</v>
      </c>
      <c r="EX67" s="23">
        <f>EXP(-LN(2)/2)*EX66+(1-EXP(-LN(2)/2))/(LN(2)/2)*ER67*EU67*VLOOKUP('Données projet'!$B$15,Paramètres!$A$1:$I$89,3,0)*0.475*44/12</f>
        <v>1.2602859406285705E-4</v>
      </c>
      <c r="EY67" s="24">
        <f t="shared" si="21"/>
        <v>4.0110604040105482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22.7</v>
      </c>
      <c r="FE67" s="13">
        <f>IF('Données projet'!$A$218&gt;35,FE66+FD67-FM66,IF(A67&lt;'Données projet'!$A$218,$FB$205^A67,IF(A67='Données projet'!$A$218,'Données projet'!$B$218,FE66+FD67-FM66)))</f>
        <v>494.79999999999967</v>
      </c>
      <c r="FF67" s="18">
        <f>FE67*VLOOKUP('Données projet'!$B$16,Paramètres!$A$1:$I$89,3,0)*VLOOKUP('Données projet'!$B$16,Paramètres!$A$1:$I$89,5,0)</f>
        <v>231.56639999999985</v>
      </c>
      <c r="FG67" s="14">
        <f t="shared" si="47"/>
        <v>56.621239926036594</v>
      </c>
      <c r="FH67" s="22">
        <f t="shared" si="22"/>
        <v>501.92680620451353</v>
      </c>
      <c r="FI67" s="62">
        <f t="shared" si="23"/>
        <v>795.26013953784684</v>
      </c>
      <c r="FJ67" s="62">
        <f ca="1">AVERAGE(OFFSET($FI$3,0,0,'Données projet'!$E$16+1,1))-AVERAGE(OFFSET($H$3,0,0,'Données projet'!$E$16+1,1))</f>
        <v>399.92909819003523</v>
      </c>
      <c r="FK67" s="62">
        <f t="shared" si="48"/>
        <v>163.7053537268381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5.2399999999999975</v>
      </c>
      <c r="FZ67" s="13">
        <f>IF('Données projet'!$A$244&gt;35,FZ66+FY67-GH66,IF(A67&lt;'Données projet'!$A$244,$FW$205^A67,IF(A67='Données projet'!$A$244,'Données projet'!$B$244,FZ66+FY67-GH66)))</f>
        <v>300.75999999999988</v>
      </c>
      <c r="GA67" s="18">
        <f>FZ67*VLOOKUP('Données projet'!$B$17,Paramètres!$A$1:$I$89,3,0)*VLOOKUP('Données projet'!$B$17,Paramètres!$A$1:$I$89,5,0)</f>
        <v>220.51723199999989</v>
      </c>
      <c r="GB67" s="14">
        <f t="shared" si="49"/>
        <v>54.22728817140964</v>
      </c>
      <c r="GC67" s="22">
        <f t="shared" si="25"/>
        <v>478.51337263187162</v>
      </c>
      <c r="GD67" s="62">
        <f t="shared" si="26"/>
        <v>771.84670596520493</v>
      </c>
      <c r="GE67" s="62">
        <f ca="1">AVERAGE(OFFSET($GD$3,0,0,'Données projet'!$E$17+1,1))-AVERAGE(OFFSET($H$3,0,0,'Données projet'!$E$17+1,1))</f>
        <v>344.4426665022238</v>
      </c>
      <c r="GF67" s="62">
        <f t="shared" si="50"/>
        <v>376.41441893222185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18.2</v>
      </c>
      <c r="GU67" s="13">
        <f>IF('Données projet'!$A$270&gt;35,GU66+GT67-HC66,IF(A67&lt;'Données projet'!$A$270,$GR$205^A67,IF(A67='Données projet'!$A$270,'Données projet'!$B$270,GU66+GT67-HC66)))</f>
        <v>443.80000000000018</v>
      </c>
      <c r="GV67" s="18">
        <f>GU67*VLOOKUP('Données projet'!$B$18,Paramètres!$A$1:$I$89,3,0)*VLOOKUP('Données projet'!$B$18,Paramètres!$A$1:$I$89,5,0)</f>
        <v>213.4678000000001</v>
      </c>
      <c r="GW67" s="14">
        <f t="shared" si="51"/>
        <v>52.692663378842141</v>
      </c>
      <c r="GX67" s="22">
        <f t="shared" si="28"/>
        <v>463.5628070514835</v>
      </c>
      <c r="GY67" s="62">
        <f t="shared" si="29"/>
        <v>756.89614038481682</v>
      </c>
      <c r="GZ67" s="62">
        <f ca="1">AVERAGE(OFFSET($GY$3,0,0,'Données projet'!$E$18+1,1))-AVERAGE(OFFSET($H$3,0,0,'Données projet'!$E$18+1,1))</f>
        <v>441.17479680509746</v>
      </c>
      <c r="HA67" s="62">
        <f t="shared" si="52"/>
        <v>198.56576128410069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13.857142857142858</v>
      </c>
      <c r="N68" s="14">
        <f>IF('Données projet'!$A$36&gt;35,N67+M68-V67,IF(A68&lt;'Données projet'!$A$36,$K$205^A68,IF(A68='Données projet'!$A$36,'Données projet'!$B$36,N67+M68-V67)))</f>
        <v>481.71428571428538</v>
      </c>
      <c r="O68" s="14">
        <f>N68*VLOOKUP('Données projet'!$B$9,Paramètres!$A$1:$I$89,3,0)*VLOOKUP('Données projet'!$B$9,Paramètres!$A$1:$I$89,5,0)</f>
        <v>269.27828571428557</v>
      </c>
      <c r="P68" s="14">
        <f t="shared" si="33"/>
        <v>64.696079449868591</v>
      </c>
      <c r="Q68" s="22">
        <f t="shared" si="54"/>
        <v>581.67201932756836</v>
      </c>
      <c r="R68" s="62">
        <f t="shared" si="55"/>
        <v>875.00535266090174</v>
      </c>
      <c r="S68" s="62">
        <f ca="1">AVERAGE(OFFSET($R$3,0,0,'Données projet'!$E$9+1,1))-AVERAGE(OFFSET($H$3,0,0,'Données projet'!$E$9+1,1))</f>
        <v>374.79806286316051</v>
      </c>
      <c r="T68" s="62">
        <f t="shared" si="34"/>
        <v>350.01856672839466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2.7961877631581746</v>
      </c>
      <c r="AB68" s="23">
        <f>EXP(-LN(2)/2)*AB67+(1-EXP(-LN(2)/2))/(LN(2)/2)*V68*Y68*VLOOKUP('Données projet'!$B$9,Paramètres!$A$1:$I$89,3,0)*0.475*44/12</f>
        <v>4.8458457938252303E-5</v>
      </c>
      <c r="AC68" s="24">
        <f t="shared" ref="AC68:AC131" si="57">SUM(Z68:AB68)</f>
        <v>2.796236221616113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252</v>
      </c>
      <c r="AG68" s="13">
        <f>VLOOKUP(A68,'Données projet'!$A$61:$I$81,9,0)</f>
        <v>6</v>
      </c>
      <c r="AH68" s="13">
        <f t="array" ref="AH68">INDEX(AG:AG,MIN(IF(ISNUMBER(AG68:AG264),ROW(AG68:AG264),"")))</f>
        <v>6</v>
      </c>
      <c r="AI68" s="14">
        <f>IF('Données projet'!$A$62&gt;35,AI67+AH68-AQ67,IF(A68&lt;'Données projet'!$A$62,$AF$205^A68,IF(A68='Données projet'!$A$62,'Données projet'!$B$62,AI67+AH68-AQ67)))</f>
        <v>252.00000000000017</v>
      </c>
      <c r="AJ68" s="14">
        <f>AI68*VLOOKUP('Données projet'!$B$10,Paramètres!$A$1:$I$89,3,0)*VLOOKUP('Données projet'!$B$10,Paramètres!$A$1:$I$89,5,0)</f>
        <v>220.1472000000002</v>
      </c>
      <c r="AK68" s="14">
        <f t="shared" si="35"/>
        <v>54.146877667769687</v>
      </c>
      <c r="AL68" s="22">
        <f t="shared" ref="AL68:AL131" si="58">(AJ68+AK68)*0.475*44/12</f>
        <v>477.72885193803262</v>
      </c>
      <c r="AM68" s="62">
        <f t="shared" ref="AM68:AM131" si="59">AL68+(AD68+AE68)*44/12</f>
        <v>771.06218527136593</v>
      </c>
      <c r="AN68" s="62">
        <f ca="1">AVERAGE(OFFSET($AM$3,0,0,'Données projet'!$E$10+1,1))-AVERAGE(OFFSET($H$3,0,0,'Données projet'!$E$10+1,1))</f>
        <v>401.89597032936751</v>
      </c>
      <c r="AO68" s="62">
        <f t="shared" si="36"/>
        <v>417.85733543972361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250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249.99999999999989</v>
      </c>
      <c r="BE68" s="14">
        <f>BD68*VLOOKUP('Données projet'!$B$11,Paramètres!$A$1:$I$89,3,0)*VLOOKUP('Données projet'!$B$11,Paramètres!$A$1:$I$89,5,0)</f>
        <v>226.19999999999987</v>
      </c>
      <c r="BF68" s="14">
        <f t="shared" si="37"/>
        <v>55.460237717698107</v>
      </c>
      <c r="BG68" s="22">
        <f t="shared" ref="BG68:BG131" si="61">(BE68+BF68)*0.475*44/12</f>
        <v>490.55824735832402</v>
      </c>
      <c r="BH68" s="62">
        <f t="shared" ref="BH68:BH131" si="62">BG68+(AY68+AZ68)*44/12</f>
        <v>783.89158069165728</v>
      </c>
      <c r="BI68" s="62">
        <f ca="1">AVERAGE(OFFSET($BH$3,0,0,'Données projet'!$E$11+1,1))-AVERAGE(OFFSET($H$3,0,0,'Données projet'!$E$11+1,1))</f>
        <v>430.40491895612814</v>
      </c>
      <c r="BJ68" s="62">
        <f t="shared" si="38"/>
        <v>231.36959598460686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42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193.58974358974359</v>
      </c>
      <c r="BW68" s="13">
        <f>VLOOKUP(A68,'Données projet'!$A$113:$I$133,9,0)</f>
        <v>4.6153846153846132</v>
      </c>
      <c r="BX68" s="13">
        <f t="array" ref="BX68">INDEX(BW:BW,MIN(IF(ISNUMBER(BW68:BW264),ROW(BW68:BW264),"")))</f>
        <v>4.6153846153846132</v>
      </c>
      <c r="BY68" s="13">
        <f>IF('Données projet'!$A$114&gt;35,BY67+BX68-CG67,IF(A68&lt;'Données projet'!$A$114,$BV$205^A68,IF(A68='Données projet'!$A$114,'Données projet'!$B$114,BY67+BX68-CG67)))</f>
        <v>193.58974358974351</v>
      </c>
      <c r="BZ68" s="14">
        <f>BY68*VLOOKUP('Données projet'!$B$12,Paramètres!$A$1:$I$89,3,0)*VLOOKUP('Données projet'!$B$12,Paramètres!$A$1:$I$89,5,0)</f>
        <v>184.21999999999991</v>
      </c>
      <c r="CA68" s="14">
        <f t="shared" si="39"/>
        <v>46.259788397695985</v>
      </c>
      <c r="CB68" s="22">
        <f t="shared" ref="CB68:CB131" si="64">(BZ68+CA68)*0.475*44/12</f>
        <v>401.4189647926537</v>
      </c>
      <c r="CC68" s="62">
        <f t="shared" ref="CC68:CC131" si="65">CB68+(BT68+BU68)*44/12</f>
        <v>694.75229812598695</v>
      </c>
      <c r="CD68" s="62">
        <f ca="1">AVERAGE(OFFSET($CC$3,0,0,'Données projet'!$E$12+1,1))-AVERAGE(OFFSET($H$3,0,0,'Données projet'!$E$12+1,1))</f>
        <v>367.11183928586667</v>
      </c>
      <c r="CE68" s="62">
        <f t="shared" si="40"/>
        <v>281.52963027844595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527</v>
      </c>
      <c r="CR68" s="13">
        <f>VLOOKUP(A68,'Données projet'!$A$139:$I$159,9,0)</f>
        <v>18.2</v>
      </c>
      <c r="CS68" s="13">
        <f t="array" ref="CS68">INDEX(CR:CR,MIN(IF(ISNUMBER(CR68:CR264),ROW(CR68:CR264),"")))</f>
        <v>18.2</v>
      </c>
      <c r="CT68" s="13">
        <f>IF('Données projet'!$A$140&gt;35,CT67+CS68-DB67,IF(A68&lt;'Données projet'!$A$140,$CQ$205^A68,IF(A68='Données projet'!$A$140,'Données projet'!$B$140,CT67+CS68-DB67)))</f>
        <v>526.99999999999966</v>
      </c>
      <c r="CU68" s="18">
        <f>CT68*VLOOKUP('Données projet'!$B$13,Paramètres!$A$1:$I$89,3,0)*VLOOKUP('Données projet'!$B$13,Paramètres!$A$1:$I$89,5,0)</f>
        <v>315.14599999999979</v>
      </c>
      <c r="CV68" s="14">
        <f t="shared" si="41"/>
        <v>74.342487867211091</v>
      </c>
      <c r="CW68" s="22">
        <f t="shared" ref="CW68:CW131" si="67">(CU68+CV68)*0.475*44/12</f>
        <v>678.35911636872561</v>
      </c>
      <c r="CX68" s="62">
        <f t="shared" ref="CX68:CX131" si="68">CW68+(CO68+CP68)*44/12</f>
        <v>971.69244970205887</v>
      </c>
      <c r="CY68" s="62">
        <f ca="1">AVERAGE(OFFSET($CX$3,0,0,'Données projet'!$E$13+1,1))-AVERAGE(OFFSET($H$3,0,0,'Données projet'!$E$13+1,1))</f>
        <v>308.47522272937135</v>
      </c>
      <c r="CZ68" s="62">
        <f t="shared" si="42"/>
        <v>302.54354650449721</v>
      </c>
      <c r="DA68" s="16">
        <f>IF(ISNA(VLOOKUP(A68,'Données projet'!$A$139:$I$159,3,0)),0,VLOOKUP(A68,'Données projet'!$A$139:$I$159,3,0))</f>
        <v>11</v>
      </c>
      <c r="DB68" s="16">
        <f>IF(ISNA(VLOOKUP(A68,'Données projet'!$A$139:$I$159,4,0)),0,VLOOKUP(A68,'Données projet'!$A$139:$I$159,4,0))</f>
        <v>527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1.4551590264740943</v>
      </c>
      <c r="DH68" s="23">
        <f>EXP(-LN(2)/2)*DH67+(1-EXP(-LN(2)/2))/(LN(2)/2)*DB68*DE68*VLOOKUP('Données projet'!$B$13,Paramètres!$A$1:$I$89,3,0)*0.475*44/12</f>
        <v>9.3187671647222567E-5</v>
      </c>
      <c r="DI68" s="24">
        <f t="shared" ref="DI68:DI131" si="69">SUM(DF68:DH68)</f>
        <v>1.4552522141457416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306</v>
      </c>
      <c r="DM68" s="13">
        <f>VLOOKUP(A68,'Données projet'!$A$165:$I$185,9,0)</f>
        <v>5.2399999999999975</v>
      </c>
      <c r="DN68" s="13">
        <f t="array" ref="DN68">INDEX(DM:DM,MIN(IF(ISNUMBER(DM68:DM264),ROW(DM68:DM264),"")))</f>
        <v>5.2399999999999975</v>
      </c>
      <c r="DO68" s="13">
        <f>IF('Données projet'!$A$166&gt;35,DO67+DN68-DW67,IF(A68&lt;'Données projet'!$A$166,$DL$205^A68,IF(A68='Données projet'!$A$166,'Données projet'!$B$166,DO67+DN68-DW67)))</f>
        <v>305.99999999999989</v>
      </c>
      <c r="DP68" s="18">
        <f>DO68*VLOOKUP('Données projet'!$B$14,Paramètres!$A$1:$I$89,3,0)*VLOOKUP('Données projet'!$B$14,Paramètres!$A$1:$I$89,5,0)</f>
        <v>243.45359999999991</v>
      </c>
      <c r="DQ68" s="14">
        <f t="shared" si="43"/>
        <v>59.181970343065267</v>
      </c>
      <c r="DR68" s="22">
        <f t="shared" ref="DR68:DR131" si="70">(DP68+DQ68)*0.475*44/12</f>
        <v>527.09028501417185</v>
      </c>
      <c r="DS68" s="62">
        <f t="shared" ref="DS68:DS131" si="71">DR68+(DJ68+DK68)*44/12</f>
        <v>820.42361834750523</v>
      </c>
      <c r="DT68" s="62">
        <f ca="1">AVERAGE(OFFSET($DS$3,0,0,'Données projet'!$E$14+1,1))-AVERAGE(OFFSET($H$3,0,0,'Données projet'!$E$14+1,1))</f>
        <v>370.58277541710277</v>
      </c>
      <c r="DU68" s="62">
        <f t="shared" si="44"/>
        <v>404.61777090709171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>
        <f>EJ68*VLOOKUP('Données projet'!$B$15,Paramètres!$A$1:$I$89,3,0)*VLOOKUP('Données projet'!$B$15,Paramètres!$A$1:$I$89,5,0)</f>
        <v>0</v>
      </c>
      <c r="EL68" s="14" t="e">
        <f t="shared" si="45"/>
        <v>#NUM!</v>
      </c>
      <c r="EM68" s="22" t="e">
        <f t="shared" ref="EM68:EM131" si="73">(EK68+EL68)*0.475*44/12</f>
        <v>#NUM!</v>
      </c>
      <c r="EN68" s="62" t="e">
        <f t="shared" ref="EN68:EN131" si="74">EM68+(EE68+EF68)*44/12</f>
        <v>#NUM!</v>
      </c>
      <c r="EO68" s="62">
        <f ca="1">AVERAGE(OFFSET($EN$3,0,0,'Données projet'!$E$15+1,1))-AVERAGE(OFFSET($H$3,0,0,'Données projet'!$E$15+1,1))</f>
        <v>240.22884864766218</v>
      </c>
      <c r="EP68" s="62">
        <f t="shared" si="46"/>
        <v>343.23776884143166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3.9012551639948496</v>
      </c>
      <c r="EX68" s="23">
        <f>EXP(-LN(2)/2)*EX67+(1-EXP(-LN(2)/2))/(LN(2)/2)*ER68*EU68*VLOOKUP('Données projet'!$B$15,Paramètres!$A$1:$I$89,3,0)*0.475*44/12</f>
        <v>8.9115673485252881E-5</v>
      </c>
      <c r="EY68" s="24">
        <f t="shared" ref="EY68:EY131" si="75">SUM(EV68:EX68)</f>
        <v>3.9013442796683351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22.7</v>
      </c>
      <c r="FE68" s="13">
        <f>IF('Données projet'!$A$218&gt;35,FE67+FD68-FM67,IF(A68&lt;'Données projet'!$A$218,$FB$205^A68,IF(A68='Données projet'!$A$218,'Données projet'!$B$218,FE67+FD68-FM67)))</f>
        <v>517.49999999999966</v>
      </c>
      <c r="FF68" s="18">
        <f>FE68*VLOOKUP('Données projet'!$B$16,Paramètres!$A$1:$I$89,3,0)*VLOOKUP('Données projet'!$B$16,Paramètres!$A$1:$I$89,5,0)</f>
        <v>242.18999999999983</v>
      </c>
      <c r="FG68" s="14">
        <f t="shared" si="47"/>
        <v>58.910470259429303</v>
      </c>
      <c r="FH68" s="22">
        <f t="shared" ref="FH68:FH131" si="76">(FF68+FG68)*0.475*44/12</f>
        <v>524.41665236850577</v>
      </c>
      <c r="FI68" s="62">
        <f t="shared" ref="FI68:FI131" si="77">FH68+(EZ68+FA68)*44/12</f>
        <v>817.74998570183902</v>
      </c>
      <c r="FJ68" s="62">
        <f ca="1">AVERAGE(OFFSET($FI$3,0,0,'Données projet'!$E$16+1,1))-AVERAGE(OFFSET($H$3,0,0,'Données projet'!$E$16+1,1))</f>
        <v>399.92909819003523</v>
      </c>
      <c r="FK68" s="62">
        <f t="shared" si="48"/>
        <v>163.7053537268381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306</v>
      </c>
      <c r="FX68" s="13">
        <f>VLOOKUP(A68,'Données projet'!$A$243:$I$263,9,0)</f>
        <v>5.2399999999999975</v>
      </c>
      <c r="FY68" s="13">
        <f t="array" ref="FY68">INDEX(FX:FX,MIN(IF(ISNUMBER(FX68:FX264),ROW(FX68:FX264),"")))</f>
        <v>5.2399999999999975</v>
      </c>
      <c r="FZ68" s="13">
        <f>IF('Données projet'!$A$244&gt;35,FZ67+FY68-GH67,IF(A68&lt;'Données projet'!$A$244,$FW$205^A68,IF(A68='Données projet'!$A$244,'Données projet'!$B$244,FZ67+FY68-GH67)))</f>
        <v>305.99999999999989</v>
      </c>
      <c r="GA68" s="18">
        <f>FZ68*VLOOKUP('Données projet'!$B$17,Paramètres!$A$1:$I$89,3,0)*VLOOKUP('Données projet'!$B$17,Paramètres!$A$1:$I$89,5,0)</f>
        <v>224.3591999999999</v>
      </c>
      <c r="GB68" s="14">
        <f t="shared" si="49"/>
        <v>55.061251669487255</v>
      </c>
      <c r="GC68" s="22">
        <f t="shared" ref="GC68:GC131" si="79">(GA68+GB68)*0.475*44/12</f>
        <v>486.65728665769001</v>
      </c>
      <c r="GD68" s="62">
        <f t="shared" ref="GD68:GD131" si="80">GC68+(FU68+FV68)*44/12</f>
        <v>779.99061999102332</v>
      </c>
      <c r="GE68" s="62">
        <f ca="1">AVERAGE(OFFSET($GD$3,0,0,'Données projet'!$E$17+1,1))-AVERAGE(OFFSET($H$3,0,0,'Données projet'!$E$17+1,1))</f>
        <v>344.4426665022238</v>
      </c>
      <c r="GF68" s="62">
        <f t="shared" si="50"/>
        <v>376.41441893222185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18.2</v>
      </c>
      <c r="GU68" s="13">
        <f>IF('Données projet'!$A$270&gt;35,GU67+GT68-HC67,IF(A68&lt;'Données projet'!$A$270,$GR$205^A68,IF(A68='Données projet'!$A$270,'Données projet'!$B$270,GU67+GT68-HC67)))</f>
        <v>462.00000000000017</v>
      </c>
      <c r="GV68" s="18">
        <f>GU68*VLOOKUP('Données projet'!$B$18,Paramètres!$A$1:$I$89,3,0)*VLOOKUP('Données projet'!$B$18,Paramètres!$A$1:$I$89,5,0)</f>
        <v>222.22200000000007</v>
      </c>
      <c r="GW68" s="14">
        <f t="shared" si="51"/>
        <v>54.597543621228866</v>
      </c>
      <c r="GX68" s="22">
        <f t="shared" ref="GX68:GX131" si="82">(GV68+GW68)*0.475*44/12</f>
        <v>482.12737180697371</v>
      </c>
      <c r="GY68" s="62">
        <f t="shared" ref="GY68:GY131" si="83">GX68+(GP68+GQ68)*44/12</f>
        <v>775.46070514030703</v>
      </c>
      <c r="GZ68" s="62">
        <f ca="1">AVERAGE(OFFSET($GY$3,0,0,'Données projet'!$E$18+1,1))-AVERAGE(OFFSET($H$3,0,0,'Données projet'!$E$18+1,1))</f>
        <v>441.17479680509746</v>
      </c>
      <c r="HA68" s="62">
        <f t="shared" si="52"/>
        <v>198.56576128410069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13.857142857142858</v>
      </c>
      <c r="N69" s="14">
        <f>IF('Données projet'!$A$36&gt;35,N68+M69-V68,IF(A69&lt;'Données projet'!$A$36,$K$205^A69,IF(A69='Données projet'!$A$36,'Données projet'!$B$36,N68+M69-V68)))</f>
        <v>495.57142857142821</v>
      </c>
      <c r="O69" s="14">
        <f>N69*VLOOKUP('Données projet'!$B$9,Paramètres!$A$1:$I$89,3,0)*VLOOKUP('Données projet'!$B$9,Paramètres!$A$1:$I$89,5,0)</f>
        <v>277.02442857142842</v>
      </c>
      <c r="P69" s="14">
        <f t="shared" ref="P69:P132" si="87">EXP(-1.0587+0.8836*LN(O69)+0.284)</f>
        <v>66.337794630329327</v>
      </c>
      <c r="Q69" s="22">
        <f t="shared" si="54"/>
        <v>598.02253874306132</v>
      </c>
      <c r="R69" s="62">
        <f t="shared" si="55"/>
        <v>891.35587207639469</v>
      </c>
      <c r="S69" s="62">
        <f ca="1">AVERAGE(OFFSET($R$3,0,0,'Données projet'!$E$9+1,1))-AVERAGE(OFFSET($H$3,0,0,'Données projet'!$E$9+1,1))</f>
        <v>374.79806286316051</v>
      </c>
      <c r="T69" s="62">
        <f t="shared" ref="T69:T132" si="88">$T$3</f>
        <v>350.01856672839466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2.7197258617294908</v>
      </c>
      <c r="AB69" s="23">
        <f>EXP(-LN(2)/2)*AB68+(1-EXP(-LN(2)/2))/(LN(2)/2)*V69*Y69*VLOOKUP('Données projet'!$B$9,Paramètres!$A$1:$I$89,3,0)*0.475*44/12</f>
        <v>3.4265304213981288E-5</v>
      </c>
      <c r="AC69" s="24">
        <f t="shared" si="57"/>
        <v>2.7197601270337048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5.4</v>
      </c>
      <c r="AI69" s="14">
        <f>IF('Données projet'!$A$62&gt;35,AI68+AH69-AQ68,IF(A69&lt;'Données projet'!$A$62,$AF$205^A69,IF(A69='Données projet'!$A$62,'Données projet'!$B$62,AI68+AH69-AQ68)))</f>
        <v>257.40000000000015</v>
      </c>
      <c r="AJ69" s="14">
        <f>AI69*VLOOKUP('Données projet'!$B$10,Paramètres!$A$1:$I$89,3,0)*VLOOKUP('Données projet'!$B$10,Paramètres!$A$1:$I$89,5,0)</f>
        <v>224.86464000000015</v>
      </c>
      <c r="AK69" s="14">
        <f t="shared" ref="AK69:AK132" si="89">EXP(-1.0587+0.8836*LN(AJ69)+0.284)</f>
        <v>55.170841590670648</v>
      </c>
      <c r="AL69" s="22">
        <f t="shared" si="58"/>
        <v>487.72846377041816</v>
      </c>
      <c r="AM69" s="62">
        <f t="shared" si="59"/>
        <v>781.06179710375147</v>
      </c>
      <c r="AN69" s="62">
        <f ca="1">AVERAGE(OFFSET($AM$3,0,0,'Données projet'!$E$10+1,1))-AVERAGE(OFFSET($H$3,0,0,'Données projet'!$E$10+1,1))</f>
        <v>401.89597032936751</v>
      </c>
      <c r="AO69" s="62">
        <f t="shared" ref="AO69:AO132" si="90">$AO$3</f>
        <v>417.85733543972361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</v>
      </c>
      <c r="BE69" s="14">
        <f>BD69*VLOOKUP('Données projet'!$B$11,Paramètres!$A$1:$I$89,3,0)*VLOOKUP('Données projet'!$B$11,Paramètres!$A$1:$I$89,5,0)</f>
        <v>194.3510399999999</v>
      </c>
      <c r="BF69" s="14">
        <f t="shared" ref="BF69:BF132" si="91">EXP(-1.0587+0.8836*LN(BE69)+0.284)</f>
        <v>48.500634729810116</v>
      </c>
      <c r="BG69" s="22">
        <f t="shared" si="61"/>
        <v>422.96666682108577</v>
      </c>
      <c r="BH69" s="62">
        <f t="shared" si="62"/>
        <v>716.30000015441908</v>
      </c>
      <c r="BI69" s="62">
        <f ca="1">AVERAGE(OFFSET($BH$3,0,0,'Données projet'!$E$11+1,1))-AVERAGE(OFFSET($H$3,0,0,'Données projet'!$E$11+1,1))</f>
        <v>430.40491895612814</v>
      </c>
      <c r="BJ69" s="62">
        <f t="shared" ref="BJ69:BJ132" si="92">$BJ$3</f>
        <v>231.36959598460686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4.3589743589743595</v>
      </c>
      <c r="BY69" s="13">
        <f>IF('Données projet'!$A$114&gt;35,BY68+BX69-CG68,IF(A69&lt;'Données projet'!$A$114,$BV$205^A69,IF(A69='Données projet'!$A$114,'Données projet'!$B$114,BY68+BX69-CG68)))</f>
        <v>197.94871794871787</v>
      </c>
      <c r="BZ69" s="14">
        <f>BY69*VLOOKUP('Données projet'!$B$12,Paramètres!$A$1:$I$89,3,0)*VLOOKUP('Données projet'!$B$12,Paramètres!$A$1:$I$89,5,0)</f>
        <v>188.36799999999994</v>
      </c>
      <c r="CA69" s="14">
        <f t="shared" ref="CA69:CA132" si="93">EXP(-1.0587+0.8836*LN(BZ69)+0.284)</f>
        <v>47.17895987093894</v>
      </c>
      <c r="CB69" s="22">
        <f t="shared" si="64"/>
        <v>410.2442884418852</v>
      </c>
      <c r="CC69" s="62">
        <f t="shared" si="65"/>
        <v>703.57762177521852</v>
      </c>
      <c r="CD69" s="62">
        <f ca="1">AVERAGE(OFFSET($CC$3,0,0,'Données projet'!$E$12+1,1))-AVERAGE(OFFSET($H$3,0,0,'Données projet'!$E$12+1,1))</f>
        <v>367.11183928586667</v>
      </c>
      <c r="CE69" s="62">
        <f t="shared" ref="CE69:CE132" si="94">$CE$3</f>
        <v>281.52963027844595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-3.4106051316484809E-13</v>
      </c>
      <c r="CU69" s="18">
        <f>CT69*VLOOKUP('Données projet'!$B$13,Paramètres!$A$1:$I$89,3,0)*VLOOKUP('Données projet'!$B$13,Paramètres!$A$1:$I$89,5,0)</f>
        <v>-2.0395418687257919E-13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308.47522272937135</v>
      </c>
      <c r="CZ69" s="62">
        <f t="shared" ref="CZ69:CZ132" si="96">$CZ$3</f>
        <v>302.54354650449721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1.4153676263716728</v>
      </c>
      <c r="DH69" s="23">
        <f>EXP(-LN(2)/2)*DH68+(1-EXP(-LN(2)/2))/(LN(2)/2)*DB69*DE69*VLOOKUP('Données projet'!$B$13,Paramètres!$A$1:$I$89,3,0)*0.475*44/12</f>
        <v>6.5893634544736445E-5</v>
      </c>
      <c r="DI69" s="24">
        <f t="shared" si="69"/>
        <v>1.4154335200062176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4.5</v>
      </c>
      <c r="DO69" s="13">
        <f>IF('Données projet'!$A$166&gt;35,DO68+DN69-DW68,IF(A69&lt;'Données projet'!$A$166,$DL$205^A69,IF(A69='Données projet'!$A$166,'Données projet'!$B$166,DO68+DN69-DW68)))</f>
        <v>310.49999999999989</v>
      </c>
      <c r="DP69" s="18">
        <f>DO69*VLOOKUP('Données projet'!$B$14,Paramètres!$A$1:$I$89,3,0)*VLOOKUP('Données projet'!$B$14,Paramètres!$A$1:$I$89,5,0)</f>
        <v>247.0337999999999</v>
      </c>
      <c r="DQ69" s="14">
        <f t="shared" ref="DQ69:DQ132" si="97">EXP(-1.0587+0.8836*LN(DP69)+0.284)</f>
        <v>59.950333213989722</v>
      </c>
      <c r="DR69" s="22">
        <f t="shared" si="70"/>
        <v>534.66403201436515</v>
      </c>
      <c r="DS69" s="62">
        <f t="shared" si="71"/>
        <v>827.99736534769841</v>
      </c>
      <c r="DT69" s="62">
        <f ca="1">AVERAGE(OFFSET($DS$3,0,0,'Données projet'!$E$14+1,1))-AVERAGE(OFFSET($H$3,0,0,'Données projet'!$E$14+1,1))</f>
        <v>370.58277541710277</v>
      </c>
      <c r="DU69" s="62">
        <f t="shared" ref="DU69:DU132" si="98">$DU$3</f>
        <v>404.61777090709171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>
        <f>EJ69*VLOOKUP('Données projet'!$B$15,Paramètres!$A$1:$I$89,3,0)*VLOOKUP('Données projet'!$B$15,Paramètres!$A$1:$I$89,5,0)</f>
        <v>0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2" t="e">
        <f t="shared" si="74"/>
        <v>#NUM!</v>
      </c>
      <c r="EO69" s="62">
        <f ca="1">AVERAGE(OFFSET($EN$3,0,0,'Données projet'!$E$15+1,1))-AVERAGE(OFFSET($H$3,0,0,'Données projet'!$E$15+1,1))</f>
        <v>240.22884864766218</v>
      </c>
      <c r="EP69" s="62">
        <f t="shared" ref="EP69:EP132" si="100">$EP$3</f>
        <v>343.23776884143166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3.7945751363773179</v>
      </c>
      <c r="EX69" s="23">
        <f>EXP(-LN(2)/2)*EX68+(1-EXP(-LN(2)/2))/(LN(2)/2)*ER69*EU69*VLOOKUP('Données projet'!$B$15,Paramètres!$A$1:$I$89,3,0)*0.475*44/12</f>
        <v>6.3014297031428523E-5</v>
      </c>
      <c r="EY69" s="24">
        <f t="shared" si="75"/>
        <v>3.7946381506743494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22.7</v>
      </c>
      <c r="FE69" s="13">
        <f>IF('Données projet'!$A$218&gt;35,FE68+FD69-FM68,IF(A69&lt;'Données projet'!$A$218,$FB$205^A69,IF(A69='Données projet'!$A$218,'Données projet'!$B$218,FE68+FD69-FM68)))</f>
        <v>540.1999999999997</v>
      </c>
      <c r="FF69" s="18">
        <f>FE69*VLOOKUP('Données projet'!$B$16,Paramètres!$A$1:$I$89,3,0)*VLOOKUP('Données projet'!$B$16,Paramètres!$A$1:$I$89,5,0)</f>
        <v>252.81359999999987</v>
      </c>
      <c r="FG69" s="14">
        <f t="shared" ref="FG69:FG132" si="101">EXP(-1.0587+0.8836*LN(FF69)+0.284)</f>
        <v>61.188037954168315</v>
      </c>
      <c r="FH69" s="22">
        <f t="shared" si="76"/>
        <v>546.88618610350966</v>
      </c>
      <c r="FI69" s="62">
        <f t="shared" si="77"/>
        <v>840.21951943684303</v>
      </c>
      <c r="FJ69" s="62">
        <f ca="1">AVERAGE(OFFSET($FI$3,0,0,'Données projet'!$E$16+1,1))-AVERAGE(OFFSET($H$3,0,0,'Données projet'!$E$16+1,1))</f>
        <v>399.92909819003523</v>
      </c>
      <c r="FK69" s="62">
        <f t="shared" ref="FK69:FK132" si="102">$FK$3</f>
        <v>163.7053537268381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4.5</v>
      </c>
      <c r="FZ69" s="13">
        <f>IF('Données projet'!$A$244&gt;35,FZ68+FY69-GH68,IF(A69&lt;'Données projet'!$A$244,$FW$205^A69,IF(A69='Données projet'!$A$244,'Données projet'!$B$244,FZ68+FY69-GH68)))</f>
        <v>310.49999999999989</v>
      </c>
      <c r="GA69" s="18">
        <f>FZ69*VLOOKUP('Données projet'!$B$17,Paramètres!$A$1:$I$89,3,0)*VLOOKUP('Données projet'!$B$17,Paramètres!$A$1:$I$89,5,0)</f>
        <v>227.65859999999992</v>
      </c>
      <c r="GB69" s="14">
        <f t="shared" ref="GB69:GB132" si="103">EXP(-1.0587+0.8836*LN(GA69)+0.284)</f>
        <v>55.776115016621809</v>
      </c>
      <c r="GC69" s="22">
        <f t="shared" si="79"/>
        <v>493.64879532061622</v>
      </c>
      <c r="GD69" s="62">
        <f t="shared" si="80"/>
        <v>786.98212865394953</v>
      </c>
      <c r="GE69" s="62">
        <f ca="1">AVERAGE(OFFSET($GD$3,0,0,'Données projet'!$E$17+1,1))-AVERAGE(OFFSET($H$3,0,0,'Données projet'!$E$17+1,1))</f>
        <v>344.4426665022238</v>
      </c>
      <c r="GF69" s="62">
        <f t="shared" ref="GF69:GF132" si="104">$GF$3</f>
        <v>376.41441893222185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18.2</v>
      </c>
      <c r="GU69" s="13">
        <f>IF('Données projet'!$A$270&gt;35,GU68+GT69-HC68,IF(A69&lt;'Données projet'!$A$270,$GR$205^A69,IF(A69='Données projet'!$A$270,'Données projet'!$B$270,GU68+GT69-HC68)))</f>
        <v>480.20000000000016</v>
      </c>
      <c r="GV69" s="18">
        <f>GU69*VLOOKUP('Données projet'!$B$18,Paramètres!$A$1:$I$89,3,0)*VLOOKUP('Données projet'!$B$18,Paramètres!$A$1:$I$89,5,0)</f>
        <v>230.97620000000009</v>
      </c>
      <c r="GW69" s="14">
        <f t="shared" ref="GW69:GW132" si="105">EXP(-1.0587+0.8836*LN(GV69)+0.284)</f>
        <v>56.493706736344649</v>
      </c>
      <c r="GX69" s="22">
        <f t="shared" si="82"/>
        <v>500.67675423246709</v>
      </c>
      <c r="GY69" s="62">
        <f t="shared" si="83"/>
        <v>794.0100875658004</v>
      </c>
      <c r="GZ69" s="62">
        <f ca="1">AVERAGE(OFFSET($GY$3,0,0,'Données projet'!$E$18+1,1))-AVERAGE(OFFSET($H$3,0,0,'Données projet'!$E$18+1,1))</f>
        <v>441.17479680509746</v>
      </c>
      <c r="HA69" s="62">
        <f t="shared" ref="HA69:HA132" si="106">$HA$3</f>
        <v>198.56576128410069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13.857142857142858</v>
      </c>
      <c r="N70" s="14">
        <f>IF('Données projet'!$A$36&gt;35,N69+M70-V69,IF(A70&lt;'Données projet'!$A$36,$K$205^A70,IF(A70='Données projet'!$A$36,'Données projet'!$B$36,N69+M70-V69)))</f>
        <v>509.42857142857105</v>
      </c>
      <c r="O70" s="14">
        <f>N70*VLOOKUP('Données projet'!$B$9,Paramètres!$A$1:$I$89,3,0)*VLOOKUP('Données projet'!$B$9,Paramètres!$A$1:$I$89,5,0)</f>
        <v>284.77057142857126</v>
      </c>
      <c r="P70" s="14">
        <f t="shared" si="87"/>
        <v>67.974174355789401</v>
      </c>
      <c r="Q70" s="22">
        <f t="shared" si="54"/>
        <v>614.36376557442816</v>
      </c>
      <c r="R70" s="62">
        <f t="shared" si="55"/>
        <v>907.69709890776153</v>
      </c>
      <c r="S70" s="62">
        <f ca="1">AVERAGE(OFFSET($R$3,0,0,'Données projet'!$E$9+1,1))-AVERAGE(OFFSET($H$3,0,0,'Données projet'!$E$9+1,1))</f>
        <v>374.79806286316051</v>
      </c>
      <c r="T70" s="62">
        <f t="shared" si="88"/>
        <v>350.01856672839466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2.6453548150163306</v>
      </c>
      <c r="AB70" s="23">
        <f>EXP(-LN(2)/2)*AB69+(1-EXP(-LN(2)/2))/(LN(2)/2)*V70*Y70*VLOOKUP('Données projet'!$B$9,Paramètres!$A$1:$I$89,3,0)*0.475*44/12</f>
        <v>2.4229228969126152E-5</v>
      </c>
      <c r="AC70" s="24">
        <f t="shared" si="57"/>
        <v>2.6453790442452996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5.4</v>
      </c>
      <c r="AI70" s="14">
        <f>IF('Données projet'!$A$62&gt;35,AI69+AH70-AQ69,IF(A70&lt;'Données projet'!$A$62,$AF$205^A70,IF(A70='Données projet'!$A$62,'Données projet'!$B$62,AI69+AH70-AQ69)))</f>
        <v>262.80000000000013</v>
      </c>
      <c r="AJ70" s="14">
        <f>AI70*VLOOKUP('Données projet'!$B$10,Paramètres!$A$1:$I$89,3,0)*VLOOKUP('Données projet'!$B$10,Paramètres!$A$1:$I$89,5,0)</f>
        <v>229.58208000000016</v>
      </c>
      <c r="AK70" s="14">
        <f t="shared" si="89"/>
        <v>56.192307893526461</v>
      </c>
      <c r="AL70" s="22">
        <f t="shared" si="58"/>
        <v>497.72372558122561</v>
      </c>
      <c r="AM70" s="62">
        <f t="shared" si="59"/>
        <v>791.05705891455887</v>
      </c>
      <c r="AN70" s="62">
        <f ca="1">AVERAGE(OFFSET($AM$3,0,0,'Données projet'!$E$10+1,1))-AVERAGE(OFFSET($H$3,0,0,'Données projet'!$E$10+1,1))</f>
        <v>401.89597032936751</v>
      </c>
      <c r="AO70" s="62">
        <f t="shared" si="90"/>
        <v>417.85733543972361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221.59999999999991</v>
      </c>
      <c r="BE70" s="14">
        <f>BD70*VLOOKUP('Données projet'!$B$11,Paramètres!$A$1:$I$89,3,0)*VLOOKUP('Données projet'!$B$11,Paramètres!$A$1:$I$89,5,0)</f>
        <v>200.50367999999992</v>
      </c>
      <c r="BF70" s="14">
        <f t="shared" si="91"/>
        <v>49.854845135229887</v>
      </c>
      <c r="BG70" s="22">
        <f t="shared" si="61"/>
        <v>436.04109794385857</v>
      </c>
      <c r="BH70" s="62">
        <f t="shared" si="62"/>
        <v>729.37443127719189</v>
      </c>
      <c r="BI70" s="62">
        <f ca="1">AVERAGE(OFFSET($BH$3,0,0,'Données projet'!$E$11+1,1))-AVERAGE(OFFSET($H$3,0,0,'Données projet'!$E$11+1,1))</f>
        <v>430.40491895612814</v>
      </c>
      <c r="BJ70" s="62">
        <f t="shared" si="92"/>
        <v>231.36959598460686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4.3589743589743595</v>
      </c>
      <c r="BY70" s="13">
        <f>IF('Données projet'!$A$114&gt;35,BY69+BX70-CG69,IF(A70&lt;'Données projet'!$A$114,$BV$205^A70,IF(A70='Données projet'!$A$114,'Données projet'!$B$114,BY69+BX70-CG69)))</f>
        <v>202.30769230769224</v>
      </c>
      <c r="BZ70" s="14">
        <f>BY70*VLOOKUP('Données projet'!$B$12,Paramètres!$A$1:$I$89,3,0)*VLOOKUP('Données projet'!$B$12,Paramètres!$A$1:$I$89,5,0)</f>
        <v>192.51599999999993</v>
      </c>
      <c r="CA70" s="14">
        <f t="shared" si="93"/>
        <v>48.095778128339838</v>
      </c>
      <c r="CB70" s="22">
        <f t="shared" si="64"/>
        <v>419.0655135735251</v>
      </c>
      <c r="CC70" s="62">
        <f t="shared" si="65"/>
        <v>712.39884690685835</v>
      </c>
      <c r="CD70" s="62">
        <f ca="1">AVERAGE(OFFSET($CC$3,0,0,'Données projet'!$E$12+1,1))-AVERAGE(OFFSET($H$3,0,0,'Données projet'!$E$12+1,1))</f>
        <v>367.11183928586667</v>
      </c>
      <c r="CE70" s="62">
        <f t="shared" si="94"/>
        <v>281.52963027844595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-3.4106051316484809E-13</v>
      </c>
      <c r="CU70" s="18">
        <f>CT70*VLOOKUP('Données projet'!$B$13,Paramètres!$A$1:$I$89,3,0)*VLOOKUP('Données projet'!$B$13,Paramètres!$A$1:$I$89,5,0)</f>
        <v>-2.0395418687257919E-13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308.47522272937135</v>
      </c>
      <c r="CZ70" s="62">
        <f t="shared" si="96"/>
        <v>302.54354650449721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1.3766643241975909</v>
      </c>
      <c r="DH70" s="23">
        <f>EXP(-LN(2)/2)*DH69+(1-EXP(-LN(2)/2))/(LN(2)/2)*DB70*DE70*VLOOKUP('Données projet'!$B$13,Paramètres!$A$1:$I$89,3,0)*0.475*44/12</f>
        <v>4.6593835823611284E-5</v>
      </c>
      <c r="DI70" s="24">
        <f t="shared" si="69"/>
        <v>1.3767109180334145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4.5</v>
      </c>
      <c r="DO70" s="13">
        <f>IF('Données projet'!$A$166&gt;35,DO69+DN70-DW69,IF(A70&lt;'Données projet'!$A$166,$DL$205^A70,IF(A70='Données projet'!$A$166,'Données projet'!$B$166,DO69+DN70-DW69)))</f>
        <v>314.99999999999989</v>
      </c>
      <c r="DP70" s="18">
        <f>DO70*VLOOKUP('Données projet'!$B$14,Paramètres!$A$1:$I$89,3,0)*VLOOKUP('Données projet'!$B$14,Paramètres!$A$1:$I$89,5,0)</f>
        <v>250.61399999999992</v>
      </c>
      <c r="DQ70" s="14">
        <f t="shared" si="97"/>
        <v>60.717400934916043</v>
      </c>
      <c r="DR70" s="22">
        <f t="shared" si="70"/>
        <v>542.23552329497863</v>
      </c>
      <c r="DS70" s="62">
        <f t="shared" si="71"/>
        <v>835.56885662831201</v>
      </c>
      <c r="DT70" s="62">
        <f ca="1">AVERAGE(OFFSET($DS$3,0,0,'Données projet'!$E$14+1,1))-AVERAGE(OFFSET($H$3,0,0,'Données projet'!$E$14+1,1))</f>
        <v>370.58277541710277</v>
      </c>
      <c r="DU70" s="62">
        <f t="shared" si="98"/>
        <v>404.61777090709171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>
        <f>EJ70*VLOOKUP('Données projet'!$B$15,Paramètres!$A$1:$I$89,3,0)*VLOOKUP('Données projet'!$B$15,Paramètres!$A$1:$I$89,5,0)</f>
        <v>0</v>
      </c>
      <c r="EL70" s="14" t="e">
        <f t="shared" si="99"/>
        <v>#NUM!</v>
      </c>
      <c r="EM70" s="22" t="e">
        <f t="shared" si="73"/>
        <v>#NUM!</v>
      </c>
      <c r="EN70" s="62" t="e">
        <f t="shared" si="74"/>
        <v>#NUM!</v>
      </c>
      <c r="EO70" s="62">
        <f ca="1">AVERAGE(OFFSET($EN$3,0,0,'Données projet'!$E$15+1,1))-AVERAGE(OFFSET($H$3,0,0,'Données projet'!$E$15+1,1))</f>
        <v>240.22884864766218</v>
      </c>
      <c r="EP70" s="62">
        <f t="shared" si="100"/>
        <v>343.23776884143166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3.6908122797250464</v>
      </c>
      <c r="EX70" s="23">
        <f>EXP(-LN(2)/2)*EX69+(1-EXP(-LN(2)/2))/(LN(2)/2)*ER70*EU70*VLOOKUP('Données projet'!$B$15,Paramètres!$A$1:$I$89,3,0)*0.475*44/12</f>
        <v>4.455783674262644E-5</v>
      </c>
      <c r="EY70" s="24">
        <f t="shared" si="75"/>
        <v>3.690856837561789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22.7</v>
      </c>
      <c r="FE70" s="13">
        <f>IF('Données projet'!$A$218&gt;35,FE69+FD70-FM69,IF(A70&lt;'Données projet'!$A$218,$FB$205^A70,IF(A70='Données projet'!$A$218,'Données projet'!$B$218,FE69+FD70-FM69)))</f>
        <v>562.89999999999975</v>
      </c>
      <c r="FF70" s="18">
        <f>FE70*VLOOKUP('Données projet'!$B$16,Paramètres!$A$1:$I$89,3,0)*VLOOKUP('Données projet'!$B$16,Paramètres!$A$1:$I$89,5,0)</f>
        <v>263.43719999999985</v>
      </c>
      <c r="FG70" s="14">
        <f t="shared" si="101"/>
        <v>63.454489128933133</v>
      </c>
      <c r="FH70" s="22">
        <f t="shared" si="76"/>
        <v>569.33635856622493</v>
      </c>
      <c r="FI70" s="62">
        <f t="shared" si="77"/>
        <v>862.6696918995583</v>
      </c>
      <c r="FJ70" s="62">
        <f ca="1">AVERAGE(OFFSET($FI$3,0,0,'Données projet'!$E$16+1,1))-AVERAGE(OFFSET($H$3,0,0,'Données projet'!$E$16+1,1))</f>
        <v>399.92909819003523</v>
      </c>
      <c r="FK70" s="62">
        <f t="shared" si="102"/>
        <v>163.7053537268381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4.5</v>
      </c>
      <c r="FZ70" s="13">
        <f>IF('Données projet'!$A$244&gt;35,FZ69+FY70-GH69,IF(A70&lt;'Données projet'!$A$244,$FW$205^A70,IF(A70='Données projet'!$A$244,'Données projet'!$B$244,FZ69+FY70-GH69)))</f>
        <v>314.99999999999989</v>
      </c>
      <c r="GA70" s="18">
        <f>FZ70*VLOOKUP('Données projet'!$B$17,Paramètres!$A$1:$I$89,3,0)*VLOOKUP('Données projet'!$B$17,Paramètres!$A$1:$I$89,5,0)</f>
        <v>230.95799999999988</v>
      </c>
      <c r="GB70" s="14">
        <f t="shared" si="103"/>
        <v>56.489773392384429</v>
      </c>
      <c r="GC70" s="22">
        <f t="shared" si="79"/>
        <v>500.63820532506929</v>
      </c>
      <c r="GD70" s="62">
        <f t="shared" si="80"/>
        <v>793.97153865840255</v>
      </c>
      <c r="GE70" s="62">
        <f ca="1">AVERAGE(OFFSET($GD$3,0,0,'Données projet'!$E$17+1,1))-AVERAGE(OFFSET($H$3,0,0,'Données projet'!$E$17+1,1))</f>
        <v>344.4426665022238</v>
      </c>
      <c r="GF70" s="62">
        <f t="shared" si="104"/>
        <v>376.41441893222185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18.2</v>
      </c>
      <c r="GU70" s="13">
        <f>IF('Données projet'!$A$270&gt;35,GU69+GT70-HC69,IF(A70&lt;'Données projet'!$A$270,$GR$205^A70,IF(A70='Données projet'!$A$270,'Données projet'!$B$270,GU69+GT70-HC69)))</f>
        <v>498.40000000000015</v>
      </c>
      <c r="GV70" s="18">
        <f>GU70*VLOOKUP('Données projet'!$B$18,Paramètres!$A$1:$I$89,3,0)*VLOOKUP('Données projet'!$B$18,Paramètres!$A$1:$I$89,5,0)</f>
        <v>239.73040000000006</v>
      </c>
      <c r="GW70" s="14">
        <f t="shared" si="105"/>
        <v>58.381520935000857</v>
      </c>
      <c r="GX70" s="22">
        <f t="shared" si="82"/>
        <v>519.2115956284598</v>
      </c>
      <c r="GY70" s="62">
        <f t="shared" si="83"/>
        <v>812.54492896179318</v>
      </c>
      <c r="GZ70" s="62">
        <f ca="1">AVERAGE(OFFSET($GY$3,0,0,'Données projet'!$E$18+1,1))-AVERAGE(OFFSET($H$3,0,0,'Données projet'!$E$18+1,1))</f>
        <v>441.17479680509746</v>
      </c>
      <c r="HA70" s="62">
        <f t="shared" si="106"/>
        <v>198.56576128410069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13.857142857142858</v>
      </c>
      <c r="N71" s="14">
        <f>IF('Données projet'!$A$36&gt;35,N70+M71-V70,IF(A71&lt;'Données projet'!$A$36,$K$205^A71,IF(A71='Données projet'!$A$36,'Données projet'!$B$36,N70+M71-V70)))</f>
        <v>523.28571428571388</v>
      </c>
      <c r="O71" s="14">
        <f>N71*VLOOKUP('Données projet'!$B$9,Paramètres!$A$1:$I$89,3,0)*VLOOKUP('Données projet'!$B$9,Paramètres!$A$1:$I$89,5,0)</f>
        <v>292.5167142857141</v>
      </c>
      <c r="P71" s="14">
        <f t="shared" si="87"/>
        <v>69.605380435295899</v>
      </c>
      <c r="Q71" s="22">
        <f t="shared" si="54"/>
        <v>630.69598163909245</v>
      </c>
      <c r="R71" s="62">
        <f t="shared" si="55"/>
        <v>924.02931497242571</v>
      </c>
      <c r="S71" s="62">
        <f ca="1">AVERAGE(OFFSET($R$3,0,0,'Données projet'!$E$9+1,1))-AVERAGE(OFFSET($H$3,0,0,'Données projet'!$E$9+1,1))</f>
        <v>374.79806286316051</v>
      </c>
      <c r="T71" s="62">
        <f t="shared" si="88"/>
        <v>350.01856672839466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2.5730174484865453</v>
      </c>
      <c r="AB71" s="23">
        <f>EXP(-LN(2)/2)*AB70+(1-EXP(-LN(2)/2))/(LN(2)/2)*V71*Y71*VLOOKUP('Données projet'!$B$9,Paramètres!$A$1:$I$89,3,0)*0.475*44/12</f>
        <v>1.7132652106990644E-5</v>
      </c>
      <c r="AC71" s="24">
        <f t="shared" si="57"/>
        <v>2.5730345811386521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5.4</v>
      </c>
      <c r="AI71" s="14">
        <f>IF('Données projet'!$A$62&gt;35,AI70+AH71-AQ70,IF(A71&lt;'Données projet'!$A$62,$AF$205^A71,IF(A71='Données projet'!$A$62,'Données projet'!$B$62,AI70+AH71-AQ70)))</f>
        <v>268.2000000000001</v>
      </c>
      <c r="AJ71" s="14">
        <f>AI71*VLOOKUP('Données projet'!$B$10,Paramètres!$A$1:$I$89,3,0)*VLOOKUP('Données projet'!$B$10,Paramètres!$A$1:$I$89,5,0)</f>
        <v>234.29952000000011</v>
      </c>
      <c r="AK71" s="14">
        <f t="shared" si="89"/>
        <v>57.211333810723708</v>
      </c>
      <c r="AL71" s="22">
        <f t="shared" si="58"/>
        <v>507.71473705367725</v>
      </c>
      <c r="AM71" s="62">
        <f t="shared" si="59"/>
        <v>801.04807038701051</v>
      </c>
      <c r="AN71" s="62">
        <f ca="1">AVERAGE(OFFSET($AM$3,0,0,'Données projet'!$E$10+1,1))-AVERAGE(OFFSET($H$3,0,0,'Données projet'!$E$10+1,1))</f>
        <v>401.89597032936751</v>
      </c>
      <c r="AO71" s="62">
        <f t="shared" si="90"/>
        <v>417.85733543972361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228.39999999999992</v>
      </c>
      <c r="BE71" s="14">
        <f>BD71*VLOOKUP('Données projet'!$B$11,Paramètres!$A$1:$I$89,3,0)*VLOOKUP('Données projet'!$B$11,Paramètres!$A$1:$I$89,5,0)</f>
        <v>206.65631999999994</v>
      </c>
      <c r="BF71" s="14">
        <f t="shared" si="91"/>
        <v>51.20422634371338</v>
      </c>
      <c r="BG71" s="22">
        <f t="shared" si="61"/>
        <v>449.10711821530072</v>
      </c>
      <c r="BH71" s="62">
        <f t="shared" si="62"/>
        <v>742.44045154863397</v>
      </c>
      <c r="BI71" s="62">
        <f ca="1">AVERAGE(OFFSET($BH$3,0,0,'Données projet'!$E$11+1,1))-AVERAGE(OFFSET($H$3,0,0,'Données projet'!$E$11+1,1))</f>
        <v>430.40491895612814</v>
      </c>
      <c r="BJ71" s="62">
        <f t="shared" si="92"/>
        <v>231.36959598460686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4.3589743589743595</v>
      </c>
      <c r="BY71" s="13">
        <f>IF('Données projet'!$A$114&gt;35,BY70+BX71-CG70,IF(A71&lt;'Données projet'!$A$114,$BV$205^A71,IF(A71='Données projet'!$A$114,'Données projet'!$B$114,BY70+BX71-CG70)))</f>
        <v>206.6666666666666</v>
      </c>
      <c r="BZ71" s="14">
        <f>BY71*VLOOKUP('Données projet'!$B$12,Paramètres!$A$1:$I$89,3,0)*VLOOKUP('Données projet'!$B$12,Paramètres!$A$1:$I$89,5,0)</f>
        <v>196.66399999999993</v>
      </c>
      <c r="CA71" s="14">
        <f t="shared" si="93"/>
        <v>49.010299712644574</v>
      </c>
      <c r="CB71" s="22">
        <f t="shared" si="64"/>
        <v>427.8827386661892</v>
      </c>
      <c r="CC71" s="62">
        <f t="shared" si="65"/>
        <v>721.21607199952246</v>
      </c>
      <c r="CD71" s="62">
        <f ca="1">AVERAGE(OFFSET($CC$3,0,0,'Données projet'!$E$12+1,1))-AVERAGE(OFFSET($H$3,0,0,'Données projet'!$E$12+1,1))</f>
        <v>367.11183928586667</v>
      </c>
      <c r="CE71" s="62">
        <f t="shared" si="94"/>
        <v>281.52963027844595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-3.4106051316484809E-13</v>
      </c>
      <c r="CU71" s="18">
        <f>CT71*VLOOKUP('Données projet'!$B$13,Paramètres!$A$1:$I$89,3,0)*VLOOKUP('Données projet'!$B$13,Paramètres!$A$1:$I$89,5,0)</f>
        <v>-2.0395418687257919E-13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308.47522272937135</v>
      </c>
      <c r="CZ71" s="62">
        <f t="shared" si="96"/>
        <v>302.54354650449721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1.3390193658567773</v>
      </c>
      <c r="DH71" s="23">
        <f>EXP(-LN(2)/2)*DH70+(1-EXP(-LN(2)/2))/(LN(2)/2)*DB71*DE71*VLOOKUP('Données projet'!$B$13,Paramètres!$A$1:$I$89,3,0)*0.475*44/12</f>
        <v>3.2946817272368222E-5</v>
      </c>
      <c r="DI71" s="24">
        <f t="shared" si="69"/>
        <v>1.3390523126740497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4.5</v>
      </c>
      <c r="DO71" s="13">
        <f>IF('Données projet'!$A$166&gt;35,DO70+DN71-DW70,IF(A71&lt;'Données projet'!$A$166,$DL$205^A71,IF(A71='Données projet'!$A$166,'Données projet'!$B$166,DO70+DN71-DW70)))</f>
        <v>319.49999999999989</v>
      </c>
      <c r="DP71" s="18">
        <f>DO71*VLOOKUP('Données projet'!$B$14,Paramètres!$A$1:$I$89,3,0)*VLOOKUP('Données projet'!$B$14,Paramètres!$A$1:$I$89,5,0)</f>
        <v>254.19419999999991</v>
      </c>
      <c r="DQ71" s="14">
        <f t="shared" si="97"/>
        <v>61.483194145885243</v>
      </c>
      <c r="DR71" s="22">
        <f t="shared" si="70"/>
        <v>549.80479480408326</v>
      </c>
      <c r="DS71" s="62">
        <f t="shared" si="71"/>
        <v>843.13812813741652</v>
      </c>
      <c r="DT71" s="62">
        <f ca="1">AVERAGE(OFFSET($DS$3,0,0,'Données projet'!$E$14+1,1))-AVERAGE(OFFSET($H$3,0,0,'Données projet'!$E$14+1,1))</f>
        <v>370.58277541710277</v>
      </c>
      <c r="DU71" s="62">
        <f t="shared" si="98"/>
        <v>404.61777090709171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>
        <f>EJ71*VLOOKUP('Données projet'!$B$15,Paramètres!$A$1:$I$89,3,0)*VLOOKUP('Données projet'!$B$15,Paramètres!$A$1:$I$89,5,0)</f>
        <v>0</v>
      </c>
      <c r="EL71" s="14" t="e">
        <f t="shared" si="99"/>
        <v>#NUM!</v>
      </c>
      <c r="EM71" s="22" t="e">
        <f t="shared" si="73"/>
        <v>#NUM!</v>
      </c>
      <c r="EN71" s="62" t="e">
        <f t="shared" si="74"/>
        <v>#NUM!</v>
      </c>
      <c r="EO71" s="62">
        <f ca="1">AVERAGE(OFFSET($EN$3,0,0,'Données projet'!$E$15+1,1))-AVERAGE(OFFSET($H$3,0,0,'Données projet'!$E$15+1,1))</f>
        <v>240.22884864766218</v>
      </c>
      <c r="EP71" s="62">
        <f t="shared" si="100"/>
        <v>343.23776884143166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3.5898868238445827</v>
      </c>
      <c r="EX71" s="23">
        <f>EXP(-LN(2)/2)*EX70+(1-EXP(-LN(2)/2))/(LN(2)/2)*ER71*EU71*VLOOKUP('Données projet'!$B$15,Paramètres!$A$1:$I$89,3,0)*0.475*44/12</f>
        <v>3.1507148515714262E-5</v>
      </c>
      <c r="EY71" s="24">
        <f t="shared" si="75"/>
        <v>3.5899183309930982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22.7</v>
      </c>
      <c r="FE71" s="13">
        <f>IF('Données projet'!$A$218&gt;35,FE70+FD71-FM70,IF(A71&lt;'Données projet'!$A$218,$FB$205^A71,IF(A71='Données projet'!$A$218,'Données projet'!$B$218,FE70+FD71-FM70)))</f>
        <v>585.5999999999998</v>
      </c>
      <c r="FF71" s="18">
        <f>FE71*VLOOKUP('Données projet'!$B$16,Paramètres!$A$1:$I$89,3,0)*VLOOKUP('Données projet'!$B$16,Paramètres!$A$1:$I$89,5,0)</f>
        <v>274.06079999999992</v>
      </c>
      <c r="FG71" s="14">
        <f t="shared" si="101"/>
        <v>65.710323362952934</v>
      </c>
      <c r="FH71" s="22">
        <f t="shared" si="76"/>
        <v>591.76803985714275</v>
      </c>
      <c r="FI71" s="62">
        <f t="shared" si="77"/>
        <v>885.10137319047612</v>
      </c>
      <c r="FJ71" s="62">
        <f ca="1">AVERAGE(OFFSET($FI$3,0,0,'Données projet'!$E$16+1,1))-AVERAGE(OFFSET($H$3,0,0,'Données projet'!$E$16+1,1))</f>
        <v>399.92909819003523</v>
      </c>
      <c r="FK71" s="62">
        <f t="shared" si="102"/>
        <v>163.7053537268381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4.5</v>
      </c>
      <c r="FZ71" s="13">
        <f>IF('Données projet'!$A$244&gt;35,FZ70+FY71-GH70,IF(A71&lt;'Données projet'!$A$244,$FW$205^A71,IF(A71='Données projet'!$A$244,'Données projet'!$B$244,FZ70+FY71-GH70)))</f>
        <v>319.49999999999989</v>
      </c>
      <c r="GA71" s="18">
        <f>FZ71*VLOOKUP('Données projet'!$B$17,Paramètres!$A$1:$I$89,3,0)*VLOOKUP('Données projet'!$B$17,Paramètres!$A$1:$I$89,5,0)</f>
        <v>234.2573999999999</v>
      </c>
      <c r="GB71" s="14">
        <f t="shared" si="103"/>
        <v>57.202245999692629</v>
      </c>
      <c r="GC71" s="22">
        <f t="shared" si="79"/>
        <v>507.62555011613114</v>
      </c>
      <c r="GD71" s="62">
        <f t="shared" si="80"/>
        <v>800.95888344946445</v>
      </c>
      <c r="GE71" s="62">
        <f ca="1">AVERAGE(OFFSET($GD$3,0,0,'Données projet'!$E$17+1,1))-AVERAGE(OFFSET($H$3,0,0,'Données projet'!$E$17+1,1))</f>
        <v>344.4426665022238</v>
      </c>
      <c r="GF71" s="62">
        <f t="shared" si="104"/>
        <v>376.41441893222185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18.2</v>
      </c>
      <c r="GU71" s="13">
        <f>IF('Données projet'!$A$270&gt;35,GU70+GT71-HC70,IF(A71&lt;'Données projet'!$A$270,$GR$205^A71,IF(A71='Données projet'!$A$270,'Données projet'!$B$270,GU70+GT71-HC70)))</f>
        <v>516.60000000000014</v>
      </c>
      <c r="GV71" s="18">
        <f>GU71*VLOOKUP('Données projet'!$B$18,Paramètres!$A$1:$I$89,3,0)*VLOOKUP('Données projet'!$B$18,Paramètres!$A$1:$I$89,5,0)</f>
        <v>248.48460000000009</v>
      </c>
      <c r="GW71" s="14">
        <f t="shared" si="105"/>
        <v>60.261326012230654</v>
      </c>
      <c r="GX71" s="22">
        <f t="shared" si="82"/>
        <v>537.73248780463518</v>
      </c>
      <c r="GY71" s="62">
        <f t="shared" si="83"/>
        <v>831.06582113796844</v>
      </c>
      <c r="GZ71" s="62">
        <f ca="1">AVERAGE(OFFSET($GY$3,0,0,'Données projet'!$E$18+1,1))-AVERAGE(OFFSET($H$3,0,0,'Données projet'!$E$18+1,1))</f>
        <v>441.17479680509746</v>
      </c>
      <c r="HA71" s="62">
        <f t="shared" si="106"/>
        <v>198.56576128410069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13.857142857142858</v>
      </c>
      <c r="N72" s="14">
        <f>IF('Données projet'!$A$36&gt;35,N71+M72-V71,IF(A72&lt;'Données projet'!$A$36,$K$205^A72,IF(A72='Données projet'!$A$36,'Données projet'!$B$36,N71+M72-V71)))</f>
        <v>537.14285714285677</v>
      </c>
      <c r="O72" s="14">
        <f>N72*VLOOKUP('Données projet'!$B$9,Paramètres!$A$1:$I$89,3,0)*VLOOKUP('Données projet'!$B$9,Paramètres!$A$1:$I$89,5,0)</f>
        <v>300.26285714285694</v>
      </c>
      <c r="P72" s="14">
        <f t="shared" si="87"/>
        <v>71.231565620163408</v>
      </c>
      <c r="Q72" s="22">
        <f t="shared" si="54"/>
        <v>647.01945297892712</v>
      </c>
      <c r="R72" s="62">
        <f t="shared" si="55"/>
        <v>940.35278631226038</v>
      </c>
      <c r="S72" s="62">
        <f ca="1">AVERAGE(OFFSET($R$3,0,0,'Données projet'!$E$9+1,1))-AVERAGE(OFFSET($H$3,0,0,'Données projet'!$E$9+1,1))</f>
        <v>374.79806286316051</v>
      </c>
      <c r="T72" s="62">
        <f t="shared" si="88"/>
        <v>350.01856672839466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2.5026581510485739</v>
      </c>
      <c r="AB72" s="23">
        <f>EXP(-LN(2)/2)*AB71+(1-EXP(-LN(2)/2))/(LN(2)/2)*V72*Y72*VLOOKUP('Données projet'!$B$9,Paramètres!$A$1:$I$89,3,0)*0.475*44/12</f>
        <v>1.2114614484563076E-5</v>
      </c>
      <c r="AC72" s="24">
        <f t="shared" si="57"/>
        <v>2.5026702656630584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5.4</v>
      </c>
      <c r="AI72" s="14">
        <f>IF('Données projet'!$A$62&gt;35,AI71+AH72-AQ71,IF(A72&lt;'Données projet'!$A$62,$AF$205^A72,IF(A72='Données projet'!$A$62,'Données projet'!$B$62,AI71+AH72-AQ71)))</f>
        <v>273.60000000000008</v>
      </c>
      <c r="AJ72" s="14">
        <f>AI72*VLOOKUP('Données projet'!$B$10,Paramètres!$A$1:$I$89,3,0)*VLOOKUP('Données projet'!$B$10,Paramètres!$A$1:$I$89,5,0)</f>
        <v>239.0169600000001</v>
      </c>
      <c r="AK72" s="14">
        <f t="shared" si="89"/>
        <v>58.22797414013467</v>
      </c>
      <c r="AL72" s="22">
        <f t="shared" si="58"/>
        <v>517.70159362740139</v>
      </c>
      <c r="AM72" s="62">
        <f t="shared" si="59"/>
        <v>811.03492696073477</v>
      </c>
      <c r="AN72" s="62">
        <f ca="1">AVERAGE(OFFSET($AM$3,0,0,'Données projet'!$E$10+1,1))-AVERAGE(OFFSET($H$3,0,0,'Données projet'!$E$10+1,1))</f>
        <v>401.89597032936751</v>
      </c>
      <c r="AO72" s="62">
        <f t="shared" si="90"/>
        <v>417.85733543972361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235.19999999999993</v>
      </c>
      <c r="BE72" s="14">
        <f>BD72*VLOOKUP('Données projet'!$B$11,Paramètres!$A$1:$I$89,3,0)*VLOOKUP('Données projet'!$B$11,Paramètres!$A$1:$I$89,5,0)</f>
        <v>212.8089599999999</v>
      </c>
      <c r="BF72" s="14">
        <f t="shared" si="91"/>
        <v>52.548938637485847</v>
      </c>
      <c r="BG72" s="22">
        <f t="shared" si="61"/>
        <v>462.16500679362093</v>
      </c>
      <c r="BH72" s="62">
        <f t="shared" si="62"/>
        <v>755.49834012695419</v>
      </c>
      <c r="BI72" s="62">
        <f ca="1">AVERAGE(OFFSET($BH$3,0,0,'Données projet'!$E$11+1,1))-AVERAGE(OFFSET($H$3,0,0,'Données projet'!$E$11+1,1))</f>
        <v>430.40491895612814</v>
      </c>
      <c r="BJ72" s="62">
        <f t="shared" si="92"/>
        <v>231.36959598460686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4.3589743589743595</v>
      </c>
      <c r="BY72" s="13">
        <f>IF('Données projet'!$A$114&gt;35,BY71+BX72-CG71,IF(A72&lt;'Données projet'!$A$114,$BV$205^A72,IF(A72='Données projet'!$A$114,'Données projet'!$B$114,BY71+BX72-CG71)))</f>
        <v>211.02564102564097</v>
      </c>
      <c r="BZ72" s="14">
        <f>BY72*VLOOKUP('Données projet'!$B$12,Paramètres!$A$1:$I$89,3,0)*VLOOKUP('Données projet'!$B$12,Paramètres!$A$1:$I$89,5,0)</f>
        <v>200.81199999999993</v>
      </c>
      <c r="CA72" s="14">
        <f t="shared" si="93"/>
        <v>49.922578645138138</v>
      </c>
      <c r="CB72" s="22">
        <f t="shared" si="64"/>
        <v>436.69605780694877</v>
      </c>
      <c r="CC72" s="62">
        <f t="shared" si="65"/>
        <v>730.02939114028209</v>
      </c>
      <c r="CD72" s="62">
        <f ca="1">AVERAGE(OFFSET($CC$3,0,0,'Données projet'!$E$12+1,1))-AVERAGE(OFFSET($H$3,0,0,'Données projet'!$E$12+1,1))</f>
        <v>367.11183928586667</v>
      </c>
      <c r="CE72" s="62">
        <f t="shared" si="94"/>
        <v>281.52963027844595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-3.4106051316484809E-13</v>
      </c>
      <c r="CU72" s="18">
        <f>CT72*VLOOKUP('Données projet'!$B$13,Paramètres!$A$1:$I$89,3,0)*VLOOKUP('Données projet'!$B$13,Paramètres!$A$1:$I$89,5,0)</f>
        <v>-2.0395418687257919E-13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308.47522272937135</v>
      </c>
      <c r="CZ72" s="62">
        <f t="shared" si="96"/>
        <v>302.54354650449721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1.3024038108814555</v>
      </c>
      <c r="DH72" s="23">
        <f>EXP(-LN(2)/2)*DH71+(1-EXP(-LN(2)/2))/(LN(2)/2)*DB72*DE72*VLOOKUP('Données projet'!$B$13,Paramètres!$A$1:$I$89,3,0)*0.475*44/12</f>
        <v>2.3296917911805642E-5</v>
      </c>
      <c r="DI72" s="24">
        <f t="shared" si="69"/>
        <v>1.3024271077993672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4.5</v>
      </c>
      <c r="DO72" s="13">
        <f>IF('Données projet'!$A$166&gt;35,DO71+DN72-DW71,IF(A72&lt;'Données projet'!$A$166,$DL$205^A72,IF(A72='Données projet'!$A$166,'Données projet'!$B$166,DO71+DN72-DW71)))</f>
        <v>323.99999999999989</v>
      </c>
      <c r="DP72" s="18">
        <f>DO72*VLOOKUP('Données projet'!$B$14,Paramètres!$A$1:$I$89,3,0)*VLOOKUP('Données projet'!$B$14,Paramètres!$A$1:$I$89,5,0)</f>
        <v>257.77439999999996</v>
      </c>
      <c r="DQ72" s="14">
        <f t="shared" si="97"/>
        <v>62.247732872134293</v>
      </c>
      <c r="DR72" s="22">
        <f t="shared" si="70"/>
        <v>557.37188141896718</v>
      </c>
      <c r="DS72" s="62">
        <f t="shared" si="71"/>
        <v>850.70521475230044</v>
      </c>
      <c r="DT72" s="62">
        <f ca="1">AVERAGE(OFFSET($DS$3,0,0,'Données projet'!$E$14+1,1))-AVERAGE(OFFSET($H$3,0,0,'Données projet'!$E$14+1,1))</f>
        <v>370.58277541710277</v>
      </c>
      <c r="DU72" s="62">
        <f t="shared" si="98"/>
        <v>404.61777090709171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>
        <f>EJ72*VLOOKUP('Données projet'!$B$15,Paramètres!$A$1:$I$89,3,0)*VLOOKUP('Données projet'!$B$15,Paramètres!$A$1:$I$89,5,0)</f>
        <v>0</v>
      </c>
      <c r="EL72" s="14" t="e">
        <f t="shared" si="99"/>
        <v>#NUM!</v>
      </c>
      <c r="EM72" s="22" t="e">
        <f t="shared" si="73"/>
        <v>#NUM!</v>
      </c>
      <c r="EN72" s="62" t="e">
        <f t="shared" si="74"/>
        <v>#NUM!</v>
      </c>
      <c r="EO72" s="62">
        <f ca="1">AVERAGE(OFFSET($EN$3,0,0,'Données projet'!$E$15+1,1))-AVERAGE(OFFSET($H$3,0,0,'Données projet'!$E$15+1,1))</f>
        <v>240.22884864766218</v>
      </c>
      <c r="EP72" s="62">
        <f t="shared" si="100"/>
        <v>343.23776884143166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3.4917211798626093</v>
      </c>
      <c r="EX72" s="23">
        <f>EXP(-LN(2)/2)*EX71+(1-EXP(-LN(2)/2))/(LN(2)/2)*ER72*EU72*VLOOKUP('Données projet'!$B$15,Paramètres!$A$1:$I$89,3,0)*0.475*44/12</f>
        <v>2.227891837131322E-5</v>
      </c>
      <c r="EY72" s="24">
        <f t="shared" si="75"/>
        <v>3.4917434587809808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22.7</v>
      </c>
      <c r="FE72" s="13">
        <f>IF('Données projet'!$A$218&gt;35,FE71+FD72-FM71,IF(A72&lt;'Données projet'!$A$218,$FB$205^A72,IF(A72='Données projet'!$A$218,'Données projet'!$B$218,FE71+FD72-FM71)))</f>
        <v>608.29999999999984</v>
      </c>
      <c r="FF72" s="18">
        <f>FE72*VLOOKUP('Données projet'!$B$16,Paramètres!$A$1:$I$89,3,0)*VLOOKUP('Données projet'!$B$16,Paramètres!$A$1:$I$89,5,0)</f>
        <v>284.68439999999993</v>
      </c>
      <c r="FG72" s="14">
        <f t="shared" si="101"/>
        <v>67.955999311251276</v>
      </c>
      <c r="FH72" s="22">
        <f t="shared" si="76"/>
        <v>614.18202880042918</v>
      </c>
      <c r="FI72" s="62">
        <f t="shared" si="77"/>
        <v>907.51536213376244</v>
      </c>
      <c r="FJ72" s="62">
        <f ca="1">AVERAGE(OFFSET($FI$3,0,0,'Données projet'!$E$16+1,1))-AVERAGE(OFFSET($H$3,0,0,'Données projet'!$E$16+1,1))</f>
        <v>399.92909819003523</v>
      </c>
      <c r="FK72" s="62">
        <f t="shared" si="102"/>
        <v>163.7053537268381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4.5</v>
      </c>
      <c r="FZ72" s="13">
        <f>IF('Données projet'!$A$244&gt;35,FZ71+FY72-GH71,IF(A72&lt;'Données projet'!$A$244,$FW$205^A72,IF(A72='Données projet'!$A$244,'Données projet'!$B$244,FZ71+FY72-GH71)))</f>
        <v>323.99999999999989</v>
      </c>
      <c r="GA72" s="18">
        <f>FZ72*VLOOKUP('Données projet'!$B$17,Paramètres!$A$1:$I$89,3,0)*VLOOKUP('Données projet'!$B$17,Paramètres!$A$1:$I$89,5,0)</f>
        <v>237.55679999999992</v>
      </c>
      <c r="GB72" s="14">
        <f t="shared" si="103"/>
        <v>57.913551469467308</v>
      </c>
      <c r="GC72" s="22">
        <f t="shared" si="79"/>
        <v>514.61086214265538</v>
      </c>
      <c r="GD72" s="62">
        <f t="shared" si="80"/>
        <v>807.94419547598864</v>
      </c>
      <c r="GE72" s="62">
        <f ca="1">AVERAGE(OFFSET($GD$3,0,0,'Données projet'!$E$17+1,1))-AVERAGE(OFFSET($H$3,0,0,'Données projet'!$E$17+1,1))</f>
        <v>344.4426665022238</v>
      </c>
      <c r="GF72" s="62">
        <f t="shared" si="104"/>
        <v>376.41441893222185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18.2</v>
      </c>
      <c r="GU72" s="13">
        <f>IF('Données projet'!$A$270&gt;35,GU71+GT72-HC71,IF(A72&lt;'Données projet'!$A$270,$GR$205^A72,IF(A72='Données projet'!$A$270,'Données projet'!$B$270,GU71+GT72-HC71)))</f>
        <v>534.80000000000018</v>
      </c>
      <c r="GV72" s="18">
        <f>GU72*VLOOKUP('Données projet'!$B$18,Paramètres!$A$1:$I$89,3,0)*VLOOKUP('Données projet'!$B$18,Paramètres!$A$1:$I$89,5,0)</f>
        <v>257.23880000000008</v>
      </c>
      <c r="GW72" s="14">
        <f t="shared" si="105"/>
        <v>62.133436463364887</v>
      </c>
      <c r="GX72" s="22">
        <f t="shared" si="82"/>
        <v>556.23997850702733</v>
      </c>
      <c r="GY72" s="62">
        <f t="shared" si="83"/>
        <v>849.5733118403607</v>
      </c>
      <c r="GZ72" s="62">
        <f ca="1">AVERAGE(OFFSET($GY$3,0,0,'Données projet'!$E$18+1,1))-AVERAGE(OFFSET($H$3,0,0,'Données projet'!$E$18+1,1))</f>
        <v>441.17479680509746</v>
      </c>
      <c r="HA72" s="62">
        <f t="shared" si="106"/>
        <v>198.56576128410069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551</v>
      </c>
      <c r="L73" s="13">
        <f>VLOOKUP(A73,'Données projet'!$A$35:$I$55,9,0)</f>
        <v>13.857142857142858</v>
      </c>
      <c r="M73" s="13">
        <f t="array" ref="M73">INDEX(L:L,MIN(IF(ISNUMBER(L73:L269),ROW(L73:L269),"")))</f>
        <v>13.857142857142858</v>
      </c>
      <c r="N73" s="14">
        <f>IF('Données projet'!$A$36&gt;35,N72+M73-V72,IF(A73&lt;'Données projet'!$A$36,$K$205^A73,IF(A73='Données projet'!$A$36,'Données projet'!$B$36,N72+M73-V72)))</f>
        <v>550.99999999999966</v>
      </c>
      <c r="O73" s="14">
        <f>N73*VLOOKUP('Données projet'!$B$9,Paramètres!$A$1:$I$89,3,0)*VLOOKUP('Données projet'!$B$9,Paramètres!$A$1:$I$89,5,0)</f>
        <v>308.00899999999979</v>
      </c>
      <c r="P73" s="14">
        <f t="shared" si="87"/>
        <v>72.852874331417695</v>
      </c>
      <c r="Q73" s="22">
        <f t="shared" si="54"/>
        <v>663.33443112721886</v>
      </c>
      <c r="R73" s="62">
        <f t="shared" si="55"/>
        <v>956.66776446055223</v>
      </c>
      <c r="S73" s="62">
        <f ca="1">AVERAGE(OFFSET($R$3,0,0,'Données projet'!$E$9+1,1))-AVERAGE(OFFSET($H$3,0,0,'Données projet'!$E$9+1,1))</f>
        <v>374.79806286316051</v>
      </c>
      <c r="T73" s="62">
        <f t="shared" si="88"/>
        <v>350.01856672839466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551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2.4342228322990782</v>
      </c>
      <c r="AB73" s="23">
        <f>EXP(-LN(2)/2)*AB72+(1-EXP(-LN(2)/2))/(LN(2)/2)*V73*Y73*VLOOKUP('Données projet'!$B$9,Paramètres!$A$1:$I$89,3,0)*0.475*44/12</f>
        <v>8.566326053495322E-6</v>
      </c>
      <c r="AC73" s="24">
        <f t="shared" si="57"/>
        <v>2.4342313986251316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279</v>
      </c>
      <c r="AG73" s="13">
        <f>VLOOKUP(A73,'Données projet'!$A$61:$I$81,9,0)</f>
        <v>5.4</v>
      </c>
      <c r="AH73" s="13">
        <f t="array" ref="AH73">INDEX(AG:AG,MIN(IF(ISNUMBER(AG73:AG269),ROW(AG73:AG269),"")))</f>
        <v>5.4</v>
      </c>
      <c r="AI73" s="14">
        <f>IF('Données projet'!$A$62&gt;35,AI72+AH73-AQ72,IF(A73&lt;'Données projet'!$A$62,$AF$205^A73,IF(A73='Données projet'!$A$62,'Données projet'!$B$62,AI72+AH73-AQ72)))</f>
        <v>279.00000000000006</v>
      </c>
      <c r="AJ73" s="14">
        <f>AI73*VLOOKUP('Données projet'!$B$10,Paramètres!$A$1:$I$89,3,0)*VLOOKUP('Données projet'!$B$10,Paramètres!$A$1:$I$89,5,0)</f>
        <v>243.73440000000008</v>
      </c>
      <c r="AK73" s="14">
        <f t="shared" si="89"/>
        <v>59.242281392848817</v>
      </c>
      <c r="AL73" s="22">
        <f t="shared" si="58"/>
        <v>527.68438675921175</v>
      </c>
      <c r="AM73" s="62">
        <f t="shared" si="59"/>
        <v>821.01772009254501</v>
      </c>
      <c r="AN73" s="62">
        <f ca="1">AVERAGE(OFFSET($AM$3,0,0,'Données projet'!$E$10+1,1))-AVERAGE(OFFSET($H$3,0,0,'Données projet'!$E$10+1,1))</f>
        <v>401.89597032936751</v>
      </c>
      <c r="AO73" s="62">
        <f t="shared" si="90"/>
        <v>417.85733543972361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43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241.99999999999994</v>
      </c>
      <c r="BE73" s="14">
        <f>BD73*VLOOKUP('Données projet'!$B$11,Paramètres!$A$1:$I$89,3,0)*VLOOKUP('Données projet'!$B$11,Paramètres!$A$1:$I$89,5,0)</f>
        <v>218.96159999999995</v>
      </c>
      <c r="BF73" s="14">
        <f t="shared" si="91"/>
        <v>53.88913250370743</v>
      </c>
      <c r="BG73" s="22">
        <f t="shared" si="61"/>
        <v>475.21502577729035</v>
      </c>
      <c r="BH73" s="62">
        <f t="shared" si="62"/>
        <v>768.54835911062366</v>
      </c>
      <c r="BI73" s="62">
        <f ca="1">AVERAGE(OFFSET($BH$3,0,0,'Données projet'!$E$11+1,1))-AVERAGE(OFFSET($H$3,0,0,'Données projet'!$E$11+1,1))</f>
        <v>430.40491895612814</v>
      </c>
      <c r="BJ73" s="62">
        <f t="shared" si="92"/>
        <v>231.36959598460686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215.38461538461539</v>
      </c>
      <c r="BW73" s="13">
        <f>VLOOKUP(A73,'Données projet'!$A$113:$I$133,9,0)</f>
        <v>4.3589743589743595</v>
      </c>
      <c r="BX73" s="13">
        <f t="array" ref="BX73">INDEX(BW:BW,MIN(IF(ISNUMBER(BW73:BW269),ROW(BW73:BW269),"")))</f>
        <v>4.3589743589743595</v>
      </c>
      <c r="BY73" s="13">
        <f>IF('Données projet'!$A$114&gt;35,BY72+BX73-CG72,IF(A73&lt;'Données projet'!$A$114,$BV$205^A73,IF(A73='Données projet'!$A$114,'Données projet'!$B$114,BY72+BX73-CG72)))</f>
        <v>215.38461538461533</v>
      </c>
      <c r="BZ73" s="14">
        <f>BY73*VLOOKUP('Données projet'!$B$12,Paramètres!$A$1:$I$89,3,0)*VLOOKUP('Données projet'!$B$12,Paramètres!$A$1:$I$89,5,0)</f>
        <v>204.95999999999998</v>
      </c>
      <c r="CA73" s="14">
        <f t="shared" si="93"/>
        <v>50.832666587809335</v>
      </c>
      <c r="CB73" s="22">
        <f t="shared" si="64"/>
        <v>445.50556097376784</v>
      </c>
      <c r="CC73" s="62">
        <f t="shared" si="65"/>
        <v>738.8388943071011</v>
      </c>
      <c r="CD73" s="62">
        <f ca="1">AVERAGE(OFFSET($CC$3,0,0,'Données projet'!$E$12+1,1))-AVERAGE(OFFSET($H$3,0,0,'Données projet'!$E$12+1,1))</f>
        <v>367.11183928586667</v>
      </c>
      <c r="CE73" s="62">
        <f t="shared" si="94"/>
        <v>281.52963027844595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28.846153846153847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-3.4106051316484809E-13</v>
      </c>
      <c r="CU73" s="18">
        <f>CT73*VLOOKUP('Données projet'!$B$13,Paramètres!$A$1:$I$89,3,0)*VLOOKUP('Données projet'!$B$13,Paramètres!$A$1:$I$89,5,0)</f>
        <v>-2.0395418687257919E-13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308.47522272937135</v>
      </c>
      <c r="CZ73" s="62">
        <f t="shared" si="96"/>
        <v>302.54354650449721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1.2667895101824624</v>
      </c>
      <c r="DH73" s="23">
        <f>EXP(-LN(2)/2)*DH72+(1-EXP(-LN(2)/2))/(LN(2)/2)*DB73*DE73*VLOOKUP('Données projet'!$B$13,Paramètres!$A$1:$I$89,3,0)*0.475*44/12</f>
        <v>1.6473408636184111E-5</v>
      </c>
      <c r="DI73" s="24">
        <f t="shared" si="69"/>
        <v>1.2668059835910985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328.5</v>
      </c>
      <c r="DM73" s="13">
        <f>VLOOKUP(A73,'Données projet'!$A$165:$I$185,9,0)</f>
        <v>4.5</v>
      </c>
      <c r="DN73" s="13">
        <f t="array" ref="DN73">INDEX(DM:DM,MIN(IF(ISNUMBER(DM73:DM269),ROW(DM73:DM269),"")))</f>
        <v>4.5</v>
      </c>
      <c r="DO73" s="13">
        <f>IF('Données projet'!$A$166&gt;35,DO72+DN73-DW72,IF(A73&lt;'Données projet'!$A$166,$DL$205^A73,IF(A73='Données projet'!$A$166,'Données projet'!$B$166,DO72+DN73-DW72)))</f>
        <v>328.49999999999989</v>
      </c>
      <c r="DP73" s="18">
        <f>DO73*VLOOKUP('Données projet'!$B$14,Paramètres!$A$1:$I$89,3,0)*VLOOKUP('Données projet'!$B$14,Paramètres!$A$1:$I$89,5,0)</f>
        <v>261.35459999999989</v>
      </c>
      <c r="DQ73" s="14">
        <f t="shared" si="97"/>
        <v>63.01103655068848</v>
      </c>
      <c r="DR73" s="22">
        <f t="shared" si="70"/>
        <v>564.93681699244883</v>
      </c>
      <c r="DS73" s="62">
        <f t="shared" si="71"/>
        <v>858.2701503257822</v>
      </c>
      <c r="DT73" s="62">
        <f ca="1">AVERAGE(OFFSET($DS$3,0,0,'Données projet'!$E$14+1,1))-AVERAGE(OFFSET($H$3,0,0,'Données projet'!$E$14+1,1))</f>
        <v>370.58277541710277</v>
      </c>
      <c r="DU73" s="62">
        <f t="shared" si="98"/>
        <v>404.61777090709171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25.9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>
        <f>EJ73*VLOOKUP('Données projet'!$B$15,Paramètres!$A$1:$I$89,3,0)*VLOOKUP('Données projet'!$B$15,Paramètres!$A$1:$I$89,5,0)</f>
        <v>0</v>
      </c>
      <c r="EL73" s="14" t="e">
        <f t="shared" si="99"/>
        <v>#NUM!</v>
      </c>
      <c r="EM73" s="22" t="e">
        <f t="shared" si="73"/>
        <v>#NUM!</v>
      </c>
      <c r="EN73" s="62" t="e">
        <f t="shared" si="74"/>
        <v>#NUM!</v>
      </c>
      <c r="EO73" s="62">
        <f ca="1">AVERAGE(OFFSET($EN$3,0,0,'Données projet'!$E$15+1,1))-AVERAGE(OFFSET($H$3,0,0,'Données projet'!$E$15+1,1))</f>
        <v>240.22884864766218</v>
      </c>
      <c r="EP73" s="62">
        <f t="shared" si="100"/>
        <v>343.23776884143166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3.3962398805776299</v>
      </c>
      <c r="EX73" s="23">
        <f>EXP(-LN(2)/2)*EX72+(1-EXP(-LN(2)/2))/(LN(2)/2)*ER73*EU73*VLOOKUP('Données projet'!$B$15,Paramètres!$A$1:$I$89,3,0)*0.475*44/12</f>
        <v>1.5753574257857131E-5</v>
      </c>
      <c r="EY73" s="24">
        <f t="shared" si="75"/>
        <v>3.3962556341518879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631</v>
      </c>
      <c r="FC73" s="13">
        <f>VLOOKUP(A73,'Données projet'!$A$217:$I$237,9,0)</f>
        <v>22.7</v>
      </c>
      <c r="FD73" s="13">
        <f t="array" ref="FD73">INDEX(FC:FC,MIN(IF(ISNUMBER(FC73:FC269),ROW(FC73:FC269),"")))</f>
        <v>22.7</v>
      </c>
      <c r="FE73" s="13">
        <f>IF('Données projet'!$A$218&gt;35,FE72+FD73-FM72,IF(A73&lt;'Données projet'!$A$218,$FB$205^A73,IF(A73='Données projet'!$A$218,'Données projet'!$B$218,FE72+FD73-FM72)))</f>
        <v>630.99999999999989</v>
      </c>
      <c r="FF73" s="18">
        <f>FE73*VLOOKUP('Données projet'!$B$16,Paramètres!$A$1:$I$89,3,0)*VLOOKUP('Données projet'!$B$16,Paramètres!$A$1:$I$89,5,0)</f>
        <v>295.30799999999994</v>
      </c>
      <c r="FG73" s="14">
        <f t="shared" si="101"/>
        <v>70.191939458146834</v>
      </c>
      <c r="FH73" s="22">
        <f t="shared" si="76"/>
        <v>636.57906122293889</v>
      </c>
      <c r="FI73" s="62">
        <f t="shared" si="77"/>
        <v>929.91239455627215</v>
      </c>
      <c r="FJ73" s="62">
        <f ca="1">AVERAGE(OFFSET($FI$3,0,0,'Données projet'!$E$16+1,1))-AVERAGE(OFFSET($H$3,0,0,'Données projet'!$E$16+1,1))</f>
        <v>399.92909819003523</v>
      </c>
      <c r="FK73" s="62">
        <f t="shared" si="102"/>
        <v>163.7053537268381</v>
      </c>
      <c r="FL73" s="16">
        <f>IF(ISNA(VLOOKUP(A73,'Données projet'!$A$217:$I$237,3,0)),0,VLOOKUP(A73,'Données projet'!$A$217:$I$237,3,0))</f>
        <v>4</v>
      </c>
      <c r="FM73" s="16">
        <f>IF(ISNA(VLOOKUP(A73,'Données projet'!$A$217:$I$237,4,0)),0,VLOOKUP(A73,'Données projet'!$A$217:$I$237,4,0))</f>
        <v>109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328.5</v>
      </c>
      <c r="FX73" s="13">
        <f>VLOOKUP(A73,'Données projet'!$A$243:$I$263,9,0)</f>
        <v>4.5</v>
      </c>
      <c r="FY73" s="13">
        <f t="array" ref="FY73">INDEX(FX:FX,MIN(IF(ISNUMBER(FX73:FX269),ROW(FX73:FX269),"")))</f>
        <v>4.5</v>
      </c>
      <c r="FZ73" s="13">
        <f>IF('Données projet'!$A$244&gt;35,FZ72+FY73-GH72,IF(A73&lt;'Données projet'!$A$244,$FW$205^A73,IF(A73='Données projet'!$A$244,'Données projet'!$B$244,FZ72+FY73-GH72)))</f>
        <v>328.49999999999989</v>
      </c>
      <c r="GA73" s="18">
        <f>FZ73*VLOOKUP('Données projet'!$B$17,Paramètres!$A$1:$I$89,3,0)*VLOOKUP('Données projet'!$B$17,Paramètres!$A$1:$I$89,5,0)</f>
        <v>240.85619999999989</v>
      </c>
      <c r="GB73" s="14">
        <f t="shared" si="103"/>
        <v>58.623707885373882</v>
      </c>
      <c r="GC73" s="22">
        <f t="shared" si="79"/>
        <v>521.59417290035935</v>
      </c>
      <c r="GD73" s="62">
        <f t="shared" si="80"/>
        <v>814.92750623369261</v>
      </c>
      <c r="GE73" s="62">
        <f ca="1">AVERAGE(OFFSET($GD$3,0,0,'Données projet'!$E$17+1,1))-AVERAGE(OFFSET($H$3,0,0,'Données projet'!$E$17+1,1))</f>
        <v>344.4426665022238</v>
      </c>
      <c r="GF73" s="62">
        <f t="shared" si="104"/>
        <v>376.41441893222185</v>
      </c>
      <c r="GG73" s="16">
        <f>IF(ISNA(VLOOKUP(A73,'Données projet'!$A$243:$I$263,3,0)),0,VLOOKUP(A73,'Données projet'!$A$243:$I$263,3,0))</f>
        <v>6</v>
      </c>
      <c r="GH73" s="16">
        <f>IF(ISNA(VLOOKUP(A73,'Données projet'!$A$243:$I$263,4,0)),0,VLOOKUP(A73,'Données projet'!$A$243:$I$263,4,0))</f>
        <v>25.9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553</v>
      </c>
      <c r="GS73" s="13">
        <f>VLOOKUP(A73,'Données projet'!$A$269:$I$289,9,0)</f>
        <v>18.2</v>
      </c>
      <c r="GT73" s="13">
        <f t="array" ref="GT73">INDEX(GS:GS,MIN(IF(ISNUMBER(GS73:GS269),ROW(GS73:GS269),"")))</f>
        <v>18.2</v>
      </c>
      <c r="GU73" s="13">
        <f>IF('Données projet'!$A$270&gt;35,GU72+GT73-HC72,IF(A73&lt;'Données projet'!$A$270,$GR$205^A73,IF(A73='Données projet'!$A$270,'Données projet'!$B$270,GU72+GT73-HC72)))</f>
        <v>553.00000000000023</v>
      </c>
      <c r="GV73" s="18">
        <f>GU73*VLOOKUP('Données projet'!$B$18,Paramètres!$A$1:$I$89,3,0)*VLOOKUP('Données projet'!$B$18,Paramètres!$A$1:$I$89,5,0)</f>
        <v>265.99300000000011</v>
      </c>
      <c r="GW73" s="14">
        <f t="shared" si="105"/>
        <v>63.998144164014832</v>
      </c>
      <c r="GX73" s="22">
        <f t="shared" si="82"/>
        <v>574.73457608565934</v>
      </c>
      <c r="GY73" s="62">
        <f t="shared" si="83"/>
        <v>868.06790941899271</v>
      </c>
      <c r="GZ73" s="62">
        <f ca="1">AVERAGE(OFFSET($GY$3,0,0,'Données projet'!$E$18+1,1))-AVERAGE(OFFSET($H$3,0,0,'Données projet'!$E$18+1,1))</f>
        <v>441.17479680509746</v>
      </c>
      <c r="HA73" s="62">
        <f t="shared" si="106"/>
        <v>198.56576128410069</v>
      </c>
      <c r="HB73" s="16">
        <f>IF(ISNA(VLOOKUP(A73,'Données projet'!$A$269:$I$289,3,0)),0,VLOOKUP(A73,'Données projet'!$A$269:$I$289,3,0))</f>
        <v>4</v>
      </c>
      <c r="HC73" s="16">
        <f>IF(ISNA(VLOOKUP(A73,'Données projet'!$A$269:$I$289,4,0)),0,VLOOKUP(A73,'Données projet'!$A$269:$I$289,4,0))</f>
        <v>53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-3.4106051316484809E-13</v>
      </c>
      <c r="O74" s="14">
        <f>N74*VLOOKUP('Données projet'!$B$9,Paramètres!$A$1:$I$89,3,0)*VLOOKUP('Données projet'!$B$9,Paramètres!$A$1:$I$89,5,0)</f>
        <v>-1.9065282685915009E-13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374.79806286316051</v>
      </c>
      <c r="T74" s="62">
        <f t="shared" si="88"/>
        <v>350.01856672839466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2.3676588809396448</v>
      </c>
      <c r="AB74" s="23">
        <f>EXP(-LN(2)/2)*AB73+(1-EXP(-LN(2)/2))/(LN(2)/2)*V74*Y74*VLOOKUP('Données projet'!$B$9,Paramètres!$A$1:$I$89,3,0)*0.475*44/12</f>
        <v>6.0573072422815379E-6</v>
      </c>
      <c r="AC74" s="24">
        <f t="shared" si="57"/>
        <v>2.3676649382468873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</v>
      </c>
      <c r="AI74" s="14">
        <f>IF('Données projet'!$A$62&gt;35,AI73+AH74-AQ73,IF(A74&lt;'Données projet'!$A$62,$AF$205^A74,IF(A74='Données projet'!$A$62,'Données projet'!$B$62,AI73+AH74-AQ73)))</f>
        <v>241.00000000000006</v>
      </c>
      <c r="AJ74" s="14">
        <f>AI74*VLOOKUP('Données projet'!$B$10,Paramètres!$A$1:$I$89,3,0)*VLOOKUP('Données projet'!$B$10,Paramètres!$A$1:$I$89,5,0)</f>
        <v>210.53760000000005</v>
      </c>
      <c r="AK74" s="14">
        <f t="shared" si="89"/>
        <v>52.053047337322276</v>
      </c>
      <c r="AL74" s="22">
        <f t="shared" si="58"/>
        <v>457.34537744583628</v>
      </c>
      <c r="AM74" s="62">
        <f t="shared" si="59"/>
        <v>750.67871077916959</v>
      </c>
      <c r="AN74" s="62">
        <f ca="1">AVERAGE(OFFSET($AM$3,0,0,'Données projet'!$E$10+1,1))-AVERAGE(OFFSET($H$3,0,0,'Données projet'!$E$10+1,1))</f>
        <v>401.89597032936751</v>
      </c>
      <c r="AO74" s="62">
        <f t="shared" si="90"/>
        <v>417.85733543972361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248.19999999999993</v>
      </c>
      <c r="BE74" s="14">
        <f>BD74*VLOOKUP('Données projet'!$B$11,Paramètres!$A$1:$I$89,3,0)*VLOOKUP('Données projet'!$B$11,Paramètres!$A$1:$I$89,5,0)</f>
        <v>224.57135999999994</v>
      </c>
      <c r="BF74" s="14">
        <f t="shared" si="91"/>
        <v>55.107255873104265</v>
      </c>
      <c r="BG74" s="22">
        <f t="shared" si="61"/>
        <v>487.10692264565643</v>
      </c>
      <c r="BH74" s="62">
        <f t="shared" si="62"/>
        <v>780.44025597898974</v>
      </c>
      <c r="BI74" s="62">
        <f ca="1">AVERAGE(OFFSET($BH$3,0,0,'Données projet'!$E$11+1,1))-AVERAGE(OFFSET($H$3,0,0,'Données projet'!$E$11+1,1))</f>
        <v>430.40491895612814</v>
      </c>
      <c r="BJ74" s="62">
        <f t="shared" si="92"/>
        <v>231.36959598460686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4.2307692307692264</v>
      </c>
      <c r="BY74" s="13">
        <f>IF('Données projet'!$A$114&gt;35,BY73+BX74-CG73,IF(A74&lt;'Données projet'!$A$114,$BV$205^A74,IF(A74='Données projet'!$A$114,'Données projet'!$B$114,BY73+BX74-CG73)))</f>
        <v>190.76923076923072</v>
      </c>
      <c r="BZ74" s="14">
        <f>BY74*VLOOKUP('Données projet'!$B$12,Paramètres!$A$1:$I$89,3,0)*VLOOKUP('Données projet'!$B$12,Paramètres!$A$1:$I$89,5,0)</f>
        <v>181.53599999999997</v>
      </c>
      <c r="CA74" s="14">
        <f t="shared" si="93"/>
        <v>45.663748686335545</v>
      </c>
      <c r="CB74" s="22">
        <f t="shared" si="64"/>
        <v>395.70622896203434</v>
      </c>
      <c r="CC74" s="62">
        <f t="shared" si="65"/>
        <v>689.03956229536766</v>
      </c>
      <c r="CD74" s="62">
        <f ca="1">AVERAGE(OFFSET($CC$3,0,0,'Données projet'!$E$12+1,1))-AVERAGE(OFFSET($H$3,0,0,'Données projet'!$E$12+1,1))</f>
        <v>367.11183928586667</v>
      </c>
      <c r="CE74" s="62">
        <f t="shared" si="94"/>
        <v>281.52963027844595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-3.4106051316484809E-13</v>
      </c>
      <c r="CU74" s="18">
        <f>CT74*VLOOKUP('Données projet'!$B$13,Paramètres!$A$1:$I$89,3,0)*VLOOKUP('Données projet'!$B$13,Paramètres!$A$1:$I$89,5,0)</f>
        <v>-2.0395418687257919E-13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308.47522272937135</v>
      </c>
      <c r="CZ74" s="62">
        <f t="shared" si="96"/>
        <v>302.54354650449721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1.232149084408958</v>
      </c>
      <c r="DH74" s="23">
        <f>EXP(-LN(2)/2)*DH73+(1-EXP(-LN(2)/2))/(LN(2)/2)*DB74*DE74*VLOOKUP('Données projet'!$B$13,Paramètres!$A$1:$I$89,3,0)*0.475*44/12</f>
        <v>1.1648458955902821E-5</v>
      </c>
      <c r="DI74" s="24">
        <f t="shared" si="69"/>
        <v>1.2321607328679138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4.1799999999999953</v>
      </c>
      <c r="DO74" s="13">
        <f>IF('Données projet'!$A$166&gt;35,DO73+DN74-DW73,IF(A74&lt;'Données projet'!$A$166,$DL$205^A74,IF(A74='Données projet'!$A$166,'Données projet'!$B$166,DO73+DN74-DW73)))</f>
        <v>306.77999999999992</v>
      </c>
      <c r="DP74" s="18">
        <f>DO74*VLOOKUP('Données projet'!$B$14,Paramètres!$A$1:$I$89,3,0)*VLOOKUP('Données projet'!$B$14,Paramètres!$A$1:$I$89,5,0)</f>
        <v>244.07416799999996</v>
      </c>
      <c r="DQ74" s="14">
        <f t="shared" si="97"/>
        <v>59.315246950995579</v>
      </c>
      <c r="DR74" s="22">
        <f t="shared" si="70"/>
        <v>528.40323103965056</v>
      </c>
      <c r="DS74" s="62">
        <f t="shared" si="71"/>
        <v>821.73656437298382</v>
      </c>
      <c r="DT74" s="62">
        <f ca="1">AVERAGE(OFFSET($DS$3,0,0,'Données projet'!$E$14+1,1))-AVERAGE(OFFSET($H$3,0,0,'Données projet'!$E$14+1,1))</f>
        <v>370.58277541710277</v>
      </c>
      <c r="DU74" s="62">
        <f t="shared" si="98"/>
        <v>404.61777090709171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>
        <f>EJ74*VLOOKUP('Données projet'!$B$15,Paramètres!$A$1:$I$89,3,0)*VLOOKUP('Données projet'!$B$15,Paramètres!$A$1:$I$89,5,0)</f>
        <v>0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240.22884864766218</v>
      </c>
      <c r="EP74" s="62">
        <f t="shared" si="100"/>
        <v>343.23776884143166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3.3033695224427415</v>
      </c>
      <c r="EX74" s="23">
        <f>EXP(-LN(2)/2)*EX73+(1-EXP(-LN(2)/2))/(LN(2)/2)*ER74*EU74*VLOOKUP('Données projet'!$B$15,Paramètres!$A$1:$I$89,3,0)*0.475*44/12</f>
        <v>1.113945918565661E-5</v>
      </c>
      <c r="EY74" s="24">
        <f t="shared" si="75"/>
        <v>3.3033806619019273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21.2</v>
      </c>
      <c r="FE74" s="13">
        <f>IF('Données projet'!$A$218&gt;35,FE73+FD74-FM73,IF(A74&lt;'Données projet'!$A$218,$FB$205^A74,IF(A74='Données projet'!$A$218,'Données projet'!$B$218,FE73+FD74-FM73)))</f>
        <v>543.19999999999993</v>
      </c>
      <c r="FF74" s="18">
        <f>FE74*VLOOKUP('Données projet'!$B$16,Paramètres!$A$1:$I$89,3,0)*VLOOKUP('Données projet'!$B$16,Paramètres!$A$1:$I$89,5,0)</f>
        <v>254.21759999999998</v>
      </c>
      <c r="FG74" s="14">
        <f t="shared" si="101"/>
        <v>61.488195182366475</v>
      </c>
      <c r="FH74" s="22">
        <f t="shared" si="76"/>
        <v>549.85425994262152</v>
      </c>
      <c r="FI74" s="62">
        <f t="shared" si="77"/>
        <v>843.1875932759549</v>
      </c>
      <c r="FJ74" s="62">
        <f ca="1">AVERAGE(OFFSET($FI$3,0,0,'Données projet'!$E$16+1,1))-AVERAGE(OFFSET($H$3,0,0,'Données projet'!$E$16+1,1))</f>
        <v>399.92909819003523</v>
      </c>
      <c r="FK74" s="62">
        <f t="shared" si="102"/>
        <v>163.7053537268381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4.1799999999999953</v>
      </c>
      <c r="FZ74" s="13">
        <f>IF('Données projet'!$A$244&gt;35,FZ73+FY74-GH73,IF(A74&lt;'Données projet'!$A$244,$FW$205^A74,IF(A74='Données projet'!$A$244,'Données projet'!$B$244,FZ73+FY74-GH73)))</f>
        <v>306.77999999999992</v>
      </c>
      <c r="GA74" s="18">
        <f>FZ74*VLOOKUP('Données projet'!$B$17,Paramètres!$A$1:$I$89,3,0)*VLOOKUP('Données projet'!$B$17,Paramètres!$A$1:$I$89,5,0)</f>
        <v>224.93109599999991</v>
      </c>
      <c r="GB74" s="14">
        <f t="shared" si="103"/>
        <v>55.185248501771945</v>
      </c>
      <c r="GC74" s="22">
        <f t="shared" si="79"/>
        <v>487.8693000072526</v>
      </c>
      <c r="GD74" s="62">
        <f t="shared" si="80"/>
        <v>781.20263334058586</v>
      </c>
      <c r="GE74" s="62">
        <f ca="1">AVERAGE(OFFSET($GD$3,0,0,'Données projet'!$E$17+1,1))-AVERAGE(OFFSET($H$3,0,0,'Données projet'!$E$17+1,1))</f>
        <v>344.4426665022238</v>
      </c>
      <c r="GF74" s="62">
        <f t="shared" si="104"/>
        <v>376.41441893222185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22</v>
      </c>
      <c r="GU74" s="13">
        <f>IF('Données projet'!$A$270&gt;35,GU73+GT74-HC73,IF(A74&lt;'Données projet'!$A$270,$GR$205^A74,IF(A74='Données projet'!$A$270,'Données projet'!$B$270,GU73+GT74-HC73)))</f>
        <v>522.00000000000023</v>
      </c>
      <c r="GV74" s="18">
        <f>GU74*VLOOKUP('Données projet'!$B$18,Paramètres!$A$1:$I$89,3,0)*VLOOKUP('Données projet'!$B$18,Paramètres!$A$1:$I$89,5,0)</f>
        <v>251.08200000000011</v>
      </c>
      <c r="GW74" s="14">
        <f t="shared" si="105"/>
        <v>60.817576600008749</v>
      </c>
      <c r="GX74" s="22">
        <f t="shared" si="82"/>
        <v>543.22509591168205</v>
      </c>
      <c r="GY74" s="62">
        <f t="shared" si="83"/>
        <v>836.5584292450153</v>
      </c>
      <c r="GZ74" s="62">
        <f ca="1">AVERAGE(OFFSET($GY$3,0,0,'Données projet'!$E$18+1,1))-AVERAGE(OFFSET($H$3,0,0,'Données projet'!$E$18+1,1))</f>
        <v>441.17479680509746</v>
      </c>
      <c r="HA74" s="62">
        <f t="shared" si="106"/>
        <v>198.56576128410069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-3.4106051316484809E-13</v>
      </c>
      <c r="O75" s="14">
        <f>N75*VLOOKUP('Données projet'!$B$9,Paramètres!$A$1:$I$89,3,0)*VLOOKUP('Données projet'!$B$9,Paramètres!$A$1:$I$89,5,0)</f>
        <v>-1.9065282685915009E-13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374.79806286316051</v>
      </c>
      <c r="T75" s="62">
        <f t="shared" si="88"/>
        <v>350.01856672839466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2.302915124330581</v>
      </c>
      <c r="AB75" s="23">
        <f>EXP(-LN(2)/2)*AB74+(1-EXP(-LN(2)/2))/(LN(2)/2)*V75*Y75*VLOOKUP('Données projet'!$B$9,Paramètres!$A$1:$I$89,3,0)*0.475*44/12</f>
        <v>4.283163026747661E-6</v>
      </c>
      <c r="AC75" s="24">
        <f t="shared" si="57"/>
        <v>2.3029194074936079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</v>
      </c>
      <c r="AI75" s="14">
        <f>IF('Données projet'!$A$62&gt;35,AI74+AH75-AQ74,IF(A75&lt;'Données projet'!$A$62,$AF$205^A75,IF(A75='Données projet'!$A$62,'Données projet'!$B$62,AI74+AH75-AQ74)))</f>
        <v>246.00000000000006</v>
      </c>
      <c r="AJ75" s="14">
        <f>AI75*VLOOKUP('Données projet'!$B$10,Paramètres!$A$1:$I$89,3,0)*VLOOKUP('Données projet'!$B$10,Paramètres!$A$1:$I$89,5,0)</f>
        <v>214.90560000000008</v>
      </c>
      <c r="AK75" s="14">
        <f t="shared" si="89"/>
        <v>53.006137800892326</v>
      </c>
      <c r="AL75" s="22">
        <f t="shared" si="58"/>
        <v>466.61294333655428</v>
      </c>
      <c r="AM75" s="62">
        <f t="shared" si="59"/>
        <v>759.94627666988754</v>
      </c>
      <c r="AN75" s="62">
        <f ca="1">AVERAGE(OFFSET($AM$3,0,0,'Données projet'!$E$10+1,1))-AVERAGE(OFFSET($H$3,0,0,'Données projet'!$E$10+1,1))</f>
        <v>401.89597032936751</v>
      </c>
      <c r="AO75" s="62">
        <f t="shared" si="90"/>
        <v>417.85733543972361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254.39999999999992</v>
      </c>
      <c r="BE75" s="14">
        <f>BD75*VLOOKUP('Données projet'!$B$11,Paramètres!$A$1:$I$89,3,0)*VLOOKUP('Données projet'!$B$11,Paramètres!$A$1:$I$89,5,0)</f>
        <v>230.18111999999991</v>
      </c>
      <c r="BF75" s="14">
        <f t="shared" si="91"/>
        <v>56.321842115392933</v>
      </c>
      <c r="BG75" s="22">
        <f t="shared" si="61"/>
        <v>498.99265901764255</v>
      </c>
      <c r="BH75" s="62">
        <f t="shared" si="62"/>
        <v>792.32599235097587</v>
      </c>
      <c r="BI75" s="62">
        <f ca="1">AVERAGE(OFFSET($BH$3,0,0,'Données projet'!$E$11+1,1))-AVERAGE(OFFSET($H$3,0,0,'Données projet'!$E$11+1,1))</f>
        <v>430.40491895612814</v>
      </c>
      <c r="BJ75" s="62">
        <f t="shared" si="92"/>
        <v>231.36959598460686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4.2307692307692264</v>
      </c>
      <c r="BY75" s="13">
        <f>IF('Données projet'!$A$114&gt;35,BY74+BX75-CG74,IF(A75&lt;'Données projet'!$A$114,$BV$205^A75,IF(A75='Données projet'!$A$114,'Données projet'!$B$114,BY74+BX75-CG74)))</f>
        <v>194.99999999999994</v>
      </c>
      <c r="BZ75" s="14">
        <f>BY75*VLOOKUP('Données projet'!$B$12,Paramètres!$A$1:$I$89,3,0)*VLOOKUP('Données projet'!$B$12,Paramètres!$A$1:$I$89,5,0)</f>
        <v>185.56199999999995</v>
      </c>
      <c r="CA75" s="14">
        <f t="shared" si="93"/>
        <v>46.557428480028591</v>
      </c>
      <c r="CB75" s="22">
        <f t="shared" si="64"/>
        <v>404.27467126938308</v>
      </c>
      <c r="CC75" s="62">
        <f t="shared" si="65"/>
        <v>697.60800460271639</v>
      </c>
      <c r="CD75" s="62">
        <f ca="1">AVERAGE(OFFSET($CC$3,0,0,'Données projet'!$E$12+1,1))-AVERAGE(OFFSET($H$3,0,0,'Données projet'!$E$12+1,1))</f>
        <v>367.11183928586667</v>
      </c>
      <c r="CE75" s="62">
        <f t="shared" si="94"/>
        <v>281.52963027844595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-3.4106051316484809E-13</v>
      </c>
      <c r="CU75" s="18">
        <f>CT75*VLOOKUP('Données projet'!$B$13,Paramètres!$A$1:$I$89,3,0)*VLOOKUP('Données projet'!$B$13,Paramètres!$A$1:$I$89,5,0)</f>
        <v>-2.0395418687257919E-13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308.47522272937135</v>
      </c>
      <c r="CZ75" s="62">
        <f t="shared" si="96"/>
        <v>302.54354650449721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1.1984559028998909</v>
      </c>
      <c r="DH75" s="23">
        <f>EXP(-LN(2)/2)*DH74+(1-EXP(-LN(2)/2))/(LN(2)/2)*DB75*DE75*VLOOKUP('Données projet'!$B$13,Paramètres!$A$1:$I$89,3,0)*0.475*44/12</f>
        <v>8.2367043180920556E-6</v>
      </c>
      <c r="DI75" s="24">
        <f t="shared" si="69"/>
        <v>1.1984641396042091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4.1799999999999953</v>
      </c>
      <c r="DO75" s="13">
        <f>IF('Données projet'!$A$166&gt;35,DO74+DN75-DW74,IF(A75&lt;'Données projet'!$A$166,$DL$205^A75,IF(A75='Données projet'!$A$166,'Données projet'!$B$166,DO74+DN75-DW74)))</f>
        <v>310.95999999999992</v>
      </c>
      <c r="DP75" s="18">
        <f>DO75*VLOOKUP('Données projet'!$B$14,Paramètres!$A$1:$I$89,3,0)*VLOOKUP('Données projet'!$B$14,Paramètres!$A$1:$I$89,5,0)</f>
        <v>247.39977599999995</v>
      </c>
      <c r="DQ75" s="14">
        <f t="shared" si="97"/>
        <v>60.028803657797908</v>
      </c>
      <c r="DR75" s="22">
        <f t="shared" si="70"/>
        <v>535.43810957066455</v>
      </c>
      <c r="DS75" s="62">
        <f t="shared" si="71"/>
        <v>828.77144290399792</v>
      </c>
      <c r="DT75" s="62">
        <f ca="1">AVERAGE(OFFSET($DS$3,0,0,'Données projet'!$E$14+1,1))-AVERAGE(OFFSET($H$3,0,0,'Données projet'!$E$14+1,1))</f>
        <v>370.58277541710277</v>
      </c>
      <c r="DU75" s="62">
        <f t="shared" si="98"/>
        <v>404.61777090709171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>
        <f>EJ75*VLOOKUP('Données projet'!$B$15,Paramètres!$A$1:$I$89,3,0)*VLOOKUP('Données projet'!$B$15,Paramètres!$A$1:$I$89,5,0)</f>
        <v>0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240.22884864766218</v>
      </c>
      <c r="EP75" s="62">
        <f t="shared" si="100"/>
        <v>343.23776884143166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3.2130387091348913</v>
      </c>
      <c r="EX75" s="23">
        <f>EXP(-LN(2)/2)*EX74+(1-EXP(-LN(2)/2))/(LN(2)/2)*ER75*EU75*VLOOKUP('Données projet'!$B$15,Paramètres!$A$1:$I$89,3,0)*0.475*44/12</f>
        <v>7.8767871289285654E-6</v>
      </c>
      <c r="EY75" s="24">
        <f t="shared" si="75"/>
        <v>3.2130465859220201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21.2</v>
      </c>
      <c r="FE75" s="13">
        <f>IF('Données projet'!$A$218&gt;35,FE74+FD75-FM74,IF(A75&lt;'Données projet'!$A$218,$FB$205^A75,IF(A75='Données projet'!$A$218,'Données projet'!$B$218,FE74+FD75-FM74)))</f>
        <v>564.4</v>
      </c>
      <c r="FF75" s="18">
        <f>FE75*VLOOKUP('Données projet'!$B$16,Paramètres!$A$1:$I$89,3,0)*VLOOKUP('Données projet'!$B$16,Paramètres!$A$1:$I$89,5,0)</f>
        <v>264.13920000000002</v>
      </c>
      <c r="FG75" s="14">
        <f t="shared" si="101"/>
        <v>63.60387543087441</v>
      </c>
      <c r="FH75" s="22">
        <f t="shared" si="76"/>
        <v>570.81918970877302</v>
      </c>
      <c r="FI75" s="62">
        <f t="shared" si="77"/>
        <v>864.1525230421064</v>
      </c>
      <c r="FJ75" s="62">
        <f ca="1">AVERAGE(OFFSET($FI$3,0,0,'Données projet'!$E$16+1,1))-AVERAGE(OFFSET($H$3,0,0,'Données projet'!$E$16+1,1))</f>
        <v>399.92909819003523</v>
      </c>
      <c r="FK75" s="62">
        <f t="shared" si="102"/>
        <v>163.7053537268381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4.1799999999999953</v>
      </c>
      <c r="FZ75" s="13">
        <f>IF('Données projet'!$A$244&gt;35,FZ74+FY75-GH74,IF(A75&lt;'Données projet'!$A$244,$FW$205^A75,IF(A75='Données projet'!$A$244,'Données projet'!$B$244,FZ74+FY75-GH74)))</f>
        <v>310.95999999999992</v>
      </c>
      <c r="GA75" s="18">
        <f>FZ75*VLOOKUP('Données projet'!$B$17,Paramètres!$A$1:$I$89,3,0)*VLOOKUP('Données projet'!$B$17,Paramètres!$A$1:$I$89,5,0)</f>
        <v>227.99587199999993</v>
      </c>
      <c r="GB75" s="14">
        <f t="shared" si="103"/>
        <v>55.849121725085425</v>
      </c>
      <c r="GC75" s="22">
        <f t="shared" si="79"/>
        <v>494.36336407119035</v>
      </c>
      <c r="GD75" s="62">
        <f t="shared" si="80"/>
        <v>787.69669740452366</v>
      </c>
      <c r="GE75" s="62">
        <f ca="1">AVERAGE(OFFSET($GD$3,0,0,'Données projet'!$E$17+1,1))-AVERAGE(OFFSET($H$3,0,0,'Données projet'!$E$17+1,1))</f>
        <v>344.4426665022238</v>
      </c>
      <c r="GF75" s="62">
        <f t="shared" si="104"/>
        <v>376.41441893222185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22</v>
      </c>
      <c r="GU75" s="13">
        <f>IF('Données projet'!$A$270&gt;35,GU74+GT75-HC74,IF(A75&lt;'Données projet'!$A$270,$GR$205^A75,IF(A75='Données projet'!$A$270,'Données projet'!$B$270,GU74+GT75-HC74)))</f>
        <v>544.00000000000023</v>
      </c>
      <c r="GV75" s="18">
        <f>GU75*VLOOKUP('Données projet'!$B$18,Paramètres!$A$1:$I$89,3,0)*VLOOKUP('Données projet'!$B$18,Paramètres!$A$1:$I$89,5,0)</f>
        <v>261.6640000000001</v>
      </c>
      <c r="GW75" s="14">
        <f t="shared" si="105"/>
        <v>63.076943708251576</v>
      </c>
      <c r="GX75" s="22">
        <f t="shared" si="82"/>
        <v>565.59047695853826</v>
      </c>
      <c r="GY75" s="62">
        <f t="shared" si="83"/>
        <v>858.92381029187163</v>
      </c>
      <c r="GZ75" s="62">
        <f ca="1">AVERAGE(OFFSET($GY$3,0,0,'Données projet'!$E$18+1,1))-AVERAGE(OFFSET($H$3,0,0,'Données projet'!$E$18+1,1))</f>
        <v>441.17479680509746</v>
      </c>
      <c r="HA75" s="62">
        <f t="shared" si="106"/>
        <v>198.56576128410069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-3.4106051316484809E-13</v>
      </c>
      <c r="O76" s="14">
        <f>N76*VLOOKUP('Données projet'!$B$9,Paramètres!$A$1:$I$89,3,0)*VLOOKUP('Données projet'!$B$9,Paramètres!$A$1:$I$89,5,0)</f>
        <v>-1.9065282685915009E-13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374.79806286316051</v>
      </c>
      <c r="T76" s="62">
        <f t="shared" si="88"/>
        <v>350.01856672839466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2.2399417891507181</v>
      </c>
      <c r="AB76" s="23">
        <f>EXP(-LN(2)/2)*AB75+(1-EXP(-LN(2)/2))/(LN(2)/2)*V76*Y76*VLOOKUP('Données projet'!$B$9,Paramètres!$A$1:$I$89,3,0)*0.475*44/12</f>
        <v>3.0286536211407689E-6</v>
      </c>
      <c r="AC76" s="24">
        <f t="shared" si="57"/>
        <v>2.2399448178043393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</v>
      </c>
      <c r="AI76" s="14">
        <f>IF('Données projet'!$A$62&gt;35,AI75+AH76-AQ75,IF(A76&lt;'Données projet'!$A$62,$AF$205^A76,IF(A76='Données projet'!$A$62,'Données projet'!$B$62,AI75+AH76-AQ75)))</f>
        <v>251.00000000000006</v>
      </c>
      <c r="AJ76" s="14">
        <f>AI76*VLOOKUP('Données projet'!$B$10,Paramètres!$A$1:$I$89,3,0)*VLOOKUP('Données projet'!$B$10,Paramètres!$A$1:$I$89,5,0)</f>
        <v>219.2736000000001</v>
      </c>
      <c r="AK76" s="14">
        <f t="shared" si="89"/>
        <v>53.956975893220125</v>
      </c>
      <c r="AL76" s="22">
        <f t="shared" si="58"/>
        <v>475.87658634735857</v>
      </c>
      <c r="AM76" s="62">
        <f t="shared" si="59"/>
        <v>769.20991968069188</v>
      </c>
      <c r="AN76" s="62">
        <f ca="1">AVERAGE(OFFSET($AM$3,0,0,'Données projet'!$E$10+1,1))-AVERAGE(OFFSET($H$3,0,0,'Données projet'!$E$10+1,1))</f>
        <v>401.89597032936751</v>
      </c>
      <c r="AO76" s="62">
        <f t="shared" si="90"/>
        <v>417.85733543972361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260.59999999999991</v>
      </c>
      <c r="BE76" s="14">
        <f>BD76*VLOOKUP('Données projet'!$B$11,Paramètres!$A$1:$I$89,3,0)*VLOOKUP('Données projet'!$B$11,Paramètres!$A$1:$I$89,5,0)</f>
        <v>235.7908799999999</v>
      </c>
      <c r="BF76" s="14">
        <f t="shared" si="91"/>
        <v>57.532987351107714</v>
      </c>
      <c r="BG76" s="22">
        <f t="shared" si="61"/>
        <v>510.87240230317911</v>
      </c>
      <c r="BH76" s="62">
        <f t="shared" si="62"/>
        <v>804.20573563651237</v>
      </c>
      <c r="BI76" s="62">
        <f ca="1">AVERAGE(OFFSET($BH$3,0,0,'Données projet'!$E$11+1,1))-AVERAGE(OFFSET($H$3,0,0,'Données projet'!$E$11+1,1))</f>
        <v>430.40491895612814</v>
      </c>
      <c r="BJ76" s="62">
        <f t="shared" si="92"/>
        <v>231.36959598460686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4.2307692307692264</v>
      </c>
      <c r="BY76" s="13">
        <f>IF('Données projet'!$A$114&gt;35,BY75+BX76-CG75,IF(A76&lt;'Données projet'!$A$114,$BV$205^A76,IF(A76='Données projet'!$A$114,'Données projet'!$B$114,BY75+BX76-CG75)))</f>
        <v>199.23076923076917</v>
      </c>
      <c r="BZ76" s="14">
        <f>BY76*VLOOKUP('Données projet'!$B$12,Paramètres!$A$1:$I$89,3,0)*VLOOKUP('Données projet'!$B$12,Paramètres!$A$1:$I$89,5,0)</f>
        <v>189.58799999999994</v>
      </c>
      <c r="CA76" s="14">
        <f t="shared" si="93"/>
        <v>47.44885399619001</v>
      </c>
      <c r="CB76" s="22">
        <f t="shared" si="64"/>
        <v>412.83918737669751</v>
      </c>
      <c r="CC76" s="62">
        <f t="shared" si="65"/>
        <v>706.17252071003077</v>
      </c>
      <c r="CD76" s="62">
        <f ca="1">AVERAGE(OFFSET($CC$3,0,0,'Données projet'!$E$12+1,1))-AVERAGE(OFFSET($H$3,0,0,'Données projet'!$E$12+1,1))</f>
        <v>367.11183928586667</v>
      </c>
      <c r="CE76" s="62">
        <f t="shared" si="94"/>
        <v>281.52963027844595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-3.4106051316484809E-13</v>
      </c>
      <c r="CU76" s="18">
        <f>CT76*VLOOKUP('Données projet'!$B$13,Paramètres!$A$1:$I$89,3,0)*VLOOKUP('Données projet'!$B$13,Paramètres!$A$1:$I$89,5,0)</f>
        <v>-2.0395418687257919E-13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308.47522272937135</v>
      </c>
      <c r="CZ76" s="62">
        <f t="shared" si="96"/>
        <v>302.54354650449721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1.1656840632110366</v>
      </c>
      <c r="DH76" s="23">
        <f>EXP(-LN(2)/2)*DH75+(1-EXP(-LN(2)/2))/(LN(2)/2)*DB76*DE76*VLOOKUP('Données projet'!$B$13,Paramètres!$A$1:$I$89,3,0)*0.475*44/12</f>
        <v>5.8242294779514104E-6</v>
      </c>
      <c r="DI76" s="24">
        <f t="shared" si="69"/>
        <v>1.1656898874405146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4.1799999999999953</v>
      </c>
      <c r="DO76" s="13">
        <f>IF('Données projet'!$A$166&gt;35,DO75+DN76-DW75,IF(A76&lt;'Données projet'!$A$166,$DL$205^A76,IF(A76='Données projet'!$A$166,'Données projet'!$B$166,DO75+DN76-DW75)))</f>
        <v>315.13999999999993</v>
      </c>
      <c r="DP76" s="18">
        <f>DO76*VLOOKUP('Données projet'!$B$14,Paramètres!$A$1:$I$89,3,0)*VLOOKUP('Données projet'!$B$14,Paramètres!$A$1:$I$89,5,0)</f>
        <v>250.72538399999993</v>
      </c>
      <c r="DQ76" s="14">
        <f t="shared" si="97"/>
        <v>60.741244716227833</v>
      </c>
      <c r="DR76" s="22">
        <f t="shared" si="70"/>
        <v>542.47104501409672</v>
      </c>
      <c r="DS76" s="62">
        <f t="shared" si="71"/>
        <v>835.80437834742997</v>
      </c>
      <c r="DT76" s="62">
        <f ca="1">AVERAGE(OFFSET($DS$3,0,0,'Données projet'!$E$14+1,1))-AVERAGE(OFFSET($H$3,0,0,'Données projet'!$E$14+1,1))</f>
        <v>370.58277541710277</v>
      </c>
      <c r="DU76" s="62">
        <f t="shared" si="98"/>
        <v>404.61777090709171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>
        <f>EJ76*VLOOKUP('Données projet'!$B$15,Paramètres!$A$1:$I$89,3,0)*VLOOKUP('Données projet'!$B$15,Paramètres!$A$1:$I$89,5,0)</f>
        <v>0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240.22884864766218</v>
      </c>
      <c r="EP76" s="62">
        <f t="shared" si="100"/>
        <v>343.23776884143166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3.1251779966672353</v>
      </c>
      <c r="EX76" s="23">
        <f>EXP(-LN(2)/2)*EX75+(1-EXP(-LN(2)/2))/(LN(2)/2)*ER76*EU76*VLOOKUP('Données projet'!$B$15,Paramètres!$A$1:$I$89,3,0)*0.475*44/12</f>
        <v>5.569729592828305E-6</v>
      </c>
      <c r="EY76" s="24">
        <f t="shared" si="75"/>
        <v>3.1251835663968279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21.2</v>
      </c>
      <c r="FE76" s="13">
        <f>IF('Données projet'!$A$218&gt;35,FE75+FD76-FM75,IF(A76&lt;'Données projet'!$A$218,$FB$205^A76,IF(A76='Données projet'!$A$218,'Données projet'!$B$218,FE75+FD76-FM75)))</f>
        <v>585.6</v>
      </c>
      <c r="FF76" s="18">
        <f>FE76*VLOOKUP('Données projet'!$B$16,Paramètres!$A$1:$I$89,3,0)*VLOOKUP('Données projet'!$B$16,Paramètres!$A$1:$I$89,5,0)</f>
        <v>274.06080000000003</v>
      </c>
      <c r="FG76" s="14">
        <f t="shared" si="101"/>
        <v>65.710323362952991</v>
      </c>
      <c r="FH76" s="22">
        <f t="shared" si="76"/>
        <v>591.76803985714309</v>
      </c>
      <c r="FI76" s="62">
        <f t="shared" si="77"/>
        <v>885.10137319047635</v>
      </c>
      <c r="FJ76" s="62">
        <f ca="1">AVERAGE(OFFSET($FI$3,0,0,'Données projet'!$E$16+1,1))-AVERAGE(OFFSET($H$3,0,0,'Données projet'!$E$16+1,1))</f>
        <v>399.92909819003523</v>
      </c>
      <c r="FK76" s="62">
        <f t="shared" si="102"/>
        <v>163.7053537268381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4.1799999999999953</v>
      </c>
      <c r="FZ76" s="13">
        <f>IF('Données projet'!$A$244&gt;35,FZ75+FY76-GH75,IF(A76&lt;'Données projet'!$A$244,$FW$205^A76,IF(A76='Données projet'!$A$244,'Données projet'!$B$244,FZ75+FY76-GH75)))</f>
        <v>315.13999999999993</v>
      </c>
      <c r="GA76" s="18">
        <f>FZ76*VLOOKUP('Données projet'!$B$17,Paramètres!$A$1:$I$89,3,0)*VLOOKUP('Données projet'!$B$17,Paramètres!$A$1:$I$89,5,0)</f>
        <v>231.06064799999993</v>
      </c>
      <c r="GB76" s="14">
        <f t="shared" si="103"/>
        <v>56.511956980324314</v>
      </c>
      <c r="GC76" s="22">
        <f t="shared" si="79"/>
        <v>500.85562034073132</v>
      </c>
      <c r="GD76" s="62">
        <f t="shared" si="80"/>
        <v>794.18895367406458</v>
      </c>
      <c r="GE76" s="62">
        <f ca="1">AVERAGE(OFFSET($GD$3,0,0,'Données projet'!$E$17+1,1))-AVERAGE(OFFSET($H$3,0,0,'Données projet'!$E$17+1,1))</f>
        <v>344.4426665022238</v>
      </c>
      <c r="GF76" s="62">
        <f t="shared" si="104"/>
        <v>376.41441893222185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22</v>
      </c>
      <c r="GU76" s="13">
        <f>IF('Données projet'!$A$270&gt;35,GU75+GT76-HC75,IF(A76&lt;'Données projet'!$A$270,$GR$205^A76,IF(A76='Données projet'!$A$270,'Données projet'!$B$270,GU75+GT76-HC75)))</f>
        <v>566.00000000000023</v>
      </c>
      <c r="GV76" s="18">
        <f>GU76*VLOOKUP('Données projet'!$B$18,Paramètres!$A$1:$I$89,3,0)*VLOOKUP('Données projet'!$B$18,Paramètres!$A$1:$I$89,5,0)</f>
        <v>272.24600000000009</v>
      </c>
      <c r="GW76" s="14">
        <f t="shared" si="105"/>
        <v>65.325697116222955</v>
      </c>
      <c r="GX76" s="22">
        <f t="shared" si="82"/>
        <v>587.93737247742183</v>
      </c>
      <c r="GY76" s="62">
        <f t="shared" si="83"/>
        <v>881.27070581075509</v>
      </c>
      <c r="GZ76" s="62">
        <f ca="1">AVERAGE(OFFSET($GY$3,0,0,'Données projet'!$E$18+1,1))-AVERAGE(OFFSET($H$3,0,0,'Données projet'!$E$18+1,1))</f>
        <v>441.17479680509746</v>
      </c>
      <c r="HA76" s="62">
        <f t="shared" si="106"/>
        <v>198.56576128410069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-3.4106051316484809E-13</v>
      </c>
      <c r="O77" s="14">
        <f>N77*VLOOKUP('Données projet'!$B$9,Paramètres!$A$1:$I$89,3,0)*VLOOKUP('Données projet'!$B$9,Paramètres!$A$1:$I$89,5,0)</f>
        <v>-1.9065282685915009E-13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374.79806286316051</v>
      </c>
      <c r="T77" s="62">
        <f t="shared" si="88"/>
        <v>350.01856672839466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2.1786904631329724</v>
      </c>
      <c r="AB77" s="23">
        <f>EXP(-LN(2)/2)*AB76+(1-EXP(-LN(2)/2))/(LN(2)/2)*V77*Y77*VLOOKUP('Données projet'!$B$9,Paramètres!$A$1:$I$89,3,0)*0.475*44/12</f>
        <v>2.1415815133738305E-6</v>
      </c>
      <c r="AC77" s="24">
        <f t="shared" si="57"/>
        <v>2.1786926047144859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</v>
      </c>
      <c r="AI77" s="14">
        <f>IF('Données projet'!$A$62&gt;35,AI76+AH77-AQ76,IF(A77&lt;'Données projet'!$A$62,$AF$205^A77,IF(A77='Données projet'!$A$62,'Données projet'!$B$62,AI76+AH77-AQ76)))</f>
        <v>256.00000000000006</v>
      </c>
      <c r="AJ77" s="14">
        <f>AI77*VLOOKUP('Données projet'!$B$10,Paramètres!$A$1:$I$89,3,0)*VLOOKUP('Données projet'!$B$10,Paramètres!$A$1:$I$89,5,0)</f>
        <v>223.64160000000007</v>
      </c>
      <c r="AK77" s="14">
        <f t="shared" si="89"/>
        <v>54.905611653539218</v>
      </c>
      <c r="AL77" s="22">
        <f t="shared" si="58"/>
        <v>485.13639362991427</v>
      </c>
      <c r="AM77" s="62">
        <f t="shared" si="59"/>
        <v>778.46972696324758</v>
      </c>
      <c r="AN77" s="62">
        <f ca="1">AVERAGE(OFFSET($AM$3,0,0,'Données projet'!$E$10+1,1))-AVERAGE(OFFSET($H$3,0,0,'Données projet'!$E$10+1,1))</f>
        <v>401.89597032936751</v>
      </c>
      <c r="AO77" s="62">
        <f t="shared" si="90"/>
        <v>417.85733543972361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266.7999999999999</v>
      </c>
      <c r="BE77" s="14">
        <f>BD77*VLOOKUP('Données projet'!$B$11,Paramètres!$A$1:$I$89,3,0)*VLOOKUP('Données projet'!$B$11,Paramètres!$A$1:$I$89,5,0)</f>
        <v>241.40063999999992</v>
      </c>
      <c r="BF77" s="14">
        <f t="shared" si="91"/>
        <v>58.740782866262698</v>
      </c>
      <c r="BG77" s="22">
        <f t="shared" si="61"/>
        <v>522.74631149207403</v>
      </c>
      <c r="BH77" s="62">
        <f t="shared" si="62"/>
        <v>816.07964482540729</v>
      </c>
      <c r="BI77" s="62">
        <f ca="1">AVERAGE(OFFSET($BH$3,0,0,'Données projet'!$E$11+1,1))-AVERAGE(OFFSET($H$3,0,0,'Données projet'!$E$11+1,1))</f>
        <v>430.40491895612814</v>
      </c>
      <c r="BJ77" s="62">
        <f t="shared" si="92"/>
        <v>231.36959598460686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4.2307692307692264</v>
      </c>
      <c r="BY77" s="13">
        <f>IF('Données projet'!$A$114&gt;35,BY76+BX77-CG76,IF(A77&lt;'Données projet'!$A$114,$BV$205^A77,IF(A77='Données projet'!$A$114,'Données projet'!$B$114,BY76+BX77-CG76)))</f>
        <v>203.4615384615384</v>
      </c>
      <c r="BZ77" s="14">
        <f>BY77*VLOOKUP('Données projet'!$B$12,Paramètres!$A$1:$I$89,3,0)*VLOOKUP('Données projet'!$B$12,Paramètres!$A$1:$I$89,5,0)</f>
        <v>193.61399999999995</v>
      </c>
      <c r="CA77" s="14">
        <f t="shared" si="93"/>
        <v>48.338078619840999</v>
      </c>
      <c r="CB77" s="22">
        <f t="shared" si="64"/>
        <v>421.39987026288964</v>
      </c>
      <c r="CC77" s="62">
        <f t="shared" si="65"/>
        <v>714.73320359622289</v>
      </c>
      <c r="CD77" s="62">
        <f ca="1">AVERAGE(OFFSET($CC$3,0,0,'Données projet'!$E$12+1,1))-AVERAGE(OFFSET($H$3,0,0,'Données projet'!$E$12+1,1))</f>
        <v>367.11183928586667</v>
      </c>
      <c r="CE77" s="62">
        <f t="shared" si="94"/>
        <v>281.52963027844595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-3.4106051316484809E-13</v>
      </c>
      <c r="CU77" s="18">
        <f>CT77*VLOOKUP('Données projet'!$B$13,Paramètres!$A$1:$I$89,3,0)*VLOOKUP('Données projet'!$B$13,Paramètres!$A$1:$I$89,5,0)</f>
        <v>-2.0395418687257919E-13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308.47522272937135</v>
      </c>
      <c r="CZ77" s="62">
        <f t="shared" si="96"/>
        <v>302.54354650449721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1.1338083712018701</v>
      </c>
      <c r="DH77" s="23">
        <f>EXP(-LN(2)/2)*DH76+(1-EXP(-LN(2)/2))/(LN(2)/2)*DB77*DE77*VLOOKUP('Données projet'!$B$13,Paramètres!$A$1:$I$89,3,0)*0.475*44/12</f>
        <v>4.1183521590460278E-6</v>
      </c>
      <c r="DI77" s="24">
        <f t="shared" si="69"/>
        <v>1.1338124895540291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4.1799999999999953</v>
      </c>
      <c r="DO77" s="13">
        <f>IF('Données projet'!$A$166&gt;35,DO76+DN77-DW76,IF(A77&lt;'Données projet'!$A$166,$DL$205^A77,IF(A77='Données projet'!$A$166,'Données projet'!$B$166,DO76+DN77-DW76)))</f>
        <v>319.31999999999994</v>
      </c>
      <c r="DP77" s="18">
        <f>DO77*VLOOKUP('Données projet'!$B$14,Paramètres!$A$1:$I$89,3,0)*VLOOKUP('Données projet'!$B$14,Paramètres!$A$1:$I$89,5,0)</f>
        <v>254.05099199999995</v>
      </c>
      <c r="DQ77" s="14">
        <f t="shared" si="97"/>
        <v>61.45258663488832</v>
      </c>
      <c r="DR77" s="22">
        <f t="shared" si="70"/>
        <v>549.50206612243039</v>
      </c>
      <c r="DS77" s="62">
        <f t="shared" si="71"/>
        <v>842.83539945576376</v>
      </c>
      <c r="DT77" s="62">
        <f ca="1">AVERAGE(OFFSET($DS$3,0,0,'Données projet'!$E$14+1,1))-AVERAGE(OFFSET($H$3,0,0,'Données projet'!$E$14+1,1))</f>
        <v>370.58277541710277</v>
      </c>
      <c r="DU77" s="62">
        <f t="shared" si="98"/>
        <v>404.61777090709171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>
        <f>EJ77*VLOOKUP('Données projet'!$B$15,Paramètres!$A$1:$I$89,3,0)*VLOOKUP('Données projet'!$B$15,Paramètres!$A$1:$I$89,5,0)</f>
        <v>0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240.22884864766218</v>
      </c>
      <c r="EP77" s="62">
        <f t="shared" si="100"/>
        <v>343.23776884143166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3.0397198400024017</v>
      </c>
      <c r="EX77" s="23">
        <f>EXP(-LN(2)/2)*EX76+(1-EXP(-LN(2)/2))/(LN(2)/2)*ER77*EU77*VLOOKUP('Données projet'!$B$15,Paramètres!$A$1:$I$89,3,0)*0.475*44/12</f>
        <v>3.9383935644642827E-6</v>
      </c>
      <c r="EY77" s="24">
        <f t="shared" si="75"/>
        <v>3.0397237783959663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21.2</v>
      </c>
      <c r="FE77" s="13">
        <f>IF('Données projet'!$A$218&gt;35,FE76+FD77-FM76,IF(A77&lt;'Données projet'!$A$218,$FB$205^A77,IF(A77='Données projet'!$A$218,'Données projet'!$B$218,FE76+FD77-FM76)))</f>
        <v>606.80000000000007</v>
      </c>
      <c r="FF77" s="18">
        <f>FE77*VLOOKUP('Données projet'!$B$16,Paramètres!$A$1:$I$89,3,0)*VLOOKUP('Données projet'!$B$16,Paramètres!$A$1:$I$89,5,0)</f>
        <v>283.98240000000004</v>
      </c>
      <c r="FG77" s="14">
        <f t="shared" si="101"/>
        <v>67.807911493441154</v>
      </c>
      <c r="FH77" s="22">
        <f t="shared" si="76"/>
        <v>612.70145918441006</v>
      </c>
      <c r="FI77" s="62">
        <f t="shared" si="77"/>
        <v>906.03479251774343</v>
      </c>
      <c r="FJ77" s="62">
        <f ca="1">AVERAGE(OFFSET($FI$3,0,0,'Données projet'!$E$16+1,1))-AVERAGE(OFFSET($H$3,0,0,'Données projet'!$E$16+1,1))</f>
        <v>399.92909819003523</v>
      </c>
      <c r="FK77" s="62">
        <f t="shared" si="102"/>
        <v>163.7053537268381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4.1799999999999953</v>
      </c>
      <c r="FZ77" s="13">
        <f>IF('Données projet'!$A$244&gt;35,FZ76+FY77-GH76,IF(A77&lt;'Données projet'!$A$244,$FW$205^A77,IF(A77='Données projet'!$A$244,'Données projet'!$B$244,FZ76+FY77-GH76)))</f>
        <v>319.31999999999994</v>
      </c>
      <c r="GA77" s="18">
        <f>FZ77*VLOOKUP('Données projet'!$B$17,Paramètres!$A$1:$I$89,3,0)*VLOOKUP('Données projet'!$B$17,Paramètres!$A$1:$I$89,5,0)</f>
        <v>234.12542399999995</v>
      </c>
      <c r="GB77" s="14">
        <f t="shared" si="103"/>
        <v>57.173769626631554</v>
      </c>
      <c r="GC77" s="22">
        <f t="shared" si="79"/>
        <v>507.34609556638321</v>
      </c>
      <c r="GD77" s="62">
        <f t="shared" si="80"/>
        <v>800.67942889971653</v>
      </c>
      <c r="GE77" s="62">
        <f ca="1">AVERAGE(OFFSET($GD$3,0,0,'Données projet'!$E$17+1,1))-AVERAGE(OFFSET($H$3,0,0,'Données projet'!$E$17+1,1))</f>
        <v>344.4426665022238</v>
      </c>
      <c r="GF77" s="62">
        <f t="shared" si="104"/>
        <v>376.41441893222185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22</v>
      </c>
      <c r="GU77" s="13">
        <f>IF('Données projet'!$A$270&gt;35,GU76+GT77-HC76,IF(A77&lt;'Données projet'!$A$270,$GR$205^A77,IF(A77='Données projet'!$A$270,'Données projet'!$B$270,GU76+GT77-HC76)))</f>
        <v>588.00000000000023</v>
      </c>
      <c r="GV77" s="18">
        <f>GU77*VLOOKUP('Données projet'!$B$18,Paramètres!$A$1:$I$89,3,0)*VLOOKUP('Données projet'!$B$18,Paramètres!$A$1:$I$89,5,0)</f>
        <v>282.82800000000015</v>
      </c>
      <c r="GW77" s="14">
        <f t="shared" si="105"/>
        <v>67.564296586474399</v>
      </c>
      <c r="GX77" s="22">
        <f t="shared" si="82"/>
        <v>610.26658322144317</v>
      </c>
      <c r="GY77" s="62">
        <f t="shared" si="83"/>
        <v>903.59991655477643</v>
      </c>
      <c r="GZ77" s="62">
        <f ca="1">AVERAGE(OFFSET($GY$3,0,0,'Données projet'!$E$18+1,1))-AVERAGE(OFFSET($H$3,0,0,'Données projet'!$E$18+1,1))</f>
        <v>441.17479680509746</v>
      </c>
      <c r="HA77" s="62">
        <f t="shared" si="106"/>
        <v>198.56576128410069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-3.4106051316484809E-13</v>
      </c>
      <c r="O78" s="14">
        <f>N78*VLOOKUP('Données projet'!$B$9,Paramètres!$A$1:$I$89,3,0)*VLOOKUP('Données projet'!$B$9,Paramètres!$A$1:$I$89,5,0)</f>
        <v>-1.9065282685915009E-13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374.79806286316051</v>
      </c>
      <c r="T78" s="62">
        <f t="shared" si="88"/>
        <v>350.01856672839466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2.1191140578462493</v>
      </c>
      <c r="AB78" s="23">
        <f>EXP(-LN(2)/2)*AB77+(1-EXP(-LN(2)/2))/(LN(2)/2)*V78*Y78*VLOOKUP('Données projet'!$B$9,Paramètres!$A$1:$I$89,3,0)*0.475*44/12</f>
        <v>1.5143268105703845E-6</v>
      </c>
      <c r="AC78" s="24">
        <f t="shared" si="57"/>
        <v>2.1191155721730599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261</v>
      </c>
      <c r="AG78" s="13">
        <f>VLOOKUP(A78,'Données projet'!$A$61:$I$81,9,0)</f>
        <v>5</v>
      </c>
      <c r="AH78" s="13">
        <f t="array" ref="AH78">INDEX(AG:AG,MIN(IF(ISNUMBER(AG78:AG274),ROW(AG78:AG274),"")))</f>
        <v>5</v>
      </c>
      <c r="AI78" s="14">
        <f>IF('Données projet'!$A$62&gt;35,AI77+AH78-AQ77,IF(A78&lt;'Données projet'!$A$62,$AF$205^A78,IF(A78='Données projet'!$A$62,'Données projet'!$B$62,AI77+AH78-AQ77)))</f>
        <v>261.00000000000006</v>
      </c>
      <c r="AJ78" s="14">
        <f>AI78*VLOOKUP('Données projet'!$B$10,Paramètres!$A$1:$I$89,3,0)*VLOOKUP('Données projet'!$B$10,Paramètres!$A$1:$I$89,5,0)</f>
        <v>228.00960000000009</v>
      </c>
      <c r="AK78" s="14">
        <f t="shared" si="89"/>
        <v>55.852093054619878</v>
      </c>
      <c r="AL78" s="22">
        <f t="shared" si="58"/>
        <v>494.3924487367965</v>
      </c>
      <c r="AM78" s="62">
        <f t="shared" si="59"/>
        <v>787.72578207012975</v>
      </c>
      <c r="AN78" s="62">
        <f ca="1">AVERAGE(OFFSET($AM$3,0,0,'Données projet'!$E$10+1,1))-AVERAGE(OFFSET($H$3,0,0,'Données projet'!$E$10+1,1))</f>
        <v>401.89597032936751</v>
      </c>
      <c r="AO78" s="62">
        <f t="shared" si="90"/>
        <v>417.85733543972361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273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272.99999999999989</v>
      </c>
      <c r="BE78" s="14">
        <f>BD78*VLOOKUP('Données projet'!$B$11,Paramètres!$A$1:$I$89,3,0)*VLOOKUP('Données projet'!$B$11,Paramètres!$A$1:$I$89,5,0)</f>
        <v>247.01039999999989</v>
      </c>
      <c r="BF78" s="14">
        <f t="shared" si="91"/>
        <v>59.945315462121812</v>
      </c>
      <c r="BG78" s="22">
        <f t="shared" si="61"/>
        <v>534.61453776319524</v>
      </c>
      <c r="BH78" s="62">
        <f t="shared" si="62"/>
        <v>827.94787109652862</v>
      </c>
      <c r="BI78" s="62">
        <f ca="1">AVERAGE(OFFSET($BH$3,0,0,'Données projet'!$E$11+1,1))-AVERAGE(OFFSET($H$3,0,0,'Données projet'!$E$11+1,1))</f>
        <v>430.40491895612814</v>
      </c>
      <c r="BJ78" s="62">
        <f t="shared" si="92"/>
        <v>231.36959598460686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42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207.69230769230768</v>
      </c>
      <c r="BW78" s="13">
        <f>VLOOKUP(A78,'Données projet'!$A$113:$I$133,9,0)</f>
        <v>4.2307692307692264</v>
      </c>
      <c r="BX78" s="13">
        <f t="array" ref="BX78">INDEX(BW:BW,MIN(IF(ISNUMBER(BW78:BW274),ROW(BW78:BW274),"")))</f>
        <v>4.2307692307692264</v>
      </c>
      <c r="BY78" s="13">
        <f>IF('Données projet'!$A$114&gt;35,BY77+BX78-CG77,IF(A78&lt;'Données projet'!$A$114,$BV$205^A78,IF(A78='Données projet'!$A$114,'Données projet'!$B$114,BY77+BX78-CG77)))</f>
        <v>207.69230769230762</v>
      </c>
      <c r="BZ78" s="14">
        <f>BY78*VLOOKUP('Données projet'!$B$12,Paramètres!$A$1:$I$89,3,0)*VLOOKUP('Données projet'!$B$12,Paramètres!$A$1:$I$89,5,0)</f>
        <v>197.63999999999993</v>
      </c>
      <c r="CA78" s="14">
        <f t="shared" si="93"/>
        <v>49.22515338895078</v>
      </c>
      <c r="CB78" s="22">
        <f t="shared" si="64"/>
        <v>429.95680881908919</v>
      </c>
      <c r="CC78" s="62">
        <f t="shared" si="65"/>
        <v>723.2901421524225</v>
      </c>
      <c r="CD78" s="62">
        <f ca="1">AVERAGE(OFFSET($CC$3,0,0,'Données projet'!$E$12+1,1))-AVERAGE(OFFSET($H$3,0,0,'Données projet'!$E$12+1,1))</f>
        <v>367.11183928586667</v>
      </c>
      <c r="CE78" s="62">
        <f t="shared" si="94"/>
        <v>281.52963027844595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-3.4106051316484809E-13</v>
      </c>
      <c r="CU78" s="18">
        <f>CT78*VLOOKUP('Données projet'!$B$13,Paramètres!$A$1:$I$89,3,0)*VLOOKUP('Données projet'!$B$13,Paramètres!$A$1:$I$89,5,0)</f>
        <v>-2.0395418687257919E-13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308.47522272937135</v>
      </c>
      <c r="CZ78" s="62">
        <f t="shared" si="96"/>
        <v>302.54354650449721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1.1028043216669641</v>
      </c>
      <c r="DH78" s="23">
        <f>EXP(-LN(2)/2)*DH77+(1-EXP(-LN(2)/2))/(LN(2)/2)*DB78*DE78*VLOOKUP('Données projet'!$B$13,Paramètres!$A$1:$I$89,3,0)*0.475*44/12</f>
        <v>2.9121147389757052E-6</v>
      </c>
      <c r="DI78" s="24">
        <f t="shared" si="69"/>
        <v>1.102807233781703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323.5</v>
      </c>
      <c r="DM78" s="13">
        <f>VLOOKUP(A78,'Données projet'!$A$165:$I$185,9,0)</f>
        <v>4.1799999999999953</v>
      </c>
      <c r="DN78" s="13">
        <f t="array" ref="DN78">INDEX(DM:DM,MIN(IF(ISNUMBER(DM78:DM274),ROW(DM78:DM274),"")))</f>
        <v>4.1799999999999953</v>
      </c>
      <c r="DO78" s="13">
        <f>IF('Données projet'!$A$166&gt;35,DO77+DN78-DW77,IF(A78&lt;'Données projet'!$A$166,$DL$205^A78,IF(A78='Données projet'!$A$166,'Données projet'!$B$166,DO77+DN78-DW77)))</f>
        <v>323.49999999999994</v>
      </c>
      <c r="DP78" s="18">
        <f>DO78*VLOOKUP('Données projet'!$B$14,Paramètres!$A$1:$I$89,3,0)*VLOOKUP('Données projet'!$B$14,Paramètres!$A$1:$I$89,5,0)</f>
        <v>257.3766</v>
      </c>
      <c r="DQ78" s="14">
        <f t="shared" si="97"/>
        <v>62.162845465331493</v>
      </c>
      <c r="DR78" s="22">
        <f t="shared" si="70"/>
        <v>556.53120085211901</v>
      </c>
      <c r="DS78" s="62">
        <f t="shared" si="71"/>
        <v>849.86453418545238</v>
      </c>
      <c r="DT78" s="62">
        <f ca="1">AVERAGE(OFFSET($DS$3,0,0,'Données projet'!$E$14+1,1))-AVERAGE(OFFSET($H$3,0,0,'Données projet'!$E$14+1,1))</f>
        <v>370.58277541710277</v>
      </c>
      <c r="DU78" s="62">
        <f t="shared" si="98"/>
        <v>404.61777090709171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>
        <f>EJ78*VLOOKUP('Données projet'!$B$15,Paramètres!$A$1:$I$89,3,0)*VLOOKUP('Données projet'!$B$15,Paramètres!$A$1:$I$89,5,0)</f>
        <v>0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240.22884864766218</v>
      </c>
      <c r="EP78" s="62">
        <f t="shared" si="100"/>
        <v>343.23776884143166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2.9565985411256168</v>
      </c>
      <c r="EX78" s="23">
        <f>EXP(-LN(2)/2)*EX77+(1-EXP(-LN(2)/2))/(LN(2)/2)*ER78*EU78*VLOOKUP('Données projet'!$B$15,Paramètres!$A$1:$I$89,3,0)*0.475*44/12</f>
        <v>2.7848647964141525E-6</v>
      </c>
      <c r="EY78" s="24">
        <f t="shared" si="75"/>
        <v>2.9566013259904134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21.2</v>
      </c>
      <c r="FE78" s="13">
        <f>IF('Données projet'!$A$218&gt;35,FE77+FD78-FM77,IF(A78&lt;'Données projet'!$A$218,$FB$205^A78,IF(A78='Données projet'!$A$218,'Données projet'!$B$218,FE77+FD78-FM77)))</f>
        <v>628.00000000000011</v>
      </c>
      <c r="FF78" s="18">
        <f>FE78*VLOOKUP('Données projet'!$B$16,Paramètres!$A$1:$I$89,3,0)*VLOOKUP('Données projet'!$B$16,Paramètres!$A$1:$I$89,5,0)</f>
        <v>293.90400000000005</v>
      </c>
      <c r="FG78" s="14">
        <f t="shared" si="101"/>
        <v>69.896984831773324</v>
      </c>
      <c r="FH78" s="22">
        <f t="shared" si="76"/>
        <v>633.62004858200532</v>
      </c>
      <c r="FI78" s="62">
        <f t="shared" si="77"/>
        <v>926.9533819153387</v>
      </c>
      <c r="FJ78" s="62">
        <f ca="1">AVERAGE(OFFSET($FI$3,0,0,'Données projet'!$E$16+1,1))-AVERAGE(OFFSET($H$3,0,0,'Données projet'!$E$16+1,1))</f>
        <v>399.92909819003523</v>
      </c>
      <c r="FK78" s="62">
        <f t="shared" si="102"/>
        <v>163.7053537268381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323.5</v>
      </c>
      <c r="FX78" s="13">
        <f>VLOOKUP(A78,'Données projet'!$A$243:$I$263,9,0)</f>
        <v>4.1799999999999953</v>
      </c>
      <c r="FY78" s="13">
        <f t="array" ref="FY78">INDEX(FX:FX,MIN(IF(ISNUMBER(FX78:FX274),ROW(FX78:FX274),"")))</f>
        <v>4.1799999999999953</v>
      </c>
      <c r="FZ78" s="13">
        <f>IF('Données projet'!$A$244&gt;35,FZ77+FY78-GH77,IF(A78&lt;'Données projet'!$A$244,$FW$205^A78,IF(A78='Données projet'!$A$244,'Données projet'!$B$244,FZ77+FY78-GH77)))</f>
        <v>323.49999999999994</v>
      </c>
      <c r="GA78" s="18">
        <f>FZ78*VLOOKUP('Données projet'!$B$17,Paramètres!$A$1:$I$89,3,0)*VLOOKUP('Données projet'!$B$17,Paramètres!$A$1:$I$89,5,0)</f>
        <v>237.19019999999995</v>
      </c>
      <c r="GB78" s="14">
        <f t="shared" si="103"/>
        <v>57.834574597922789</v>
      </c>
      <c r="GC78" s="22">
        <f t="shared" si="79"/>
        <v>513.83481575804865</v>
      </c>
      <c r="GD78" s="62">
        <f t="shared" si="80"/>
        <v>807.16814909138202</v>
      </c>
      <c r="GE78" s="62">
        <f ca="1">AVERAGE(OFFSET($GD$3,0,0,'Données projet'!$E$17+1,1))-AVERAGE(OFFSET($H$3,0,0,'Données projet'!$E$17+1,1))</f>
        <v>344.4426665022238</v>
      </c>
      <c r="GF78" s="62">
        <f t="shared" si="104"/>
        <v>376.41441893222185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22</v>
      </c>
      <c r="GU78" s="13">
        <f>IF('Données projet'!$A$270&gt;35,GU77+GT78-HC77,IF(A78&lt;'Données projet'!$A$270,$GR$205^A78,IF(A78='Données projet'!$A$270,'Données projet'!$B$270,GU77+GT78-HC77)))</f>
        <v>610.00000000000023</v>
      </c>
      <c r="GV78" s="18">
        <f>GU78*VLOOKUP('Données projet'!$B$18,Paramètres!$A$1:$I$89,3,0)*VLOOKUP('Données projet'!$B$18,Paramètres!$A$1:$I$89,5,0)</f>
        <v>293.41000000000008</v>
      </c>
      <c r="GW78" s="14">
        <f t="shared" si="105"/>
        <v>69.79316552850328</v>
      </c>
      <c r="GX78" s="22">
        <f t="shared" si="82"/>
        <v>632.57884662880997</v>
      </c>
      <c r="GY78" s="62">
        <f t="shared" si="83"/>
        <v>925.91217996214323</v>
      </c>
      <c r="GZ78" s="62">
        <f ca="1">AVERAGE(OFFSET($GY$3,0,0,'Données projet'!$E$18+1,1))-AVERAGE(OFFSET($H$3,0,0,'Données projet'!$E$18+1,1))</f>
        <v>441.17479680509746</v>
      </c>
      <c r="HA78" s="62">
        <f t="shared" si="106"/>
        <v>198.56576128410069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-3.4106051316484809E-13</v>
      </c>
      <c r="O79" s="14">
        <f>N79*VLOOKUP('Données projet'!$B$9,Paramètres!$A$1:$I$89,3,0)*VLOOKUP('Données projet'!$B$9,Paramètres!$A$1:$I$89,5,0)</f>
        <v>-1.9065282685915009E-13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374.79806286316051</v>
      </c>
      <c r="T79" s="62">
        <f t="shared" si="88"/>
        <v>350.01856672839466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2.0611667724950786</v>
      </c>
      <c r="AB79" s="23">
        <f>EXP(-LN(2)/2)*AB78+(1-EXP(-LN(2)/2))/(LN(2)/2)*V79*Y79*VLOOKUP('Données projet'!$B$9,Paramètres!$A$1:$I$89,3,0)*0.475*44/12</f>
        <v>1.0707907566869152E-6</v>
      </c>
      <c r="AC79" s="24">
        <f t="shared" si="57"/>
        <v>2.0611678432858351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4.4000000000000004</v>
      </c>
      <c r="AI79" s="14">
        <f>IF('Données projet'!$A$62&gt;35,AI78+AH79-AQ78,IF(A79&lt;'Données projet'!$A$62,$AF$205^A79,IF(A79='Données projet'!$A$62,'Données projet'!$B$62,AI78+AH79-AQ78)))</f>
        <v>265.40000000000003</v>
      </c>
      <c r="AJ79" s="14">
        <f>AI79*VLOOKUP('Données projet'!$B$10,Paramètres!$A$1:$I$89,3,0)*VLOOKUP('Données projet'!$B$10,Paramètres!$A$1:$I$89,5,0)</f>
        <v>231.85344000000003</v>
      </c>
      <c r="AK79" s="14">
        <f t="shared" si="89"/>
        <v>56.683251198403141</v>
      </c>
      <c r="AL79" s="22">
        <f t="shared" si="58"/>
        <v>502.53473717055221</v>
      </c>
      <c r="AM79" s="62">
        <f t="shared" si="59"/>
        <v>795.86807050388552</v>
      </c>
      <c r="AN79" s="62">
        <f ca="1">AVERAGE(OFFSET($AM$3,0,0,'Données projet'!$E$10+1,1))-AVERAGE(OFFSET($H$3,0,0,'Données projet'!$E$10+1,1))</f>
        <v>401.89597032936751</v>
      </c>
      <c r="AO79" s="62">
        <f t="shared" si="90"/>
        <v>417.85733543972361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5.9</v>
      </c>
      <c r="BD79" s="13">
        <f>IF('Données projet'!$A$88&gt;35,BD78+BC79-BL78,IF(A79&lt;'Données projet'!$A$88,$BA$205^A79,IF(A79='Données projet'!$A$88,'Données projet'!$B$88,BD78+BC79-BL78)))</f>
        <v>236.89999999999986</v>
      </c>
      <c r="BE79" s="14">
        <f>BD79*VLOOKUP('Données projet'!$B$11,Paramètres!$A$1:$I$89,3,0)*VLOOKUP('Données projet'!$B$11,Paramètres!$A$1:$I$89,5,0)</f>
        <v>214.34711999999985</v>
      </c>
      <c r="BF79" s="14">
        <f t="shared" si="91"/>
        <v>52.884405030781778</v>
      </c>
      <c r="BG79" s="22">
        <f t="shared" si="61"/>
        <v>465.42823942861133</v>
      </c>
      <c r="BH79" s="62">
        <f t="shared" si="62"/>
        <v>758.76157276194465</v>
      </c>
      <c r="BI79" s="62">
        <f ca="1">AVERAGE(OFFSET($BH$3,0,0,'Données projet'!$E$11+1,1))-AVERAGE(OFFSET($H$3,0,0,'Données projet'!$E$11+1,1))</f>
        <v>430.40491895612814</v>
      </c>
      <c r="BJ79" s="62">
        <f t="shared" si="92"/>
        <v>231.36959598460686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3.974358974358978</v>
      </c>
      <c r="BY79" s="13">
        <f>IF('Données projet'!$A$114&gt;35,BY78+BX79-CG78,IF(A79&lt;'Données projet'!$A$114,$BV$205^A79,IF(A79='Données projet'!$A$114,'Données projet'!$B$114,BY78+BX79-CG78)))</f>
        <v>211.6666666666666</v>
      </c>
      <c r="BZ79" s="14">
        <f>BY79*VLOOKUP('Données projet'!$B$12,Paramètres!$A$1:$I$89,3,0)*VLOOKUP('Données projet'!$B$12,Paramètres!$A$1:$I$89,5,0)</f>
        <v>201.42199999999994</v>
      </c>
      <c r="CA79" s="14">
        <f t="shared" si="93"/>
        <v>50.056551308279687</v>
      </c>
      <c r="CB79" s="22">
        <f t="shared" si="64"/>
        <v>437.99181019525372</v>
      </c>
      <c r="CC79" s="62">
        <f t="shared" si="65"/>
        <v>731.32514352858698</v>
      </c>
      <c r="CD79" s="62">
        <f ca="1">AVERAGE(OFFSET($CC$3,0,0,'Données projet'!$E$12+1,1))-AVERAGE(OFFSET($H$3,0,0,'Données projet'!$E$12+1,1))</f>
        <v>367.11183928586667</v>
      </c>
      <c r="CE79" s="62">
        <f t="shared" si="94"/>
        <v>281.52963027844595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-3.4106051316484809E-13</v>
      </c>
      <c r="CU79" s="18">
        <f>CT79*VLOOKUP('Données projet'!$B$13,Paramètres!$A$1:$I$89,3,0)*VLOOKUP('Données projet'!$B$13,Paramètres!$A$1:$I$89,5,0)</f>
        <v>-2.0395418687257919E-13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308.47522272937135</v>
      </c>
      <c r="CZ79" s="62">
        <f t="shared" si="96"/>
        <v>302.54354650449721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1.0726480794970221</v>
      </c>
      <c r="DH79" s="23">
        <f>EXP(-LN(2)/2)*DH78+(1-EXP(-LN(2)/2))/(LN(2)/2)*DB79*DE79*VLOOKUP('Données projet'!$B$13,Paramètres!$A$1:$I$89,3,0)*0.475*44/12</f>
        <v>2.0591760795230139E-6</v>
      </c>
      <c r="DI79" s="24">
        <f t="shared" si="69"/>
        <v>1.0726501386731015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3.5600000000000023</v>
      </c>
      <c r="DO79" s="13">
        <f>IF('Données projet'!$A$166&gt;35,DO78+DN79-DW78,IF(A79&lt;'Données projet'!$A$166,$DL$205^A79,IF(A79='Données projet'!$A$166,'Données projet'!$B$166,DO78+DN79-DW78)))</f>
        <v>327.05999999999995</v>
      </c>
      <c r="DP79" s="18">
        <f>DO79*VLOOKUP('Données projet'!$B$14,Paramètres!$A$1:$I$89,3,0)*VLOOKUP('Données projet'!$B$14,Paramètres!$A$1:$I$89,5,0)</f>
        <v>260.20893599999999</v>
      </c>
      <c r="DQ79" s="14">
        <f t="shared" si="97"/>
        <v>62.766912585729685</v>
      </c>
      <c r="DR79" s="22">
        <f t="shared" si="70"/>
        <v>562.51626962014586</v>
      </c>
      <c r="DS79" s="62">
        <f t="shared" si="71"/>
        <v>855.84960295347923</v>
      </c>
      <c r="DT79" s="62">
        <f ca="1">AVERAGE(OFFSET($DS$3,0,0,'Données projet'!$E$14+1,1))-AVERAGE(OFFSET($H$3,0,0,'Données projet'!$E$14+1,1))</f>
        <v>370.58277541710277</v>
      </c>
      <c r="DU79" s="62">
        <f t="shared" si="98"/>
        <v>404.61777090709171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>
        <f>EJ79*VLOOKUP('Données projet'!$B$15,Paramètres!$A$1:$I$89,3,0)*VLOOKUP('Données projet'!$B$15,Paramètres!$A$1:$I$89,5,0)</f>
        <v>0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240.22884864766218</v>
      </c>
      <c r="EP79" s="62">
        <f t="shared" si="100"/>
        <v>343.23776884143166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2.8757501985377769</v>
      </c>
      <c r="EX79" s="23">
        <f>EXP(-LN(2)/2)*EX78+(1-EXP(-LN(2)/2))/(LN(2)/2)*ER79*EU79*VLOOKUP('Données projet'!$B$15,Paramètres!$A$1:$I$89,3,0)*0.475*44/12</f>
        <v>1.9691967822321413E-6</v>
      </c>
      <c r="EY79" s="24">
        <f t="shared" si="75"/>
        <v>2.875752167734559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21.2</v>
      </c>
      <c r="FE79" s="13">
        <f>IF('Données projet'!$A$218&gt;35,FE78+FD79-FM78,IF(A79&lt;'Données projet'!$A$218,$FB$205^A79,IF(A79='Données projet'!$A$218,'Données projet'!$B$218,FE78+FD79-FM78)))</f>
        <v>649.20000000000016</v>
      </c>
      <c r="FF79" s="18">
        <f>FE79*VLOOKUP('Données projet'!$B$16,Paramètres!$A$1:$I$89,3,0)*VLOOKUP('Données projet'!$B$16,Paramètres!$A$1:$I$89,5,0)</f>
        <v>303.82560000000007</v>
      </c>
      <c r="FG79" s="14">
        <f t="shared" si="101"/>
        <v>71.977863772206462</v>
      </c>
      <c r="FH79" s="22">
        <f t="shared" si="76"/>
        <v>654.52436606992637</v>
      </c>
      <c r="FI79" s="62">
        <f t="shared" si="77"/>
        <v>947.85769940325963</v>
      </c>
      <c r="FJ79" s="62">
        <f ca="1">AVERAGE(OFFSET($FI$3,0,0,'Données projet'!$E$16+1,1))-AVERAGE(OFFSET($H$3,0,0,'Données projet'!$E$16+1,1))</f>
        <v>399.92909819003523</v>
      </c>
      <c r="FK79" s="62">
        <f t="shared" si="102"/>
        <v>163.7053537268381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3.5600000000000023</v>
      </c>
      <c r="FZ79" s="13">
        <f>IF('Données projet'!$A$244&gt;35,FZ78+FY79-GH78,IF(A79&lt;'Données projet'!$A$244,$FW$205^A79,IF(A79='Données projet'!$A$244,'Données projet'!$B$244,FZ78+FY79-GH78)))</f>
        <v>327.05999999999995</v>
      </c>
      <c r="GA79" s="18">
        <f>FZ79*VLOOKUP('Données projet'!$B$17,Paramètres!$A$1:$I$89,3,0)*VLOOKUP('Données projet'!$B$17,Paramètres!$A$1:$I$89,5,0)</f>
        <v>239.80039199999996</v>
      </c>
      <c r="GB79" s="14">
        <f t="shared" si="103"/>
        <v>58.396581769172833</v>
      </c>
      <c r="GC79" s="22">
        <f t="shared" si="79"/>
        <v>519.35972931464255</v>
      </c>
      <c r="GD79" s="62">
        <f t="shared" si="80"/>
        <v>812.69306264797592</v>
      </c>
      <c r="GE79" s="62">
        <f ca="1">AVERAGE(OFFSET($GD$3,0,0,'Données projet'!$E$17+1,1))-AVERAGE(OFFSET($H$3,0,0,'Données projet'!$E$17+1,1))</f>
        <v>344.4426665022238</v>
      </c>
      <c r="GF79" s="62">
        <f t="shared" si="104"/>
        <v>376.41441893222185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22</v>
      </c>
      <c r="GU79" s="13">
        <f>IF('Données projet'!$A$270&gt;35,GU78+GT79-HC78,IF(A79&lt;'Données projet'!$A$270,$GR$205^A79,IF(A79='Données projet'!$A$270,'Données projet'!$B$270,GU78+GT79-HC78)))</f>
        <v>632.00000000000023</v>
      </c>
      <c r="GV79" s="18">
        <f>GU79*VLOOKUP('Données projet'!$B$18,Paramètres!$A$1:$I$89,3,0)*VLOOKUP('Données projet'!$B$18,Paramètres!$A$1:$I$89,5,0)</f>
        <v>303.99200000000013</v>
      </c>
      <c r="GW79" s="14">
        <f t="shared" si="105"/>
        <v>72.012695079714035</v>
      </c>
      <c r="GX79" s="22">
        <f t="shared" si="82"/>
        <v>654.87484393050215</v>
      </c>
      <c r="GY79" s="62">
        <f t="shared" si="83"/>
        <v>948.20817726383552</v>
      </c>
      <c r="GZ79" s="62">
        <f ca="1">AVERAGE(OFFSET($GY$3,0,0,'Données projet'!$E$18+1,1))-AVERAGE(OFFSET($H$3,0,0,'Données projet'!$E$18+1,1))</f>
        <v>441.17479680509746</v>
      </c>
      <c r="HA79" s="62">
        <f t="shared" si="106"/>
        <v>198.56576128410069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-3.4106051316484809E-13</v>
      </c>
      <c r="O80" s="14">
        <f>N80*VLOOKUP('Données projet'!$B$9,Paramètres!$A$1:$I$89,3,0)*VLOOKUP('Données projet'!$B$9,Paramètres!$A$1:$I$89,5,0)</f>
        <v>-1.9065282685915009E-13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374.79806286316051</v>
      </c>
      <c r="T80" s="62">
        <f t="shared" si="88"/>
        <v>350.01856672839466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2.0048040587091509</v>
      </c>
      <c r="AB80" s="23">
        <f>EXP(-LN(2)/2)*AB79+(1-EXP(-LN(2)/2))/(LN(2)/2)*V80*Y80*VLOOKUP('Données projet'!$B$9,Paramètres!$A$1:$I$89,3,0)*0.475*44/12</f>
        <v>7.5716340528519224E-7</v>
      </c>
      <c r="AC80" s="24">
        <f t="shared" si="57"/>
        <v>2.0048048158725562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4.4000000000000004</v>
      </c>
      <c r="AI80" s="14">
        <f>IF('Données projet'!$A$62&gt;35,AI79+AH80-AQ79,IF(A80&lt;'Données projet'!$A$62,$AF$205^A80,IF(A80='Données projet'!$A$62,'Données projet'!$B$62,AI79+AH80-AQ79)))</f>
        <v>269.8</v>
      </c>
      <c r="AJ80" s="14">
        <f>AI80*VLOOKUP('Données projet'!$B$10,Paramètres!$A$1:$I$89,3,0)*VLOOKUP('Données projet'!$B$10,Paramètres!$A$1:$I$89,5,0)</f>
        <v>235.69728000000003</v>
      </c>
      <c r="AK80" s="14">
        <f t="shared" si="89"/>
        <v>57.512806870145837</v>
      </c>
      <c r="AL80" s="22">
        <f t="shared" si="58"/>
        <v>510.67423463217074</v>
      </c>
      <c r="AM80" s="62">
        <f t="shared" si="59"/>
        <v>804.00756796550399</v>
      </c>
      <c r="AN80" s="62">
        <f ca="1">AVERAGE(OFFSET($AM$3,0,0,'Données projet'!$E$10+1,1))-AVERAGE(OFFSET($H$3,0,0,'Données projet'!$E$10+1,1))</f>
        <v>401.89597032936751</v>
      </c>
      <c r="AO80" s="62">
        <f t="shared" si="90"/>
        <v>417.85733543972361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5.9</v>
      </c>
      <c r="BD80" s="13">
        <f>IF('Données projet'!$A$88&gt;35,BD79+BC80-BL79,IF(A80&lt;'Données projet'!$A$88,$BA$205^A80,IF(A80='Données projet'!$A$88,'Données projet'!$B$88,BD79+BC80-BL79)))</f>
        <v>242.79999999999987</v>
      </c>
      <c r="BE80" s="14">
        <f>BD80*VLOOKUP('Données projet'!$B$11,Paramètres!$A$1:$I$89,3,0)*VLOOKUP('Données projet'!$B$11,Paramètres!$A$1:$I$89,5,0)</f>
        <v>219.68543999999989</v>
      </c>
      <c r="BF80" s="14">
        <f t="shared" si="91"/>
        <v>54.046511966469559</v>
      </c>
      <c r="BG80" s="22">
        <f t="shared" si="61"/>
        <v>476.74981634160099</v>
      </c>
      <c r="BH80" s="62">
        <f t="shared" si="62"/>
        <v>770.08314967493425</v>
      </c>
      <c r="BI80" s="62">
        <f ca="1">AVERAGE(OFFSET($BH$3,0,0,'Données projet'!$E$11+1,1))-AVERAGE(OFFSET($H$3,0,0,'Données projet'!$E$11+1,1))</f>
        <v>430.40491895612814</v>
      </c>
      <c r="BJ80" s="62">
        <f t="shared" si="92"/>
        <v>231.36959598460686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3.974358974358978</v>
      </c>
      <c r="BY80" s="13">
        <f>IF('Données projet'!$A$114&gt;35,BY79+BX80-CG79,IF(A80&lt;'Données projet'!$A$114,$BV$205^A80,IF(A80='Données projet'!$A$114,'Données projet'!$B$114,BY79+BX80-CG79)))</f>
        <v>215.64102564102558</v>
      </c>
      <c r="BZ80" s="14">
        <f>BY80*VLOOKUP('Données projet'!$B$12,Paramètres!$A$1:$I$89,3,0)*VLOOKUP('Données projet'!$B$12,Paramètres!$A$1:$I$89,5,0)</f>
        <v>205.20399999999995</v>
      </c>
      <c r="CA80" s="14">
        <f t="shared" si="93"/>
        <v>50.886134008708602</v>
      </c>
      <c r="CB80" s="22">
        <f t="shared" si="64"/>
        <v>446.02365006516737</v>
      </c>
      <c r="CC80" s="62">
        <f t="shared" si="65"/>
        <v>739.35698339850069</v>
      </c>
      <c r="CD80" s="62">
        <f ca="1">AVERAGE(OFFSET($CC$3,0,0,'Données projet'!$E$12+1,1))-AVERAGE(OFFSET($H$3,0,0,'Données projet'!$E$12+1,1))</f>
        <v>367.11183928586667</v>
      </c>
      <c r="CE80" s="62">
        <f t="shared" si="94"/>
        <v>281.52963027844595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-3.4106051316484809E-13</v>
      </c>
      <c r="CU80" s="18">
        <f>CT80*VLOOKUP('Données projet'!$B$13,Paramètres!$A$1:$I$89,3,0)*VLOOKUP('Données projet'!$B$13,Paramètres!$A$1:$I$89,5,0)</f>
        <v>-2.0395418687257919E-13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308.47522272937135</v>
      </c>
      <c r="CZ80" s="62">
        <f t="shared" si="96"/>
        <v>302.54354650449721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1.0433164613550652</v>
      </c>
      <c r="DH80" s="23">
        <f>EXP(-LN(2)/2)*DH79+(1-EXP(-LN(2)/2))/(LN(2)/2)*DB80*DE80*VLOOKUP('Données projet'!$B$13,Paramètres!$A$1:$I$89,3,0)*0.475*44/12</f>
        <v>1.4560573694878526E-6</v>
      </c>
      <c r="DI80" s="24">
        <f t="shared" si="69"/>
        <v>1.0433179174124347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3.5600000000000023</v>
      </c>
      <c r="DO80" s="13">
        <f>IF('Données projet'!$A$166&gt;35,DO79+DN80-DW79,IF(A80&lt;'Données projet'!$A$166,$DL$205^A80,IF(A80='Données projet'!$A$166,'Données projet'!$B$166,DO79+DN80-DW79)))</f>
        <v>330.61999999999995</v>
      </c>
      <c r="DP80" s="18">
        <f>DO80*VLOOKUP('Données projet'!$B$14,Paramètres!$A$1:$I$89,3,0)*VLOOKUP('Données projet'!$B$14,Paramètres!$A$1:$I$89,5,0)</f>
        <v>263.04127199999994</v>
      </c>
      <c r="DQ80" s="14">
        <f t="shared" si="97"/>
        <v>63.370214823641057</v>
      </c>
      <c r="DR80" s="22">
        <f t="shared" si="70"/>
        <v>568.50000621784136</v>
      </c>
      <c r="DS80" s="62">
        <f t="shared" si="71"/>
        <v>861.83333955117473</v>
      </c>
      <c r="DT80" s="62">
        <f ca="1">AVERAGE(OFFSET($DS$3,0,0,'Données projet'!$E$14+1,1))-AVERAGE(OFFSET($H$3,0,0,'Données projet'!$E$14+1,1))</f>
        <v>370.58277541710277</v>
      </c>
      <c r="DU80" s="62">
        <f t="shared" si="98"/>
        <v>404.61777090709171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>
        <f>EJ80*VLOOKUP('Données projet'!$B$15,Paramètres!$A$1:$I$89,3,0)*VLOOKUP('Données projet'!$B$15,Paramètres!$A$1:$I$89,5,0)</f>
        <v>0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240.22884864766218</v>
      </c>
      <c r="EP80" s="62">
        <f t="shared" si="100"/>
        <v>343.23776884143166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2.7971126581296311</v>
      </c>
      <c r="EX80" s="23">
        <f>EXP(-LN(2)/2)*EX79+(1-EXP(-LN(2)/2))/(LN(2)/2)*ER80*EU80*VLOOKUP('Données projet'!$B$15,Paramètres!$A$1:$I$89,3,0)*0.475*44/12</f>
        <v>1.3924323982070763E-6</v>
      </c>
      <c r="EY80" s="24">
        <f t="shared" si="75"/>
        <v>2.7971140505620293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21.2</v>
      </c>
      <c r="FE80" s="13">
        <f>IF('Données projet'!$A$218&gt;35,FE79+FD80-FM79,IF(A80&lt;'Données projet'!$A$218,$FB$205^A80,IF(A80='Données projet'!$A$218,'Données projet'!$B$218,FE79+FD80-FM79)))</f>
        <v>670.4000000000002</v>
      </c>
      <c r="FF80" s="18">
        <f>FE80*VLOOKUP('Données projet'!$B$16,Paramètres!$A$1:$I$89,3,0)*VLOOKUP('Données projet'!$B$16,Paramètres!$A$1:$I$89,5,0)</f>
        <v>313.74720000000008</v>
      </c>
      <c r="FG80" s="14">
        <f t="shared" si="101"/>
        <v>74.050846595914663</v>
      </c>
      <c r="FH80" s="22">
        <f t="shared" si="76"/>
        <v>675.41493115455148</v>
      </c>
      <c r="FI80" s="62">
        <f t="shared" si="77"/>
        <v>968.74826448788485</v>
      </c>
      <c r="FJ80" s="62">
        <f ca="1">AVERAGE(OFFSET($FI$3,0,0,'Données projet'!$E$16+1,1))-AVERAGE(OFFSET($H$3,0,0,'Données projet'!$E$16+1,1))</f>
        <v>399.92909819003523</v>
      </c>
      <c r="FK80" s="62">
        <f t="shared" si="102"/>
        <v>163.7053537268381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3.5600000000000023</v>
      </c>
      <c r="FZ80" s="13">
        <f>IF('Données projet'!$A$244&gt;35,FZ79+FY80-GH79,IF(A80&lt;'Données projet'!$A$244,$FW$205^A80,IF(A80='Données projet'!$A$244,'Données projet'!$B$244,FZ79+FY80-GH79)))</f>
        <v>330.61999999999995</v>
      </c>
      <c r="GA80" s="18">
        <f>FZ80*VLOOKUP('Données projet'!$B$17,Paramètres!$A$1:$I$89,3,0)*VLOOKUP('Données projet'!$B$17,Paramètres!$A$1:$I$89,5,0)</f>
        <v>242.41058399999997</v>
      </c>
      <c r="GB80" s="14">
        <f t="shared" si="103"/>
        <v>58.957877315127767</v>
      </c>
      <c r="GC80" s="22">
        <f t="shared" si="79"/>
        <v>524.88340345718075</v>
      </c>
      <c r="GD80" s="62">
        <f t="shared" si="80"/>
        <v>818.21673679051401</v>
      </c>
      <c r="GE80" s="62">
        <f ca="1">AVERAGE(OFFSET($GD$3,0,0,'Données projet'!$E$17+1,1))-AVERAGE(OFFSET($H$3,0,0,'Données projet'!$E$17+1,1))</f>
        <v>344.4426665022238</v>
      </c>
      <c r="GF80" s="62">
        <f t="shared" si="104"/>
        <v>376.41441893222185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22</v>
      </c>
      <c r="GU80" s="13">
        <f>IF('Données projet'!$A$270&gt;35,GU79+GT80-HC79,IF(A80&lt;'Données projet'!$A$270,$GR$205^A80,IF(A80='Données projet'!$A$270,'Données projet'!$B$270,GU79+GT80-HC79)))</f>
        <v>654.00000000000023</v>
      </c>
      <c r="GV80" s="18">
        <f>GU80*VLOOKUP('Données projet'!$B$18,Paramètres!$A$1:$I$89,3,0)*VLOOKUP('Données projet'!$B$18,Paramètres!$A$1:$I$89,5,0)</f>
        <v>314.57400000000013</v>
      </c>
      <c r="GW80" s="14">
        <f t="shared" si="105"/>
        <v>74.223247602178859</v>
      </c>
      <c r="GX80" s="22">
        <f t="shared" si="82"/>
        <v>677.15520624046167</v>
      </c>
      <c r="GY80" s="62">
        <f t="shared" si="83"/>
        <v>970.48853957379492</v>
      </c>
      <c r="GZ80" s="62">
        <f ca="1">AVERAGE(OFFSET($GY$3,0,0,'Données projet'!$E$18+1,1))-AVERAGE(OFFSET($H$3,0,0,'Données projet'!$E$18+1,1))</f>
        <v>441.17479680509746</v>
      </c>
      <c r="HA80" s="62">
        <f t="shared" si="106"/>
        <v>198.56576128410069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-3.4106051316484809E-13</v>
      </c>
      <c r="O81" s="14">
        <f>N81*VLOOKUP('Données projet'!$B$9,Paramètres!$A$1:$I$89,3,0)*VLOOKUP('Données projet'!$B$9,Paramètres!$A$1:$I$89,5,0)</f>
        <v>-1.9065282685915009E-13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374.79806286316051</v>
      </c>
      <c r="T81" s="62">
        <f t="shared" si="88"/>
        <v>350.01856672839466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1.9499825862956857</v>
      </c>
      <c r="AB81" s="23">
        <f>EXP(-LN(2)/2)*AB80+(1-EXP(-LN(2)/2))/(LN(2)/2)*V81*Y81*VLOOKUP('Données projet'!$B$9,Paramètres!$A$1:$I$89,3,0)*0.475*44/12</f>
        <v>5.3539537834345762E-7</v>
      </c>
      <c r="AC81" s="24">
        <f t="shared" si="57"/>
        <v>1.9499831216910639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4.4000000000000004</v>
      </c>
      <c r="AI81" s="14">
        <f>IF('Données projet'!$A$62&gt;35,AI80+AH81-AQ80,IF(A81&lt;'Données projet'!$A$62,$AF$205^A81,IF(A81='Données projet'!$A$62,'Données projet'!$B$62,AI80+AH81-AQ80)))</f>
        <v>274.2</v>
      </c>
      <c r="AJ81" s="14">
        <f>AI81*VLOOKUP('Données projet'!$B$10,Paramètres!$A$1:$I$89,3,0)*VLOOKUP('Données projet'!$B$10,Paramètres!$A$1:$I$89,5,0)</f>
        <v>239.54112000000003</v>
      </c>
      <c r="AK81" s="14">
        <f t="shared" si="89"/>
        <v>58.340789220458902</v>
      </c>
      <c r="AL81" s="22">
        <f t="shared" si="58"/>
        <v>518.81099189229928</v>
      </c>
      <c r="AM81" s="62">
        <f t="shared" si="59"/>
        <v>812.14432522563266</v>
      </c>
      <c r="AN81" s="62">
        <f ca="1">AVERAGE(OFFSET($AM$3,0,0,'Données projet'!$E$10+1,1))-AVERAGE(OFFSET($H$3,0,0,'Données projet'!$E$10+1,1))</f>
        <v>401.89597032936751</v>
      </c>
      <c r="AO81" s="62">
        <f t="shared" si="90"/>
        <v>417.85733543972361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5.9</v>
      </c>
      <c r="BD81" s="13">
        <f>IF('Données projet'!$A$88&gt;35,BD80+BC81-BL80,IF(A81&lt;'Données projet'!$A$88,$BA$205^A81,IF(A81='Données projet'!$A$88,'Données projet'!$B$88,BD80+BC81-BL80)))</f>
        <v>248.69999999999987</v>
      </c>
      <c r="BE81" s="14">
        <f>BD81*VLOOKUP('Données projet'!$B$11,Paramètres!$A$1:$I$89,3,0)*VLOOKUP('Données projet'!$B$11,Paramètres!$A$1:$I$89,5,0)</f>
        <v>225.0237599999999</v>
      </c>
      <c r="BF81" s="14">
        <f t="shared" si="91"/>
        <v>55.205336184590408</v>
      </c>
      <c r="BG81" s="22">
        <f t="shared" si="61"/>
        <v>488.06567585482804</v>
      </c>
      <c r="BH81" s="62">
        <f t="shared" si="62"/>
        <v>781.39900918816136</v>
      </c>
      <c r="BI81" s="62">
        <f ca="1">AVERAGE(OFFSET($BH$3,0,0,'Données projet'!$E$11+1,1))-AVERAGE(OFFSET($H$3,0,0,'Données projet'!$E$11+1,1))</f>
        <v>430.40491895612814</v>
      </c>
      <c r="BJ81" s="62">
        <f t="shared" si="92"/>
        <v>231.36959598460686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3.974358974358978</v>
      </c>
      <c r="BY81" s="13">
        <f>IF('Données projet'!$A$114&gt;35,BY80+BX81-CG80,IF(A81&lt;'Données projet'!$A$114,$BV$205^A81,IF(A81='Données projet'!$A$114,'Données projet'!$B$114,BY80+BX81-CG80)))</f>
        <v>219.61538461538456</v>
      </c>
      <c r="BZ81" s="14">
        <f>BY81*VLOOKUP('Données projet'!$B$12,Paramètres!$A$1:$I$89,3,0)*VLOOKUP('Données projet'!$B$12,Paramètres!$A$1:$I$89,5,0)</f>
        <v>208.98599999999996</v>
      </c>
      <c r="CA81" s="14">
        <f t="shared" si="93"/>
        <v>51.713938803941488</v>
      </c>
      <c r="CB81" s="22">
        <f t="shared" si="64"/>
        <v>454.05239341686462</v>
      </c>
      <c r="CC81" s="62">
        <f t="shared" si="65"/>
        <v>747.38572675019793</v>
      </c>
      <c r="CD81" s="62">
        <f ca="1">AVERAGE(OFFSET($CC$3,0,0,'Données projet'!$E$12+1,1))-AVERAGE(OFFSET($H$3,0,0,'Données projet'!$E$12+1,1))</f>
        <v>367.11183928586667</v>
      </c>
      <c r="CE81" s="62">
        <f t="shared" si="94"/>
        <v>281.52963027844595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-3.4106051316484809E-13</v>
      </c>
      <c r="CU81" s="18">
        <f>CT81*VLOOKUP('Données projet'!$B$13,Paramètres!$A$1:$I$89,3,0)*VLOOKUP('Données projet'!$B$13,Paramètres!$A$1:$I$89,5,0)</f>
        <v>-2.0395418687257919E-13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308.47522272937135</v>
      </c>
      <c r="CZ81" s="62">
        <f t="shared" si="96"/>
        <v>302.54354650449721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1.0147869178536828</v>
      </c>
      <c r="DH81" s="23">
        <f>EXP(-LN(2)/2)*DH80+(1-EXP(-LN(2)/2))/(LN(2)/2)*DB81*DE81*VLOOKUP('Données projet'!$B$13,Paramètres!$A$1:$I$89,3,0)*0.475*44/12</f>
        <v>1.0295880397615069E-6</v>
      </c>
      <c r="DI81" s="24">
        <f t="shared" si="69"/>
        <v>1.0147879474417225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3.5600000000000023</v>
      </c>
      <c r="DO81" s="13">
        <f>IF('Données projet'!$A$166&gt;35,DO80+DN81-DW80,IF(A81&lt;'Données projet'!$A$166,$DL$205^A81,IF(A81='Données projet'!$A$166,'Données projet'!$B$166,DO80+DN81-DW80)))</f>
        <v>334.17999999999995</v>
      </c>
      <c r="DP81" s="18">
        <f>DO81*VLOOKUP('Données projet'!$B$14,Paramètres!$A$1:$I$89,3,0)*VLOOKUP('Données projet'!$B$14,Paramètres!$A$1:$I$89,5,0)</f>
        <v>265.87360799999999</v>
      </c>
      <c r="DQ81" s="14">
        <f t="shared" si="97"/>
        <v>63.972761368317435</v>
      </c>
      <c r="DR81" s="22">
        <f t="shared" si="70"/>
        <v>574.48242664981956</v>
      </c>
      <c r="DS81" s="62">
        <f t="shared" si="71"/>
        <v>867.81575998315293</v>
      </c>
      <c r="DT81" s="62">
        <f ca="1">AVERAGE(OFFSET($DS$3,0,0,'Données projet'!$E$14+1,1))-AVERAGE(OFFSET($H$3,0,0,'Données projet'!$E$14+1,1))</f>
        <v>370.58277541710277</v>
      </c>
      <c r="DU81" s="62">
        <f t="shared" si="98"/>
        <v>404.61777090709171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>
        <f>EJ81*VLOOKUP('Données projet'!$B$15,Paramètres!$A$1:$I$89,3,0)*VLOOKUP('Données projet'!$B$15,Paramètres!$A$1:$I$89,5,0)</f>
        <v>0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240.22884864766218</v>
      </c>
      <c r="EP81" s="62">
        <f t="shared" si="100"/>
        <v>343.23776884143166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2.7206254653993147</v>
      </c>
      <c r="EX81" s="23">
        <f>EXP(-LN(2)/2)*EX80+(1-EXP(-LN(2)/2))/(LN(2)/2)*ER81*EU81*VLOOKUP('Données projet'!$B$15,Paramètres!$A$1:$I$89,3,0)*0.475*44/12</f>
        <v>9.8459839111607067E-7</v>
      </c>
      <c r="EY81" s="24">
        <f t="shared" si="75"/>
        <v>2.720626449997706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21.2</v>
      </c>
      <c r="FE81" s="13">
        <f>IF('Données projet'!$A$218&gt;35,FE80+FD81-FM80,IF(A81&lt;'Données projet'!$A$218,$FB$205^A81,IF(A81='Données projet'!$A$218,'Données projet'!$B$218,FE80+FD81-FM80)))</f>
        <v>691.60000000000025</v>
      </c>
      <c r="FF81" s="18">
        <f>FE81*VLOOKUP('Données projet'!$B$16,Paramètres!$A$1:$I$89,3,0)*VLOOKUP('Données projet'!$B$16,Paramètres!$A$1:$I$89,5,0)</f>
        <v>323.66880000000015</v>
      </c>
      <c r="FG81" s="14">
        <f t="shared" si="101"/>
        <v>76.11621164769852</v>
      </c>
      <c r="FH81" s="22">
        <f t="shared" si="76"/>
        <v>696.29222861974176</v>
      </c>
      <c r="FI81" s="62">
        <f t="shared" si="77"/>
        <v>989.62556195307502</v>
      </c>
      <c r="FJ81" s="62">
        <f ca="1">AVERAGE(OFFSET($FI$3,0,0,'Données projet'!$E$16+1,1))-AVERAGE(OFFSET($H$3,0,0,'Données projet'!$E$16+1,1))</f>
        <v>399.92909819003523</v>
      </c>
      <c r="FK81" s="62">
        <f t="shared" si="102"/>
        <v>163.7053537268381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3.5600000000000023</v>
      </c>
      <c r="FZ81" s="13">
        <f>IF('Données projet'!$A$244&gt;35,FZ80+FY81-GH80,IF(A81&lt;'Données projet'!$A$244,$FW$205^A81,IF(A81='Données projet'!$A$244,'Données projet'!$B$244,FZ80+FY81-GH80)))</f>
        <v>334.17999999999995</v>
      </c>
      <c r="GA81" s="18">
        <f>FZ81*VLOOKUP('Données projet'!$B$17,Paramètres!$A$1:$I$89,3,0)*VLOOKUP('Données projet'!$B$17,Paramètres!$A$1:$I$89,5,0)</f>
        <v>245.02077599999993</v>
      </c>
      <c r="GB81" s="14">
        <f t="shared" si="103"/>
        <v>59.518469785210911</v>
      </c>
      <c r="GC81" s="22">
        <f t="shared" si="79"/>
        <v>530.40585307590879</v>
      </c>
      <c r="GD81" s="62">
        <f t="shared" si="80"/>
        <v>823.73918640924217</v>
      </c>
      <c r="GE81" s="62">
        <f ca="1">AVERAGE(OFFSET($GD$3,0,0,'Données projet'!$E$17+1,1))-AVERAGE(OFFSET($H$3,0,0,'Données projet'!$E$17+1,1))</f>
        <v>344.4426665022238</v>
      </c>
      <c r="GF81" s="62">
        <f t="shared" si="104"/>
        <v>376.41441893222185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22</v>
      </c>
      <c r="GU81" s="13">
        <f>IF('Données projet'!$A$270&gt;35,GU80+GT81-HC80,IF(A81&lt;'Données projet'!$A$270,$GR$205^A81,IF(A81='Données projet'!$A$270,'Données projet'!$B$270,GU80+GT81-HC80)))</f>
        <v>676.00000000000023</v>
      </c>
      <c r="GV81" s="18">
        <f>GU81*VLOOKUP('Données projet'!$B$18,Paramètres!$A$1:$I$89,3,0)*VLOOKUP('Données projet'!$B$18,Paramètres!$A$1:$I$89,5,0)</f>
        <v>325.15600000000012</v>
      </c>
      <c r="GW81" s="14">
        <f t="shared" si="105"/>
        <v>76.425159695668725</v>
      </c>
      <c r="GX81" s="22">
        <f t="shared" si="82"/>
        <v>699.42051980328995</v>
      </c>
      <c r="GY81" s="62">
        <f t="shared" si="83"/>
        <v>992.75385313662332</v>
      </c>
      <c r="GZ81" s="62">
        <f ca="1">AVERAGE(OFFSET($GY$3,0,0,'Données projet'!$E$18+1,1))-AVERAGE(OFFSET($H$3,0,0,'Données projet'!$E$18+1,1))</f>
        <v>441.17479680509746</v>
      </c>
      <c r="HA81" s="62">
        <f t="shared" si="106"/>
        <v>198.56576128410069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-3.4106051316484809E-13</v>
      </c>
      <c r="O82" s="14">
        <f>N82*VLOOKUP('Données projet'!$B$9,Paramètres!$A$1:$I$89,3,0)*VLOOKUP('Données projet'!$B$9,Paramètres!$A$1:$I$89,5,0)</f>
        <v>-1.9065282685915009E-13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374.79806286316051</v>
      </c>
      <c r="T82" s="62">
        <f t="shared" si="88"/>
        <v>350.01856672839466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1.8966602099283028</v>
      </c>
      <c r="AB82" s="23">
        <f>EXP(-LN(2)/2)*AB81+(1-EXP(-LN(2)/2))/(LN(2)/2)*V82*Y82*VLOOKUP('Données projet'!$B$9,Paramètres!$A$1:$I$89,3,0)*0.475*44/12</f>
        <v>3.7858170264259612E-7</v>
      </c>
      <c r="AC82" s="24">
        <f t="shared" si="57"/>
        <v>1.8966605885100054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4.4000000000000004</v>
      </c>
      <c r="AI82" s="14">
        <f>IF('Données projet'!$A$62&gt;35,AI81+AH82-AQ81,IF(A82&lt;'Données projet'!$A$62,$AF$205^A82,IF(A82='Données projet'!$A$62,'Données projet'!$B$62,AI81+AH82-AQ81)))</f>
        <v>278.59999999999997</v>
      </c>
      <c r="AJ82" s="14">
        <f>AI82*VLOOKUP('Données projet'!$B$10,Paramètres!$A$1:$I$89,3,0)*VLOOKUP('Données projet'!$B$10,Paramètres!$A$1:$I$89,5,0)</f>
        <v>243.38496000000001</v>
      </c>
      <c r="AK82" s="14">
        <f t="shared" si="89"/>
        <v>59.167226410761145</v>
      </c>
      <c r="AL82" s="22">
        <f t="shared" si="58"/>
        <v>526.9450579987423</v>
      </c>
      <c r="AM82" s="62">
        <f t="shared" si="59"/>
        <v>820.27839133207567</v>
      </c>
      <c r="AN82" s="62">
        <f ca="1">AVERAGE(OFFSET($AM$3,0,0,'Données projet'!$E$10+1,1))-AVERAGE(OFFSET($H$3,0,0,'Données projet'!$E$10+1,1))</f>
        <v>401.89597032936751</v>
      </c>
      <c r="AO82" s="62">
        <f t="shared" si="90"/>
        <v>417.85733543972361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5.9</v>
      </c>
      <c r="BD82" s="13">
        <f>IF('Données projet'!$A$88&gt;35,BD81+BC82-BL81,IF(A82&lt;'Données projet'!$A$88,$BA$205^A82,IF(A82='Données projet'!$A$88,'Données projet'!$B$88,BD81+BC82-BL81)))</f>
        <v>254.59999999999988</v>
      </c>
      <c r="BE82" s="14">
        <f>BD82*VLOOKUP('Données projet'!$B$11,Paramètres!$A$1:$I$89,3,0)*VLOOKUP('Données projet'!$B$11,Paramètres!$A$1:$I$89,5,0)</f>
        <v>230.36207999999988</v>
      </c>
      <c r="BF82" s="14">
        <f t="shared" si="91"/>
        <v>56.360964523671768</v>
      </c>
      <c r="BG82" s="22">
        <f t="shared" si="61"/>
        <v>499.37596921206153</v>
      </c>
      <c r="BH82" s="62">
        <f t="shared" si="62"/>
        <v>792.70930254539485</v>
      </c>
      <c r="BI82" s="62">
        <f ca="1">AVERAGE(OFFSET($BH$3,0,0,'Données projet'!$E$11+1,1))-AVERAGE(OFFSET($H$3,0,0,'Données projet'!$E$11+1,1))</f>
        <v>430.40491895612814</v>
      </c>
      <c r="BJ82" s="62">
        <f t="shared" si="92"/>
        <v>231.36959598460686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3.974358974358978</v>
      </c>
      <c r="BY82" s="13">
        <f>IF('Données projet'!$A$114&gt;35,BY81+BX82-CG81,IF(A82&lt;'Données projet'!$A$114,$BV$205^A82,IF(A82='Données projet'!$A$114,'Données projet'!$B$114,BY81+BX82-CG81)))</f>
        <v>223.58974358974353</v>
      </c>
      <c r="BZ82" s="14">
        <f>BY82*VLOOKUP('Données projet'!$B$12,Paramètres!$A$1:$I$89,3,0)*VLOOKUP('Données projet'!$B$12,Paramètres!$A$1:$I$89,5,0)</f>
        <v>212.76799999999994</v>
      </c>
      <c r="CA82" s="14">
        <f t="shared" si="93"/>
        <v>52.540001579827234</v>
      </c>
      <c r="CB82" s="22">
        <f t="shared" si="64"/>
        <v>462.0781027515323</v>
      </c>
      <c r="CC82" s="62">
        <f t="shared" si="65"/>
        <v>755.41143608486561</v>
      </c>
      <c r="CD82" s="62">
        <f ca="1">AVERAGE(OFFSET($CC$3,0,0,'Données projet'!$E$12+1,1))-AVERAGE(OFFSET($H$3,0,0,'Données projet'!$E$12+1,1))</f>
        <v>367.11183928586667</v>
      </c>
      <c r="CE82" s="62">
        <f t="shared" si="94"/>
        <v>281.52963027844595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-3.4106051316484809E-13</v>
      </c>
      <c r="CU82" s="18">
        <f>CT82*VLOOKUP('Données projet'!$B$13,Paramètres!$A$1:$I$89,3,0)*VLOOKUP('Données projet'!$B$13,Paramètres!$A$1:$I$89,5,0)</f>
        <v>-2.0395418687257919E-13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308.47522272937135</v>
      </c>
      <c r="CZ82" s="62">
        <f t="shared" si="96"/>
        <v>302.54354650449721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0.98703751621964919</v>
      </c>
      <c r="DH82" s="23">
        <f>EXP(-LN(2)/2)*DH81+(1-EXP(-LN(2)/2))/(LN(2)/2)*DB82*DE82*VLOOKUP('Données projet'!$B$13,Paramètres!$A$1:$I$89,3,0)*0.475*44/12</f>
        <v>7.2802868474392631E-7</v>
      </c>
      <c r="DI82" s="24">
        <f t="shared" si="69"/>
        <v>0.98703824424833397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3.5600000000000023</v>
      </c>
      <c r="DO82" s="13">
        <f>IF('Données projet'!$A$166&gt;35,DO81+DN82-DW81,IF(A82&lt;'Données projet'!$A$166,$DL$205^A82,IF(A82='Données projet'!$A$166,'Données projet'!$B$166,DO81+DN82-DW81)))</f>
        <v>337.73999999999995</v>
      </c>
      <c r="DP82" s="18">
        <f>DO82*VLOOKUP('Données projet'!$B$14,Paramètres!$A$1:$I$89,3,0)*VLOOKUP('Données projet'!$B$14,Paramètres!$A$1:$I$89,5,0)</f>
        <v>268.70594399999999</v>
      </c>
      <c r="DQ82" s="14">
        <f t="shared" si="97"/>
        <v>64.574561201947517</v>
      </c>
      <c r="DR82" s="22">
        <f t="shared" si="70"/>
        <v>580.46354656005849</v>
      </c>
      <c r="DS82" s="62">
        <f t="shared" si="71"/>
        <v>873.79687989339186</v>
      </c>
      <c r="DT82" s="62">
        <f ca="1">AVERAGE(OFFSET($DS$3,0,0,'Données projet'!$E$14+1,1))-AVERAGE(OFFSET($H$3,0,0,'Données projet'!$E$14+1,1))</f>
        <v>370.58277541710277</v>
      </c>
      <c r="DU82" s="62">
        <f t="shared" si="98"/>
        <v>404.61777090709171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>
        <f>EJ82*VLOOKUP('Données projet'!$B$15,Paramètres!$A$1:$I$89,3,0)*VLOOKUP('Données projet'!$B$15,Paramètres!$A$1:$I$89,5,0)</f>
        <v>0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240.22884864766218</v>
      </c>
      <c r="EP82" s="62">
        <f t="shared" si="100"/>
        <v>343.23776884143166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2.6462298189764955</v>
      </c>
      <c r="EX82" s="23">
        <f>EXP(-LN(2)/2)*EX81+(1-EXP(-LN(2)/2))/(LN(2)/2)*ER82*EU82*VLOOKUP('Données projet'!$B$15,Paramètres!$A$1:$I$89,3,0)*0.475*44/12</f>
        <v>6.9621619910353813E-7</v>
      </c>
      <c r="EY82" s="24">
        <f t="shared" si="75"/>
        <v>2.6462305151926944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21.2</v>
      </c>
      <c r="FE82" s="13">
        <f>IF('Données projet'!$A$218&gt;35,FE81+FD82-FM81,IF(A82&lt;'Données projet'!$A$218,$FB$205^A82,IF(A82='Données projet'!$A$218,'Données projet'!$B$218,FE81+FD82-FM81)))</f>
        <v>712.8000000000003</v>
      </c>
      <c r="FF82" s="18">
        <f>FE82*VLOOKUP('Données projet'!$B$16,Paramètres!$A$1:$I$89,3,0)*VLOOKUP('Données projet'!$B$16,Paramètres!$A$1:$I$89,5,0)</f>
        <v>333.59040000000016</v>
      </c>
      <c r="FG82" s="14">
        <f t="shared" si="101"/>
        <v>78.174219238300594</v>
      </c>
      <c r="FH82" s="22">
        <f t="shared" si="76"/>
        <v>717.15671184004043</v>
      </c>
      <c r="FI82" s="62">
        <f t="shared" si="77"/>
        <v>1010.4900451733738</v>
      </c>
      <c r="FJ82" s="62">
        <f ca="1">AVERAGE(OFFSET($FI$3,0,0,'Données projet'!$E$16+1,1))-AVERAGE(OFFSET($H$3,0,0,'Données projet'!$E$16+1,1))</f>
        <v>399.92909819003523</v>
      </c>
      <c r="FK82" s="62">
        <f t="shared" si="102"/>
        <v>163.7053537268381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3.5600000000000023</v>
      </c>
      <c r="FZ82" s="13">
        <f>IF('Données projet'!$A$244&gt;35,FZ81+FY82-GH81,IF(A82&lt;'Données projet'!$A$244,$FW$205^A82,IF(A82='Données projet'!$A$244,'Données projet'!$B$244,FZ81+FY82-GH81)))</f>
        <v>337.73999999999995</v>
      </c>
      <c r="GA82" s="18">
        <f>FZ82*VLOOKUP('Données projet'!$B$17,Paramètres!$A$1:$I$89,3,0)*VLOOKUP('Données projet'!$B$17,Paramètres!$A$1:$I$89,5,0)</f>
        <v>247.63096799999994</v>
      </c>
      <c r="GB82" s="14">
        <f t="shared" si="103"/>
        <v>60.078367536199657</v>
      </c>
      <c r="GC82" s="22">
        <f t="shared" si="79"/>
        <v>535.9270927255476</v>
      </c>
      <c r="GD82" s="62">
        <f t="shared" si="80"/>
        <v>829.26042605888097</v>
      </c>
      <c r="GE82" s="62">
        <f ca="1">AVERAGE(OFFSET($GD$3,0,0,'Données projet'!$E$17+1,1))-AVERAGE(OFFSET($H$3,0,0,'Données projet'!$E$17+1,1))</f>
        <v>344.4426665022238</v>
      </c>
      <c r="GF82" s="62">
        <f t="shared" si="104"/>
        <v>376.41441893222185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22</v>
      </c>
      <c r="GU82" s="13">
        <f>IF('Données projet'!$A$270&gt;35,GU81+GT82-HC81,IF(A82&lt;'Données projet'!$A$270,$GR$205^A82,IF(A82='Données projet'!$A$270,'Données projet'!$B$270,GU81+GT82-HC81)))</f>
        <v>698.00000000000023</v>
      </c>
      <c r="GV82" s="18">
        <f>GU82*VLOOKUP('Données projet'!$B$18,Paramètres!$A$1:$I$89,3,0)*VLOOKUP('Données projet'!$B$18,Paramètres!$A$1:$I$89,5,0)</f>
        <v>335.73800000000017</v>
      </c>
      <c r="GW82" s="14">
        <f t="shared" si="105"/>
        <v>78.618744807437835</v>
      </c>
      <c r="GX82" s="22">
        <f t="shared" si="82"/>
        <v>721.67133053962118</v>
      </c>
      <c r="GY82" s="62">
        <f t="shared" si="83"/>
        <v>1015.0046638729546</v>
      </c>
      <c r="GZ82" s="62">
        <f ca="1">AVERAGE(OFFSET($GY$3,0,0,'Données projet'!$E$18+1,1))-AVERAGE(OFFSET($H$3,0,0,'Données projet'!$E$18+1,1))</f>
        <v>441.17479680509746</v>
      </c>
      <c r="HA82" s="62">
        <f t="shared" si="106"/>
        <v>198.56576128410069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-3.4106051316484809E-13</v>
      </c>
      <c r="O83" s="14">
        <f>N83*VLOOKUP('Données projet'!$B$9,Paramètres!$A$1:$I$89,3,0)*VLOOKUP('Données projet'!$B$9,Paramètres!$A$1:$I$89,5,0)</f>
        <v>-1.9065282685915009E-13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374.79806286316051</v>
      </c>
      <c r="T83" s="62">
        <f t="shared" si="88"/>
        <v>350.01856672839466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1.8447959367467877</v>
      </c>
      <c r="AB83" s="23">
        <f>EXP(-LN(2)/2)*AB82+(1-EXP(-LN(2)/2))/(LN(2)/2)*V83*Y83*VLOOKUP('Données projet'!$B$9,Paramètres!$A$1:$I$89,3,0)*0.475*44/12</f>
        <v>2.6769768917172881E-7</v>
      </c>
      <c r="AC83" s="24">
        <f t="shared" si="57"/>
        <v>1.8447962044444768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283</v>
      </c>
      <c r="AG83" s="13">
        <f>VLOOKUP(A83,'Données projet'!$A$61:$I$81,9,0)</f>
        <v>4.4000000000000004</v>
      </c>
      <c r="AH83" s="13">
        <f t="array" ref="AH83">INDEX(AG:AG,MIN(IF(ISNUMBER(AG83:AG279),ROW(AG83:AG279),"")))</f>
        <v>4.4000000000000004</v>
      </c>
      <c r="AI83" s="14">
        <f>IF('Données projet'!$A$62&gt;35,AI82+AH83-AQ82,IF(A83&lt;'Données projet'!$A$62,$AF$205^A83,IF(A83='Données projet'!$A$62,'Données projet'!$B$62,AI82+AH83-AQ82)))</f>
        <v>282.99999999999994</v>
      </c>
      <c r="AJ83" s="14">
        <f>AI83*VLOOKUP('Données projet'!$B$10,Paramètres!$A$1:$I$89,3,0)*VLOOKUP('Données projet'!$B$10,Paramètres!$A$1:$I$89,5,0)</f>
        <v>247.22879999999998</v>
      </c>
      <c r="AK83" s="14">
        <f t="shared" si="89"/>
        <v>59.992145661928099</v>
      </c>
      <c r="AL83" s="22">
        <f t="shared" si="58"/>
        <v>535.07648036119133</v>
      </c>
      <c r="AM83" s="62">
        <f t="shared" si="59"/>
        <v>828.4098136945247</v>
      </c>
      <c r="AN83" s="62">
        <f ca="1">AVERAGE(OFFSET($AM$3,0,0,'Données projet'!$E$10+1,1))-AVERAGE(OFFSET($H$3,0,0,'Données projet'!$E$10+1,1))</f>
        <v>401.89597032936751</v>
      </c>
      <c r="AO83" s="62">
        <f t="shared" si="90"/>
        <v>417.85733543972361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36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5.9</v>
      </c>
      <c r="BD83" s="13">
        <f>IF('Données projet'!$A$88&gt;35,BD82+BC83-BL82,IF(A83&lt;'Données projet'!$A$88,$BA$205^A83,IF(A83='Données projet'!$A$88,'Données projet'!$B$88,BD82+BC83-BL82)))</f>
        <v>260.49999999999989</v>
      </c>
      <c r="BE83" s="14">
        <f>BD83*VLOOKUP('Données projet'!$B$11,Paramètres!$A$1:$I$89,3,0)*VLOOKUP('Données projet'!$B$11,Paramètres!$A$1:$I$89,5,0)</f>
        <v>235.70039999999989</v>
      </c>
      <c r="BF83" s="14">
        <f t="shared" si="91"/>
        <v>57.513479567871634</v>
      </c>
      <c r="BG83" s="22">
        <f t="shared" si="61"/>
        <v>510.68084024737624</v>
      </c>
      <c r="BH83" s="62">
        <f t="shared" si="62"/>
        <v>804.01417358070955</v>
      </c>
      <c r="BI83" s="62">
        <f ca="1">AVERAGE(OFFSET($BH$3,0,0,'Données projet'!$E$11+1,1))-AVERAGE(OFFSET($H$3,0,0,'Données projet'!$E$11+1,1))</f>
        <v>430.40491895612814</v>
      </c>
      <c r="BJ83" s="62">
        <f t="shared" si="92"/>
        <v>231.36959598460686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227.56410256410257</v>
      </c>
      <c r="BW83" s="13">
        <f>VLOOKUP(A83,'Données projet'!$A$113:$I$133,9,0)</f>
        <v>3.974358974358978</v>
      </c>
      <c r="BX83" s="13">
        <f t="array" ref="BX83">INDEX(BW:BW,MIN(IF(ISNUMBER(BW83:BW279),ROW(BW83:BW279),"")))</f>
        <v>3.974358974358978</v>
      </c>
      <c r="BY83" s="13">
        <f>IF('Données projet'!$A$114&gt;35,BY82+BX83-CG82,IF(A83&lt;'Données projet'!$A$114,$BV$205^A83,IF(A83='Données projet'!$A$114,'Données projet'!$B$114,BY82+BX83-CG82)))</f>
        <v>227.56410256410251</v>
      </c>
      <c r="BZ83" s="14">
        <f>BY83*VLOOKUP('Données projet'!$B$12,Paramètres!$A$1:$I$89,3,0)*VLOOKUP('Données projet'!$B$12,Paramètres!$A$1:$I$89,5,0)</f>
        <v>216.54999999999998</v>
      </c>
      <c r="CA83" s="14">
        <f t="shared" si="93"/>
        <v>53.364356873390378</v>
      </c>
      <c r="CB83" s="22">
        <f t="shared" si="64"/>
        <v>470.1008382211549</v>
      </c>
      <c r="CC83" s="62">
        <f t="shared" si="65"/>
        <v>763.43417155448822</v>
      </c>
      <c r="CD83" s="62">
        <f ca="1">AVERAGE(OFFSET($CC$3,0,0,'Données projet'!$E$12+1,1))-AVERAGE(OFFSET($H$3,0,0,'Données projet'!$E$12+1,1))</f>
        <v>367.11183928586667</v>
      </c>
      <c r="CE83" s="62">
        <f t="shared" si="94"/>
        <v>281.52963027844595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27.564102564102562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-3.4106051316484809E-13</v>
      </c>
      <c r="CU83" s="18">
        <f>CT83*VLOOKUP('Données projet'!$B$13,Paramètres!$A$1:$I$89,3,0)*VLOOKUP('Données projet'!$B$13,Paramètres!$A$1:$I$89,5,0)</f>
        <v>-2.0395418687257919E-13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308.47522272937135</v>
      </c>
      <c r="CZ83" s="62">
        <f t="shared" si="96"/>
        <v>302.54354650449721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0.96004692343257581</v>
      </c>
      <c r="DH83" s="23">
        <f>EXP(-LN(2)/2)*DH82+(1-EXP(-LN(2)/2))/(LN(2)/2)*DB83*DE83*VLOOKUP('Données projet'!$B$13,Paramètres!$A$1:$I$89,3,0)*0.475*44/12</f>
        <v>5.1479401988075347E-7</v>
      </c>
      <c r="DI83" s="24">
        <f t="shared" si="69"/>
        <v>0.96004743822659566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341.3</v>
      </c>
      <c r="DM83" s="13">
        <f>VLOOKUP(A83,'Données projet'!$A$165:$I$185,9,0)</f>
        <v>3.5600000000000023</v>
      </c>
      <c r="DN83" s="13">
        <f t="array" ref="DN83">INDEX(DM:DM,MIN(IF(ISNUMBER(DM83:DM279),ROW(DM83:DM279),"")))</f>
        <v>3.5600000000000023</v>
      </c>
      <c r="DO83" s="13">
        <f>IF('Données projet'!$A$166&gt;35,DO82+DN83-DW82,IF(A83&lt;'Données projet'!$A$166,$DL$205^A83,IF(A83='Données projet'!$A$166,'Données projet'!$B$166,DO82+DN83-DW82)))</f>
        <v>341.29999999999995</v>
      </c>
      <c r="DP83" s="18">
        <f>DO83*VLOOKUP('Données projet'!$B$14,Paramètres!$A$1:$I$89,3,0)*VLOOKUP('Données projet'!$B$14,Paramètres!$A$1:$I$89,5,0)</f>
        <v>271.53827999999999</v>
      </c>
      <c r="DQ83" s="14">
        <f t="shared" si="97"/>
        <v>65.17562310645522</v>
      </c>
      <c r="DR83" s="22">
        <f t="shared" si="70"/>
        <v>586.44338124374281</v>
      </c>
      <c r="DS83" s="62">
        <f t="shared" si="71"/>
        <v>879.77671457707606</v>
      </c>
      <c r="DT83" s="62">
        <f ca="1">AVERAGE(OFFSET($DS$3,0,0,'Données projet'!$E$14+1,1))-AVERAGE(OFFSET($H$3,0,0,'Données projet'!$E$14+1,1))</f>
        <v>370.58277541710277</v>
      </c>
      <c r="DU83" s="62">
        <f t="shared" si="98"/>
        <v>404.61777090709171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341.3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>
        <f>EJ83*VLOOKUP('Données projet'!$B$15,Paramètres!$A$1:$I$89,3,0)*VLOOKUP('Données projet'!$B$15,Paramètres!$A$1:$I$89,5,0)</f>
        <v>0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240.22884864766218</v>
      </c>
      <c r="EP83" s="62">
        <f t="shared" si="100"/>
        <v>343.23776884143166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2.5738685254174052</v>
      </c>
      <c r="EX83" s="23">
        <f>EXP(-LN(2)/2)*EX82+(1-EXP(-LN(2)/2))/(LN(2)/2)*ER83*EU83*VLOOKUP('Données projet'!$B$15,Paramètres!$A$1:$I$89,3,0)*0.475*44/12</f>
        <v>4.9229919555803534E-7</v>
      </c>
      <c r="EY83" s="24">
        <f t="shared" si="75"/>
        <v>2.5738690177166008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734</v>
      </c>
      <c r="FC83" s="13">
        <f>VLOOKUP(A83,'Données projet'!$A$217:$I$237,9,0)</f>
        <v>21.2</v>
      </c>
      <c r="FD83" s="13">
        <f t="array" ref="FD83">INDEX(FC:FC,MIN(IF(ISNUMBER(FC83:FC279),ROW(FC83:FC279),"")))</f>
        <v>21.2</v>
      </c>
      <c r="FE83" s="13">
        <f>IF('Données projet'!$A$218&gt;35,FE82+FD83-FM82,IF(A83&lt;'Données projet'!$A$218,$FB$205^A83,IF(A83='Données projet'!$A$218,'Données projet'!$B$218,FE82+FD83-FM82)))</f>
        <v>734.00000000000034</v>
      </c>
      <c r="FF83" s="18">
        <f>FE83*VLOOKUP('Données projet'!$B$16,Paramètres!$A$1:$I$89,3,0)*VLOOKUP('Données projet'!$B$16,Paramètres!$A$1:$I$89,5,0)</f>
        <v>343.51200000000017</v>
      </c>
      <c r="FG83" s="14">
        <f t="shared" si="101"/>
        <v>80.225113314048286</v>
      </c>
      <c r="FH83" s="22">
        <f t="shared" si="76"/>
        <v>738.00880568863431</v>
      </c>
      <c r="FI83" s="62">
        <f t="shared" si="77"/>
        <v>1031.3421390219676</v>
      </c>
      <c r="FJ83" s="62">
        <f ca="1">AVERAGE(OFFSET($FI$3,0,0,'Données projet'!$E$16+1,1))-AVERAGE(OFFSET($H$3,0,0,'Données projet'!$E$16+1,1))</f>
        <v>399.92909819003523</v>
      </c>
      <c r="FK83" s="62">
        <f t="shared" si="102"/>
        <v>163.7053537268381</v>
      </c>
      <c r="FL83" s="16">
        <f>IF(ISNA(VLOOKUP(A83,'Données projet'!$A$217:$I$237,3,0)),0,VLOOKUP(A83,'Données projet'!$A$217:$I$237,3,0))</f>
        <v>5</v>
      </c>
      <c r="FM83" s="16">
        <f>IF(ISNA(VLOOKUP(A83,'Données projet'!$A$217:$I$237,4,0)),0,VLOOKUP(A83,'Données projet'!$A$217:$I$237,4,0))</f>
        <v>110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341.3</v>
      </c>
      <c r="FX83" s="13">
        <f>VLOOKUP(A83,'Données projet'!$A$243:$I$263,9,0)</f>
        <v>3.5600000000000023</v>
      </c>
      <c r="FY83" s="13">
        <f t="array" ref="FY83">INDEX(FX:FX,MIN(IF(ISNUMBER(FX83:FX279),ROW(FX83:FX279),"")))</f>
        <v>3.5600000000000023</v>
      </c>
      <c r="FZ83" s="13">
        <f>IF('Données projet'!$A$244&gt;35,FZ82+FY83-GH82,IF(A83&lt;'Données projet'!$A$244,$FW$205^A83,IF(A83='Données projet'!$A$244,'Données projet'!$B$244,FZ82+FY83-GH82)))</f>
        <v>341.29999999999995</v>
      </c>
      <c r="GA83" s="18">
        <f>FZ83*VLOOKUP('Données projet'!$B$17,Paramètres!$A$1:$I$89,3,0)*VLOOKUP('Données projet'!$B$17,Paramètres!$A$1:$I$89,5,0)</f>
        <v>250.24115999999998</v>
      </c>
      <c r="GB83" s="14">
        <f t="shared" si="103"/>
        <v>60.637578738550481</v>
      </c>
      <c r="GC83" s="22">
        <f t="shared" si="79"/>
        <v>541.44713663630864</v>
      </c>
      <c r="GD83" s="62">
        <f t="shared" si="80"/>
        <v>834.7804699696419</v>
      </c>
      <c r="GE83" s="62">
        <f ca="1">AVERAGE(OFFSET($GD$3,0,0,'Données projet'!$E$17+1,1))-AVERAGE(OFFSET($H$3,0,0,'Données projet'!$E$17+1,1))</f>
        <v>344.4426665022238</v>
      </c>
      <c r="GF83" s="62">
        <f t="shared" si="104"/>
        <v>376.41441893222185</v>
      </c>
      <c r="GG83" s="16">
        <f>IF(ISNA(VLOOKUP(A83,'Données projet'!$A$243:$I$263,3,0)),0,VLOOKUP(A83,'Données projet'!$A$243:$I$263,3,0))</f>
        <v>7</v>
      </c>
      <c r="GH83" s="16">
        <f>IF(ISNA(VLOOKUP(A83,'Données projet'!$A$243:$I$263,4,0)),0,VLOOKUP(A83,'Données projet'!$A$243:$I$263,4,0))</f>
        <v>341.3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720</v>
      </c>
      <c r="GS83" s="13">
        <f>VLOOKUP(A83,'Données projet'!$A$269:$I$289,9,0)</f>
        <v>22</v>
      </c>
      <c r="GT83" s="13">
        <f t="array" ref="GT83">INDEX(GS:GS,MIN(IF(ISNUMBER(GS83:GS279),ROW(GS83:GS279),"")))</f>
        <v>22</v>
      </c>
      <c r="GU83" s="13">
        <f>IF('Données projet'!$A$270&gt;35,GU82+GT83-HC82,IF(A83&lt;'Données projet'!$A$270,$GR$205^A83,IF(A83='Données projet'!$A$270,'Données projet'!$B$270,GU82+GT83-HC82)))</f>
        <v>720.00000000000023</v>
      </c>
      <c r="GV83" s="18">
        <f>GU83*VLOOKUP('Données projet'!$B$18,Paramètres!$A$1:$I$89,3,0)*VLOOKUP('Données projet'!$B$18,Paramètres!$A$1:$I$89,5,0)</f>
        <v>346.32000000000011</v>
      </c>
      <c r="GW83" s="14">
        <f t="shared" si="105"/>
        <v>80.80429550373745</v>
      </c>
      <c r="GX83" s="22">
        <f t="shared" si="82"/>
        <v>743.90814800234284</v>
      </c>
      <c r="GY83" s="62">
        <f t="shared" si="83"/>
        <v>1037.2414813356761</v>
      </c>
      <c r="GZ83" s="62">
        <f ca="1">AVERAGE(OFFSET($GY$3,0,0,'Données projet'!$E$18+1,1))-AVERAGE(OFFSET($H$3,0,0,'Données projet'!$E$18+1,1))</f>
        <v>441.17479680509746</v>
      </c>
      <c r="HA83" s="62">
        <f t="shared" si="106"/>
        <v>198.56576128410069</v>
      </c>
      <c r="HB83" s="16">
        <f>IF(ISNA(VLOOKUP(A83,'Données projet'!$A$269:$I$289,3,0)),0,VLOOKUP(A83,'Données projet'!$A$269:$I$289,3,0))</f>
        <v>5</v>
      </c>
      <c r="HC83" s="16">
        <f>IF(ISNA(VLOOKUP(A83,'Données projet'!$A$269:$I$289,4,0)),0,VLOOKUP(A83,'Données projet'!$A$269:$I$289,4,0))</f>
        <v>45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-3.4106051316484809E-13</v>
      </c>
      <c r="O84" s="14">
        <f>N84*VLOOKUP('Données projet'!$B$9,Paramètres!$A$1:$I$89,3,0)*VLOOKUP('Données projet'!$B$9,Paramètres!$A$1:$I$89,5,0)</f>
        <v>-1.9065282685915009E-13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374.79806286316051</v>
      </c>
      <c r="T84" s="62">
        <f t="shared" si="88"/>
        <v>350.01856672839466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1.7943498948428447</v>
      </c>
      <c r="AB84" s="23">
        <f>EXP(-LN(2)/2)*AB83+(1-EXP(-LN(2)/2))/(LN(2)/2)*V84*Y84*VLOOKUP('Données projet'!$B$9,Paramètres!$A$1:$I$89,3,0)*0.475*44/12</f>
        <v>1.8929085132129806E-7</v>
      </c>
      <c r="AC84" s="24">
        <f t="shared" si="57"/>
        <v>1.7943500841336959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</v>
      </c>
      <c r="AI84" s="14">
        <f>IF('Données projet'!$A$62&gt;35,AI83+AH84-AQ83,IF(A84&lt;'Données projet'!$A$62,$AF$205^A84,IF(A84='Données projet'!$A$62,'Données projet'!$B$62,AI83+AH84-AQ83)))</f>
        <v>250.99999999999994</v>
      </c>
      <c r="AJ84" s="14">
        <f>AI84*VLOOKUP('Données projet'!$B$10,Paramètres!$A$1:$I$89,3,0)*VLOOKUP('Données projet'!$B$10,Paramètres!$A$1:$I$89,5,0)</f>
        <v>219.27359999999996</v>
      </c>
      <c r="AK84" s="14">
        <f t="shared" si="89"/>
        <v>53.956975893220125</v>
      </c>
      <c r="AL84" s="22">
        <f t="shared" si="58"/>
        <v>475.87658634735823</v>
      </c>
      <c r="AM84" s="62">
        <f t="shared" si="59"/>
        <v>769.20991968069154</v>
      </c>
      <c r="AN84" s="62">
        <f ca="1">AVERAGE(OFFSET($AM$3,0,0,'Données projet'!$E$10+1,1))-AVERAGE(OFFSET($H$3,0,0,'Données projet'!$E$10+1,1))</f>
        <v>401.89597032936751</v>
      </c>
      <c r="AO84" s="62">
        <f t="shared" si="90"/>
        <v>417.85733543972361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5.9</v>
      </c>
      <c r="BD84" s="13">
        <f>IF('Données projet'!$A$88&gt;35,BD83+BC84-BL83,IF(A84&lt;'Données projet'!$A$88,$BA$205^A84,IF(A84='Données projet'!$A$88,'Données projet'!$B$88,BD83+BC84-BL83)))</f>
        <v>266.39999999999986</v>
      </c>
      <c r="BE84" s="14">
        <f>BD84*VLOOKUP('Données projet'!$B$11,Paramètres!$A$1:$I$89,3,0)*VLOOKUP('Données projet'!$B$11,Paramètres!$A$1:$I$89,5,0)</f>
        <v>241.03871999999987</v>
      </c>
      <c r="BF84" s="14">
        <f t="shared" si="91"/>
        <v>58.66295994697046</v>
      </c>
      <c r="BG84" s="22">
        <f t="shared" si="61"/>
        <v>521.98042590763998</v>
      </c>
      <c r="BH84" s="62">
        <f t="shared" si="62"/>
        <v>815.31375924097324</v>
      </c>
      <c r="BI84" s="62">
        <f ca="1">AVERAGE(OFFSET($BH$3,0,0,'Données projet'!$E$11+1,1))-AVERAGE(OFFSET($H$3,0,0,'Données projet'!$E$11+1,1))</f>
        <v>430.40491895612814</v>
      </c>
      <c r="BJ84" s="62">
        <f t="shared" si="92"/>
        <v>231.36959598460686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3.8461538461538454</v>
      </c>
      <c r="BY84" s="13">
        <f>IF('Données projet'!$A$114&gt;35,BY83+BX84-CG83,IF(A84&lt;'Données projet'!$A$114,$BV$205^A84,IF(A84='Données projet'!$A$114,'Données projet'!$B$114,BY83+BX84-CG83)))</f>
        <v>203.84615384615378</v>
      </c>
      <c r="BZ84" s="14">
        <f>BY84*VLOOKUP('Données projet'!$B$12,Paramètres!$A$1:$I$89,3,0)*VLOOKUP('Données projet'!$B$12,Paramètres!$A$1:$I$89,5,0)</f>
        <v>193.97999999999996</v>
      </c>
      <c r="CA84" s="14">
        <f t="shared" si="93"/>
        <v>48.418809868414776</v>
      </c>
      <c r="CB84" s="22">
        <f t="shared" si="64"/>
        <v>422.17792718748893</v>
      </c>
      <c r="CC84" s="62">
        <f t="shared" si="65"/>
        <v>715.51126052082225</v>
      </c>
      <c r="CD84" s="62">
        <f ca="1">AVERAGE(OFFSET($CC$3,0,0,'Données projet'!$E$12+1,1))-AVERAGE(OFFSET($H$3,0,0,'Données projet'!$E$12+1,1))</f>
        <v>367.11183928586667</v>
      </c>
      <c r="CE84" s="62">
        <f t="shared" si="94"/>
        <v>281.52963027844595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-3.4106051316484809E-13</v>
      </c>
      <c r="CU84" s="18">
        <f>CT84*VLOOKUP('Données projet'!$B$13,Paramètres!$A$1:$I$89,3,0)*VLOOKUP('Données projet'!$B$13,Paramètres!$A$1:$I$89,5,0)</f>
        <v>-2.0395418687257919E-13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308.47522272937135</v>
      </c>
      <c r="CZ84" s="62">
        <f t="shared" si="96"/>
        <v>302.54354650449721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0.93379438982463858</v>
      </c>
      <c r="DH84" s="23">
        <f>EXP(-LN(2)/2)*DH83+(1-EXP(-LN(2)/2))/(LN(2)/2)*DB84*DE84*VLOOKUP('Données projet'!$B$13,Paramètres!$A$1:$I$89,3,0)*0.475*44/12</f>
        <v>3.6401434237196315E-7</v>
      </c>
      <c r="DI84" s="24">
        <f t="shared" si="69"/>
        <v>0.93379475383898092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-5.6843418860808015E-14</v>
      </c>
      <c r="DP84" s="18">
        <f>DO84*VLOOKUP('Données projet'!$B$14,Paramètres!$A$1:$I$89,3,0)*VLOOKUP('Données projet'!$B$14,Paramètres!$A$1:$I$89,5,0)</f>
        <v>-4.5224624045658861E-14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370.58277541710277</v>
      </c>
      <c r="DU84" s="62">
        <f t="shared" si="98"/>
        <v>404.61777090709171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>
        <f>EJ84*VLOOKUP('Données projet'!$B$15,Paramètres!$A$1:$I$89,3,0)*VLOOKUP('Données projet'!$B$15,Paramètres!$A$1:$I$89,5,0)</f>
        <v>0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240.22884864766218</v>
      </c>
      <c r="EP84" s="62">
        <f t="shared" si="100"/>
        <v>343.23776884143166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2.5034859552360031</v>
      </c>
      <c r="EX84" s="23">
        <f>EXP(-LN(2)/2)*EX83+(1-EXP(-LN(2)/2))/(LN(2)/2)*ER84*EU84*VLOOKUP('Données projet'!$B$15,Paramètres!$A$1:$I$89,3,0)*0.475*44/12</f>
        <v>3.4810809955176907E-7</v>
      </c>
      <c r="EY84" s="24">
        <f t="shared" si="75"/>
        <v>2.5034863033441028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17.8</v>
      </c>
      <c r="FE84" s="13">
        <f>IF('Données projet'!$A$218&gt;35,FE83+FD84-FM83,IF(A84&lt;'Données projet'!$A$218,$FB$205^A84,IF(A84='Données projet'!$A$218,'Données projet'!$B$218,FE83+FD84-FM83)))</f>
        <v>641.8000000000003</v>
      </c>
      <c r="FF84" s="18">
        <f>FE84*VLOOKUP('Données projet'!$B$16,Paramètres!$A$1:$I$89,3,0)*VLOOKUP('Données projet'!$B$16,Paramètres!$A$1:$I$89,5,0)</f>
        <v>300.36240000000015</v>
      </c>
      <c r="FG84" s="14">
        <f t="shared" si="101"/>
        <v>71.252431096700917</v>
      </c>
      <c r="FH84" s="22">
        <f t="shared" si="76"/>
        <v>647.22916416008775</v>
      </c>
      <c r="FI84" s="62">
        <f t="shared" si="77"/>
        <v>940.56249749342101</v>
      </c>
      <c r="FJ84" s="62">
        <f ca="1">AVERAGE(OFFSET($FI$3,0,0,'Données projet'!$E$16+1,1))-AVERAGE(OFFSET($H$3,0,0,'Données projet'!$E$16+1,1))</f>
        <v>399.92909819003523</v>
      </c>
      <c r="FK84" s="62">
        <f t="shared" si="102"/>
        <v>163.7053537268381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-5.6843418860808015E-14</v>
      </c>
      <c r="GA84" s="18">
        <f>FZ84*VLOOKUP('Données projet'!$B$17,Paramètres!$A$1:$I$89,3,0)*VLOOKUP('Données projet'!$B$17,Paramètres!$A$1:$I$89,5,0)</f>
        <v>-4.1677594708744434E-14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344.4426665022238</v>
      </c>
      <c r="GF84" s="62">
        <f t="shared" si="104"/>
        <v>376.41441893222185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27</v>
      </c>
      <c r="GU84" s="13">
        <f>IF('Données projet'!$A$270&gt;35,GU83+GT84-HC83,IF(A84&lt;'Données projet'!$A$270,$GR$205^A84,IF(A84='Données projet'!$A$270,'Données projet'!$B$270,GU83+GT84-HC83)))</f>
        <v>702.00000000000023</v>
      </c>
      <c r="GV84" s="18">
        <f>GU84*VLOOKUP('Données projet'!$B$18,Paramètres!$A$1:$I$89,3,0)*VLOOKUP('Données projet'!$B$18,Paramètres!$A$1:$I$89,5,0)</f>
        <v>337.66200000000009</v>
      </c>
      <c r="GW84" s="14">
        <f t="shared" si="105"/>
        <v>79.016707002632685</v>
      </c>
      <c r="GX84" s="22">
        <f t="shared" si="82"/>
        <v>725.71541469625208</v>
      </c>
      <c r="GY84" s="62">
        <f t="shared" si="83"/>
        <v>1019.0487480295853</v>
      </c>
      <c r="GZ84" s="62">
        <f ca="1">AVERAGE(OFFSET($GY$3,0,0,'Données projet'!$E$18+1,1))-AVERAGE(OFFSET($H$3,0,0,'Données projet'!$E$18+1,1))</f>
        <v>441.17479680509746</v>
      </c>
      <c r="HA84" s="62">
        <f t="shared" si="106"/>
        <v>198.56576128410069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-3.4106051316484809E-13</v>
      </c>
      <c r="O85" s="14">
        <f>N85*VLOOKUP('Données projet'!$B$9,Paramètres!$A$1:$I$89,3,0)*VLOOKUP('Données projet'!$B$9,Paramètres!$A$1:$I$89,5,0)</f>
        <v>-1.9065282685915009E-13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374.79806286316051</v>
      </c>
      <c r="T85" s="62">
        <f t="shared" si="88"/>
        <v>350.01856672839466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1.7452833026076071</v>
      </c>
      <c r="AB85" s="23">
        <f>EXP(-LN(2)/2)*AB84+(1-EXP(-LN(2)/2))/(LN(2)/2)*V85*Y85*VLOOKUP('Données projet'!$B$9,Paramètres!$A$1:$I$89,3,0)*0.475*44/12</f>
        <v>1.3384884458586441E-7</v>
      </c>
      <c r="AC85" s="24">
        <f t="shared" si="57"/>
        <v>1.7452834364564518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</v>
      </c>
      <c r="AI85" s="14">
        <f>IF('Données projet'!$A$62&gt;35,AI84+AH85-AQ84,IF(A85&lt;'Données projet'!$A$62,$AF$205^A85,IF(A85='Données projet'!$A$62,'Données projet'!$B$62,AI84+AH85-AQ84)))</f>
        <v>254.99999999999994</v>
      </c>
      <c r="AJ85" s="14">
        <f>AI85*VLOOKUP('Données projet'!$B$10,Paramètres!$A$1:$I$89,3,0)*VLOOKUP('Données projet'!$B$10,Paramètres!$A$1:$I$89,5,0)</f>
        <v>222.76799999999997</v>
      </c>
      <c r="AK85" s="14">
        <f t="shared" si="89"/>
        <v>54.716058356609508</v>
      </c>
      <c r="AL85" s="22">
        <f t="shared" si="58"/>
        <v>483.28473497109485</v>
      </c>
      <c r="AM85" s="62">
        <f t="shared" si="59"/>
        <v>776.61806830442811</v>
      </c>
      <c r="AN85" s="62">
        <f ca="1">AVERAGE(OFFSET($AM$3,0,0,'Données projet'!$E$10+1,1))-AVERAGE(OFFSET($H$3,0,0,'Données projet'!$E$10+1,1))</f>
        <v>401.89597032936751</v>
      </c>
      <c r="AO85" s="62">
        <f t="shared" si="90"/>
        <v>417.85733543972361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5.9</v>
      </c>
      <c r="BD85" s="13">
        <f>IF('Données projet'!$A$88&gt;35,BD84+BC85-BL84,IF(A85&lt;'Données projet'!$A$88,$BA$205^A85,IF(A85='Données projet'!$A$88,'Données projet'!$B$88,BD84+BC85-BL84)))</f>
        <v>272.29999999999984</v>
      </c>
      <c r="BE85" s="14">
        <f>BD85*VLOOKUP('Données projet'!$B$11,Paramètres!$A$1:$I$89,3,0)*VLOOKUP('Données projet'!$B$11,Paramètres!$A$1:$I$89,5,0)</f>
        <v>246.37703999999982</v>
      </c>
      <c r="BF85" s="14">
        <f t="shared" si="91"/>
        <v>59.809480609038189</v>
      </c>
      <c r="BG85" s="22">
        <f t="shared" si="61"/>
        <v>533.27485672740784</v>
      </c>
      <c r="BH85" s="62">
        <f t="shared" si="62"/>
        <v>826.60819006074121</v>
      </c>
      <c r="BI85" s="62">
        <f ca="1">AVERAGE(OFFSET($BH$3,0,0,'Données projet'!$E$11+1,1))-AVERAGE(OFFSET($H$3,0,0,'Données projet'!$E$11+1,1))</f>
        <v>430.40491895612814</v>
      </c>
      <c r="BJ85" s="62">
        <f t="shared" si="92"/>
        <v>231.36959598460686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3.8461538461538454</v>
      </c>
      <c r="BY85" s="13">
        <f>IF('Données projet'!$A$114&gt;35,BY84+BX85-CG84,IF(A85&lt;'Données projet'!$A$114,$BV$205^A85,IF(A85='Données projet'!$A$114,'Données projet'!$B$114,BY84+BX85-CG84)))</f>
        <v>207.69230769230762</v>
      </c>
      <c r="BZ85" s="14">
        <f>BY85*VLOOKUP('Données projet'!$B$12,Paramètres!$A$1:$I$89,3,0)*VLOOKUP('Données projet'!$B$12,Paramètres!$A$1:$I$89,5,0)</f>
        <v>197.63999999999993</v>
      </c>
      <c r="CA85" s="14">
        <f t="shared" si="93"/>
        <v>49.22515338895078</v>
      </c>
      <c r="CB85" s="22">
        <f t="shared" si="64"/>
        <v>429.95680881908919</v>
      </c>
      <c r="CC85" s="62">
        <f t="shared" si="65"/>
        <v>723.2901421524225</v>
      </c>
      <c r="CD85" s="62">
        <f ca="1">AVERAGE(OFFSET($CC$3,0,0,'Données projet'!$E$12+1,1))-AVERAGE(OFFSET($H$3,0,0,'Données projet'!$E$12+1,1))</f>
        <v>367.11183928586667</v>
      </c>
      <c r="CE85" s="62">
        <f t="shared" si="94"/>
        <v>281.52963027844595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-3.4106051316484809E-13</v>
      </c>
      <c r="CU85" s="18">
        <f>CT85*VLOOKUP('Données projet'!$B$13,Paramètres!$A$1:$I$89,3,0)*VLOOKUP('Données projet'!$B$13,Paramètres!$A$1:$I$89,5,0)</f>
        <v>-2.0395418687257919E-13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308.47522272937135</v>
      </c>
      <c r="CZ85" s="62">
        <f t="shared" si="96"/>
        <v>302.54354650449721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0.90825973312877106</v>
      </c>
      <c r="DH85" s="23">
        <f>EXP(-LN(2)/2)*DH84+(1-EXP(-LN(2)/2))/(LN(2)/2)*DB85*DE85*VLOOKUP('Données projet'!$B$13,Paramètres!$A$1:$I$89,3,0)*0.475*44/12</f>
        <v>2.5739700994037674E-7</v>
      </c>
      <c r="DI85" s="24">
        <f t="shared" si="69"/>
        <v>0.90825999052578099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-5.6843418860808015E-14</v>
      </c>
      <c r="DP85" s="18">
        <f>DO85*VLOOKUP('Données projet'!$B$14,Paramètres!$A$1:$I$89,3,0)*VLOOKUP('Données projet'!$B$14,Paramètres!$A$1:$I$89,5,0)</f>
        <v>-4.5224624045658861E-14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370.58277541710277</v>
      </c>
      <c r="DU85" s="62">
        <f t="shared" si="98"/>
        <v>404.61777090709171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>
        <f>EJ85*VLOOKUP('Données projet'!$B$15,Paramètres!$A$1:$I$89,3,0)*VLOOKUP('Données projet'!$B$15,Paramètres!$A$1:$I$89,5,0)</f>
        <v>0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240.22884864766218</v>
      </c>
      <c r="EP85" s="62">
        <f t="shared" si="100"/>
        <v>343.23776884143166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2.43502800013747</v>
      </c>
      <c r="EX85" s="23">
        <f>EXP(-LN(2)/2)*EX84+(1-EXP(-LN(2)/2))/(LN(2)/2)*ER85*EU85*VLOOKUP('Données projet'!$B$15,Paramètres!$A$1:$I$89,3,0)*0.475*44/12</f>
        <v>2.4614959777901767E-7</v>
      </c>
      <c r="EY85" s="24">
        <f t="shared" si="75"/>
        <v>2.4350282462870676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17.8</v>
      </c>
      <c r="FE85" s="13">
        <f>IF('Données projet'!$A$218&gt;35,FE84+FD85-FM84,IF(A85&lt;'Données projet'!$A$218,$FB$205^A85,IF(A85='Données projet'!$A$218,'Données projet'!$B$218,FE84+FD85-FM84)))</f>
        <v>659.60000000000025</v>
      </c>
      <c r="FF85" s="18">
        <f>FE85*VLOOKUP('Données projet'!$B$16,Paramètres!$A$1:$I$89,3,0)*VLOOKUP('Données projet'!$B$16,Paramètres!$A$1:$I$89,5,0)</f>
        <v>308.69280000000009</v>
      </c>
      <c r="FG85" s="14">
        <f t="shared" si="101"/>
        <v>72.995767680913616</v>
      </c>
      <c r="FH85" s="22">
        <f t="shared" si="76"/>
        <v>664.77425537759143</v>
      </c>
      <c r="FI85" s="62">
        <f t="shared" si="77"/>
        <v>958.1075887109248</v>
      </c>
      <c r="FJ85" s="62">
        <f ca="1">AVERAGE(OFFSET($FI$3,0,0,'Données projet'!$E$16+1,1))-AVERAGE(OFFSET($H$3,0,0,'Données projet'!$E$16+1,1))</f>
        <v>399.92909819003523</v>
      </c>
      <c r="FK85" s="62">
        <f t="shared" si="102"/>
        <v>163.7053537268381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-5.6843418860808015E-14</v>
      </c>
      <c r="GA85" s="18">
        <f>FZ85*VLOOKUP('Données projet'!$B$17,Paramètres!$A$1:$I$89,3,0)*VLOOKUP('Données projet'!$B$17,Paramètres!$A$1:$I$89,5,0)</f>
        <v>-4.1677594708744434E-14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344.4426665022238</v>
      </c>
      <c r="GF85" s="62">
        <f t="shared" si="104"/>
        <v>376.41441893222185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27</v>
      </c>
      <c r="GU85" s="13">
        <f>IF('Données projet'!$A$270&gt;35,GU84+GT85-HC84,IF(A85&lt;'Données projet'!$A$270,$GR$205^A85,IF(A85='Données projet'!$A$270,'Données projet'!$B$270,GU84+GT85-HC84)))</f>
        <v>729.00000000000023</v>
      </c>
      <c r="GV85" s="18">
        <f>GU85*VLOOKUP('Données projet'!$B$18,Paramètres!$A$1:$I$89,3,0)*VLOOKUP('Données projet'!$B$18,Paramètres!$A$1:$I$89,5,0)</f>
        <v>350.64900000000011</v>
      </c>
      <c r="GW85" s="14">
        <f t="shared" si="105"/>
        <v>81.696132666292101</v>
      </c>
      <c r="GX85" s="22">
        <f t="shared" si="82"/>
        <v>753.00110606045882</v>
      </c>
      <c r="GY85" s="62">
        <f t="shared" si="83"/>
        <v>1046.3344393937921</v>
      </c>
      <c r="GZ85" s="62">
        <f ca="1">AVERAGE(OFFSET($GY$3,0,0,'Données projet'!$E$18+1,1))-AVERAGE(OFFSET($H$3,0,0,'Données projet'!$E$18+1,1))</f>
        <v>441.17479680509746</v>
      </c>
      <c r="HA85" s="62">
        <f t="shared" si="106"/>
        <v>198.56576128410069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-3.4106051316484809E-13</v>
      </c>
      <c r="O86" s="14">
        <f>N86*VLOOKUP('Données projet'!$B$9,Paramètres!$A$1:$I$89,3,0)*VLOOKUP('Données projet'!$B$9,Paramètres!$A$1:$I$89,5,0)</f>
        <v>-1.9065282685915009E-13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374.79806286316051</v>
      </c>
      <c r="T86" s="62">
        <f t="shared" si="88"/>
        <v>350.01856672839466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1.6975584389173421</v>
      </c>
      <c r="AB86" s="23">
        <f>EXP(-LN(2)/2)*AB85+(1-EXP(-LN(2)/2))/(LN(2)/2)*V86*Y86*VLOOKUP('Données projet'!$B$9,Paramètres!$A$1:$I$89,3,0)*0.475*44/12</f>
        <v>9.464542566064903E-8</v>
      </c>
      <c r="AC86" s="24">
        <f t="shared" si="57"/>
        <v>1.6975585335627679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</v>
      </c>
      <c r="AI86" s="14">
        <f>IF('Données projet'!$A$62&gt;35,AI85+AH86-AQ85,IF(A86&lt;'Données projet'!$A$62,$AF$205^A86,IF(A86='Données projet'!$A$62,'Données projet'!$B$62,AI85+AH86-AQ85)))</f>
        <v>258.99999999999994</v>
      </c>
      <c r="AJ86" s="14">
        <f>AI86*VLOOKUP('Données projet'!$B$10,Paramètres!$A$1:$I$89,3,0)*VLOOKUP('Données projet'!$B$10,Paramètres!$A$1:$I$89,5,0)</f>
        <v>226.26239999999999</v>
      </c>
      <c r="AK86" s="14">
        <f t="shared" si="89"/>
        <v>55.473756029242935</v>
      </c>
      <c r="AL86" s="22">
        <f t="shared" si="58"/>
        <v>490.69047175093141</v>
      </c>
      <c r="AM86" s="62">
        <f t="shared" si="59"/>
        <v>784.02380508426472</v>
      </c>
      <c r="AN86" s="62">
        <f ca="1">AVERAGE(OFFSET($AM$3,0,0,'Données projet'!$E$10+1,1))-AVERAGE(OFFSET($H$3,0,0,'Données projet'!$E$10+1,1))</f>
        <v>401.89597032936751</v>
      </c>
      <c r="AO86" s="62">
        <f t="shared" si="90"/>
        <v>417.85733543972361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5.9</v>
      </c>
      <c r="BD86" s="13">
        <f>IF('Données projet'!$A$88&gt;35,BD85+BC86-BL85,IF(A86&lt;'Données projet'!$A$88,$BA$205^A86,IF(A86='Données projet'!$A$88,'Données projet'!$B$88,BD85+BC86-BL85)))</f>
        <v>278.19999999999982</v>
      </c>
      <c r="BE86" s="14">
        <f>BD86*VLOOKUP('Données projet'!$B$11,Paramètres!$A$1:$I$89,3,0)*VLOOKUP('Données projet'!$B$11,Paramètres!$A$1:$I$89,5,0)</f>
        <v>251.71535999999983</v>
      </c>
      <c r="BF86" s="14">
        <f t="shared" si="91"/>
        <v>60.953113068801812</v>
      </c>
      <c r="BG86" s="22">
        <f t="shared" si="61"/>
        <v>544.5642572614961</v>
      </c>
      <c r="BH86" s="62">
        <f t="shared" si="62"/>
        <v>837.89759059482935</v>
      </c>
      <c r="BI86" s="62">
        <f ca="1">AVERAGE(OFFSET($BH$3,0,0,'Données projet'!$E$11+1,1))-AVERAGE(OFFSET($H$3,0,0,'Données projet'!$E$11+1,1))</f>
        <v>430.40491895612814</v>
      </c>
      <c r="BJ86" s="62">
        <f t="shared" si="92"/>
        <v>231.36959598460686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3.8461538461538454</v>
      </c>
      <c r="BY86" s="13">
        <f>IF('Données projet'!$A$114&gt;35,BY85+BX86-CG85,IF(A86&lt;'Données projet'!$A$114,$BV$205^A86,IF(A86='Données projet'!$A$114,'Données projet'!$B$114,BY85+BX86-CG85)))</f>
        <v>211.53846153846146</v>
      </c>
      <c r="BZ86" s="14">
        <f>BY86*VLOOKUP('Données projet'!$B$12,Paramètres!$A$1:$I$89,3,0)*VLOOKUP('Données projet'!$B$12,Paramètres!$A$1:$I$89,5,0)</f>
        <v>201.29999999999993</v>
      </c>
      <c r="CA86" s="14">
        <f t="shared" si="93"/>
        <v>50.029760558277118</v>
      </c>
      <c r="CB86" s="22">
        <f t="shared" si="64"/>
        <v>437.73266630566582</v>
      </c>
      <c r="CC86" s="62">
        <f t="shared" si="65"/>
        <v>731.06599963899907</v>
      </c>
      <c r="CD86" s="62">
        <f ca="1">AVERAGE(OFFSET($CC$3,0,0,'Données projet'!$E$12+1,1))-AVERAGE(OFFSET($H$3,0,0,'Données projet'!$E$12+1,1))</f>
        <v>367.11183928586667</v>
      </c>
      <c r="CE86" s="62">
        <f t="shared" si="94"/>
        <v>281.52963027844595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-3.4106051316484809E-13</v>
      </c>
      <c r="CU86" s="18">
        <f>CT86*VLOOKUP('Données projet'!$B$13,Paramètres!$A$1:$I$89,3,0)*VLOOKUP('Données projet'!$B$13,Paramètres!$A$1:$I$89,5,0)</f>
        <v>-2.0395418687257919E-13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308.47522272937135</v>
      </c>
      <c r="CZ86" s="62">
        <f t="shared" si="96"/>
        <v>302.54354650449721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0.88342332296306136</v>
      </c>
      <c r="DH86" s="23">
        <f>EXP(-LN(2)/2)*DH85+(1-EXP(-LN(2)/2))/(LN(2)/2)*DB86*DE86*VLOOKUP('Données projet'!$B$13,Paramètres!$A$1:$I$89,3,0)*0.475*44/12</f>
        <v>1.8200717118598158E-7</v>
      </c>
      <c r="DI86" s="24">
        <f t="shared" si="69"/>
        <v>0.88342350497023259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-5.6843418860808015E-14</v>
      </c>
      <c r="DP86" s="18">
        <f>DO86*VLOOKUP('Données projet'!$B$14,Paramètres!$A$1:$I$89,3,0)*VLOOKUP('Données projet'!$B$14,Paramètres!$A$1:$I$89,5,0)</f>
        <v>-4.5224624045658861E-14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370.58277541710277</v>
      </c>
      <c r="DU86" s="62">
        <f t="shared" si="98"/>
        <v>404.61777090709171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>
        <f>EJ86*VLOOKUP('Données projet'!$B$15,Paramètres!$A$1:$I$89,3,0)*VLOOKUP('Données projet'!$B$15,Paramètres!$A$1:$I$89,5,0)</f>
        <v>0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240.22884864766218</v>
      </c>
      <c r="EP86" s="62">
        <f t="shared" si="100"/>
        <v>343.23776884143166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2.3684420314211536</v>
      </c>
      <c r="EX86" s="23">
        <f>EXP(-LN(2)/2)*EX85+(1-EXP(-LN(2)/2))/(LN(2)/2)*ER86*EU86*VLOOKUP('Données projet'!$B$15,Paramètres!$A$1:$I$89,3,0)*0.475*44/12</f>
        <v>1.7405404977588453E-7</v>
      </c>
      <c r="EY86" s="24">
        <f t="shared" si="75"/>
        <v>2.3684422054752035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17.8</v>
      </c>
      <c r="FE86" s="13">
        <f>IF('Données projet'!$A$218&gt;35,FE85+FD86-FM85,IF(A86&lt;'Données projet'!$A$218,$FB$205^A86,IF(A86='Données projet'!$A$218,'Données projet'!$B$218,FE85+FD86-FM85)))</f>
        <v>677.4000000000002</v>
      </c>
      <c r="FF86" s="18">
        <f>FE86*VLOOKUP('Données projet'!$B$16,Paramètres!$A$1:$I$89,3,0)*VLOOKUP('Données projet'!$B$16,Paramètres!$A$1:$I$89,5,0)</f>
        <v>317.02320000000009</v>
      </c>
      <c r="FG86" s="14">
        <f t="shared" si="101"/>
        <v>74.733636027657681</v>
      </c>
      <c r="FH86" s="22">
        <f t="shared" si="76"/>
        <v>682.30982274817052</v>
      </c>
      <c r="FI86" s="62">
        <f t="shared" si="77"/>
        <v>975.64315608150378</v>
      </c>
      <c r="FJ86" s="62">
        <f ca="1">AVERAGE(OFFSET($FI$3,0,0,'Données projet'!$E$16+1,1))-AVERAGE(OFFSET($H$3,0,0,'Données projet'!$E$16+1,1))</f>
        <v>399.92909819003523</v>
      </c>
      <c r="FK86" s="62">
        <f t="shared" si="102"/>
        <v>163.7053537268381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-5.6843418860808015E-14</v>
      </c>
      <c r="GA86" s="18">
        <f>FZ86*VLOOKUP('Données projet'!$B$17,Paramètres!$A$1:$I$89,3,0)*VLOOKUP('Données projet'!$B$17,Paramètres!$A$1:$I$89,5,0)</f>
        <v>-4.1677594708744434E-14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344.4426665022238</v>
      </c>
      <c r="GF86" s="62">
        <f t="shared" si="104"/>
        <v>376.41441893222185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27</v>
      </c>
      <c r="GU86" s="13">
        <f>IF('Données projet'!$A$270&gt;35,GU85+GT86-HC85,IF(A86&lt;'Données projet'!$A$270,$GR$205^A86,IF(A86='Données projet'!$A$270,'Données projet'!$B$270,GU85+GT86-HC85)))</f>
        <v>756.00000000000023</v>
      </c>
      <c r="GV86" s="18">
        <f>GU86*VLOOKUP('Données projet'!$B$18,Paramètres!$A$1:$I$89,3,0)*VLOOKUP('Données projet'!$B$18,Paramètres!$A$1:$I$89,5,0)</f>
        <v>363.63600000000014</v>
      </c>
      <c r="GW86" s="14">
        <f t="shared" si="105"/>
        <v>84.364029107753382</v>
      </c>
      <c r="GX86" s="22">
        <f t="shared" si="82"/>
        <v>780.26671736267065</v>
      </c>
      <c r="GY86" s="62">
        <f t="shared" si="83"/>
        <v>1073.600050696004</v>
      </c>
      <c r="GZ86" s="62">
        <f ca="1">AVERAGE(OFFSET($GY$3,0,0,'Données projet'!$E$18+1,1))-AVERAGE(OFFSET($H$3,0,0,'Données projet'!$E$18+1,1))</f>
        <v>441.17479680509746</v>
      </c>
      <c r="HA86" s="62">
        <f t="shared" si="106"/>
        <v>198.56576128410069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-3.4106051316484809E-13</v>
      </c>
      <c r="O87" s="14">
        <f>N87*VLOOKUP('Données projet'!$B$9,Paramètres!$A$1:$I$89,3,0)*VLOOKUP('Données projet'!$B$9,Paramètres!$A$1:$I$89,5,0)</f>
        <v>-1.9065282685915009E-13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374.79806286316051</v>
      </c>
      <c r="T87" s="62">
        <f t="shared" si="88"/>
        <v>350.01856672839466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1.6511386141344289</v>
      </c>
      <c r="AB87" s="23">
        <f>EXP(-LN(2)/2)*AB86+(1-EXP(-LN(2)/2))/(LN(2)/2)*V87*Y87*VLOOKUP('Données projet'!$B$9,Paramètres!$A$1:$I$89,3,0)*0.475*44/12</f>
        <v>6.6924422292932203E-8</v>
      </c>
      <c r="AC87" s="24">
        <f t="shared" si="57"/>
        <v>1.6511386810588511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</v>
      </c>
      <c r="AI87" s="14">
        <f>IF('Données projet'!$A$62&gt;35,AI86+AH87-AQ86,IF(A87&lt;'Données projet'!$A$62,$AF$205^A87,IF(A87='Données projet'!$A$62,'Données projet'!$B$62,AI86+AH87-AQ86)))</f>
        <v>262.99999999999994</v>
      </c>
      <c r="AJ87" s="14">
        <f>AI87*VLOOKUP('Données projet'!$B$10,Paramètres!$A$1:$I$89,3,0)*VLOOKUP('Données projet'!$B$10,Paramètres!$A$1:$I$89,5,0)</f>
        <v>229.75679999999997</v>
      </c>
      <c r="AK87" s="14">
        <f t="shared" si="89"/>
        <v>56.23009276772752</v>
      </c>
      <c r="AL87" s="22">
        <f t="shared" si="58"/>
        <v>498.09383823712534</v>
      </c>
      <c r="AM87" s="62">
        <f t="shared" si="59"/>
        <v>791.42717157045865</v>
      </c>
      <c r="AN87" s="62">
        <f ca="1">AVERAGE(OFFSET($AM$3,0,0,'Données projet'!$E$10+1,1))-AVERAGE(OFFSET($H$3,0,0,'Données projet'!$E$10+1,1))</f>
        <v>401.89597032936751</v>
      </c>
      <c r="AO87" s="62">
        <f t="shared" si="90"/>
        <v>417.85733543972361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5.9</v>
      </c>
      <c r="BD87" s="13">
        <f>IF('Données projet'!$A$88&gt;35,BD86+BC87-BL86,IF(A87&lt;'Données projet'!$A$88,$BA$205^A87,IF(A87='Données projet'!$A$88,'Données projet'!$B$88,BD86+BC87-BL86)))</f>
        <v>284.0999999999998</v>
      </c>
      <c r="BE87" s="14">
        <f>BD87*VLOOKUP('Données projet'!$B$11,Paramètres!$A$1:$I$89,3,0)*VLOOKUP('Données projet'!$B$11,Paramètres!$A$1:$I$89,5,0)</f>
        <v>257.05367999999982</v>
      </c>
      <c r="BF87" s="14">
        <f t="shared" si="91"/>
        <v>62.093925634350327</v>
      </c>
      <c r="BG87" s="22">
        <f t="shared" si="61"/>
        <v>555.84874647982645</v>
      </c>
      <c r="BH87" s="62">
        <f t="shared" si="62"/>
        <v>849.18207981315982</v>
      </c>
      <c r="BI87" s="62">
        <f ca="1">AVERAGE(OFFSET($BH$3,0,0,'Données projet'!$E$11+1,1))-AVERAGE(OFFSET($H$3,0,0,'Données projet'!$E$11+1,1))</f>
        <v>430.40491895612814</v>
      </c>
      <c r="BJ87" s="62">
        <f t="shared" si="92"/>
        <v>231.36959598460686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3.8461538461538454</v>
      </c>
      <c r="BY87" s="13">
        <f>IF('Données projet'!$A$114&gt;35,BY86+BX87-CG86,IF(A87&lt;'Données projet'!$A$114,$BV$205^A87,IF(A87='Données projet'!$A$114,'Données projet'!$B$114,BY86+BX87-CG86)))</f>
        <v>215.3846153846153</v>
      </c>
      <c r="BZ87" s="14">
        <f>BY87*VLOOKUP('Données projet'!$B$12,Paramètres!$A$1:$I$89,3,0)*VLOOKUP('Données projet'!$B$12,Paramètres!$A$1:$I$89,5,0)</f>
        <v>204.95999999999992</v>
      </c>
      <c r="CA87" s="14">
        <f t="shared" si="93"/>
        <v>50.832666587809335</v>
      </c>
      <c r="CB87" s="22">
        <f t="shared" si="64"/>
        <v>445.50556097376779</v>
      </c>
      <c r="CC87" s="62">
        <f t="shared" si="65"/>
        <v>738.8388943071011</v>
      </c>
      <c r="CD87" s="62">
        <f ca="1">AVERAGE(OFFSET($CC$3,0,0,'Données projet'!$E$12+1,1))-AVERAGE(OFFSET($H$3,0,0,'Données projet'!$E$12+1,1))</f>
        <v>367.11183928586667</v>
      </c>
      <c r="CE87" s="62">
        <f t="shared" si="94"/>
        <v>281.52963027844595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-3.4106051316484809E-13</v>
      </c>
      <c r="CU87" s="18">
        <f>CT87*VLOOKUP('Données projet'!$B$13,Paramètres!$A$1:$I$89,3,0)*VLOOKUP('Données projet'!$B$13,Paramètres!$A$1:$I$89,5,0)</f>
        <v>-2.0395418687257919E-13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308.47522272937135</v>
      </c>
      <c r="CZ87" s="62">
        <f t="shared" si="96"/>
        <v>302.54354650449721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0.85926606573942299</v>
      </c>
      <c r="DH87" s="23">
        <f>EXP(-LN(2)/2)*DH86+(1-EXP(-LN(2)/2))/(LN(2)/2)*DB87*DE87*VLOOKUP('Données projet'!$B$13,Paramètres!$A$1:$I$89,3,0)*0.475*44/12</f>
        <v>1.2869850497018837E-7</v>
      </c>
      <c r="DI87" s="24">
        <f t="shared" si="69"/>
        <v>0.85926619443792795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-5.6843418860808015E-14</v>
      </c>
      <c r="DP87" s="18">
        <f>DO87*VLOOKUP('Données projet'!$B$14,Paramètres!$A$1:$I$89,3,0)*VLOOKUP('Données projet'!$B$14,Paramètres!$A$1:$I$89,5,0)</f>
        <v>-4.5224624045658861E-14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370.58277541710277</v>
      </c>
      <c r="DU87" s="62">
        <f t="shared" si="98"/>
        <v>404.61777090709171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>
        <f>EJ87*VLOOKUP('Données projet'!$B$15,Paramètres!$A$1:$I$89,3,0)*VLOOKUP('Données projet'!$B$15,Paramètres!$A$1:$I$89,5,0)</f>
        <v>0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240.22884864766218</v>
      </c>
      <c r="EP87" s="62">
        <f t="shared" si="100"/>
        <v>343.23776884143166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2.3036768595209889</v>
      </c>
      <c r="EX87" s="23">
        <f>EXP(-LN(2)/2)*EX86+(1-EXP(-LN(2)/2))/(LN(2)/2)*ER87*EU87*VLOOKUP('Données projet'!$B$15,Paramètres!$A$1:$I$89,3,0)*0.475*44/12</f>
        <v>1.2307479888950883E-7</v>
      </c>
      <c r="EY87" s="24">
        <f t="shared" si="75"/>
        <v>2.3036769825957877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17.8</v>
      </c>
      <c r="FE87" s="13">
        <f>IF('Données projet'!$A$218&gt;35,FE86+FD87-FM86,IF(A87&lt;'Données projet'!$A$218,$FB$205^A87,IF(A87='Données projet'!$A$218,'Données projet'!$B$218,FE86+FD87-FM86)))</f>
        <v>695.20000000000016</v>
      </c>
      <c r="FF87" s="18">
        <f>FE87*VLOOKUP('Données projet'!$B$16,Paramètres!$A$1:$I$89,3,0)*VLOOKUP('Données projet'!$B$16,Paramètres!$A$1:$I$89,5,0)</f>
        <v>325.35360000000009</v>
      </c>
      <c r="FG87" s="14">
        <f t="shared" si="101"/>
        <v>76.466196343081592</v>
      </c>
      <c r="FH87" s="22">
        <f t="shared" si="76"/>
        <v>699.83614529753402</v>
      </c>
      <c r="FI87" s="62">
        <f t="shared" si="77"/>
        <v>993.16947863086739</v>
      </c>
      <c r="FJ87" s="62">
        <f ca="1">AVERAGE(OFFSET($FI$3,0,0,'Données projet'!$E$16+1,1))-AVERAGE(OFFSET($H$3,0,0,'Données projet'!$E$16+1,1))</f>
        <v>399.92909819003523</v>
      </c>
      <c r="FK87" s="62">
        <f t="shared" si="102"/>
        <v>163.7053537268381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-5.6843418860808015E-14</v>
      </c>
      <c r="GA87" s="18">
        <f>FZ87*VLOOKUP('Données projet'!$B$17,Paramètres!$A$1:$I$89,3,0)*VLOOKUP('Données projet'!$B$17,Paramètres!$A$1:$I$89,5,0)</f>
        <v>-4.1677594708744434E-14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344.4426665022238</v>
      </c>
      <c r="GF87" s="62">
        <f t="shared" si="104"/>
        <v>376.41441893222185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27</v>
      </c>
      <c r="GU87" s="13">
        <f>IF('Données projet'!$A$270&gt;35,GU86+GT87-HC86,IF(A87&lt;'Données projet'!$A$270,$GR$205^A87,IF(A87='Données projet'!$A$270,'Données projet'!$B$270,GU86+GT87-HC86)))</f>
        <v>783.00000000000023</v>
      </c>
      <c r="GV87" s="18">
        <f>GU87*VLOOKUP('Données projet'!$B$18,Paramètres!$A$1:$I$89,3,0)*VLOOKUP('Données projet'!$B$18,Paramètres!$A$1:$I$89,5,0)</f>
        <v>376.62300000000016</v>
      </c>
      <c r="GW87" s="14">
        <f t="shared" si="105"/>
        <v>87.020855257802083</v>
      </c>
      <c r="GX87" s="22">
        <f t="shared" si="82"/>
        <v>807.51304790733877</v>
      </c>
      <c r="GY87" s="62">
        <f t="shared" si="83"/>
        <v>1100.8463812406721</v>
      </c>
      <c r="GZ87" s="62">
        <f ca="1">AVERAGE(OFFSET($GY$3,0,0,'Données projet'!$E$18+1,1))-AVERAGE(OFFSET($H$3,0,0,'Données projet'!$E$18+1,1))</f>
        <v>441.17479680509746</v>
      </c>
      <c r="HA87" s="62">
        <f t="shared" si="106"/>
        <v>198.56576128410069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projet'!$B$9,Paramètres!$A$1:$I$89,3,0)*VLOOKUP('Données projet'!$B$9,Paramètres!$A$1:$I$89,5,0)</f>
        <v>-1.9065282685915009E-13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374.79806286316051</v>
      </c>
      <c r="T88" s="62">
        <f t="shared" si="88"/>
        <v>350.01856672839466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1.6059881419013169</v>
      </c>
      <c r="AB88" s="23">
        <f>EXP(-LN(2)/2)*AB87+(1-EXP(-LN(2)/2))/(LN(2)/2)*V88*Y88*VLOOKUP('Données projet'!$B$9,Paramètres!$A$1:$I$89,3,0)*0.475*44/12</f>
        <v>4.7322712830324515E-8</v>
      </c>
      <c r="AC88" s="24">
        <f t="shared" si="57"/>
        <v>1.6059881892240297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267</v>
      </c>
      <c r="AG88" s="13">
        <f>VLOOKUP(A88,'Données projet'!$A$61:$I$81,9,0)</f>
        <v>4</v>
      </c>
      <c r="AH88" s="13">
        <f t="array" ref="AH88">INDEX(AG:AG,MIN(IF(ISNUMBER(AG88:AG284),ROW(AG88:AG284),"")))</f>
        <v>4</v>
      </c>
      <c r="AI88" s="14">
        <f>IF('Données projet'!$A$62&gt;35,AI87+AH88-AQ87,IF(A88&lt;'Données projet'!$A$62,$AF$205^A88,IF(A88='Données projet'!$A$62,'Données projet'!$B$62,AI87+AH88-AQ87)))</f>
        <v>266.99999999999994</v>
      </c>
      <c r="AJ88" s="14">
        <f>AI88*VLOOKUP('Données projet'!$B$10,Paramètres!$A$1:$I$89,3,0)*VLOOKUP('Données projet'!$B$10,Paramètres!$A$1:$I$89,5,0)</f>
        <v>233.25119999999998</v>
      </c>
      <c r="AK88" s="14">
        <f t="shared" si="89"/>
        <v>56.985091661350864</v>
      </c>
      <c r="AL88" s="22">
        <f t="shared" si="58"/>
        <v>505.49487464351932</v>
      </c>
      <c r="AM88" s="62">
        <f t="shared" si="59"/>
        <v>798.82820797685258</v>
      </c>
      <c r="AN88" s="62">
        <f ca="1">AVERAGE(OFFSET($AM$3,0,0,'Données projet'!$E$10+1,1))-AVERAGE(OFFSET($H$3,0,0,'Données projet'!$E$10+1,1))</f>
        <v>401.89597032936751</v>
      </c>
      <c r="AO88" s="62">
        <f t="shared" si="90"/>
        <v>417.85733543972361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290</v>
      </c>
      <c r="BB88" s="13">
        <f>VLOOKUP(A88,'Données projet'!$A$87:$I$107,9,0)</f>
        <v>5.9</v>
      </c>
      <c r="BC88" s="13">
        <f t="array" ref="BC88">INDEX(BB:BB,MIN(IF(ISNUMBER(BB88:BB284),ROW(BB88:BB284),"")))</f>
        <v>5.9</v>
      </c>
      <c r="BD88" s="13">
        <f>IF('Données projet'!$A$88&gt;35,BD87+BC88-BL87,IF(A88&lt;'Données projet'!$A$88,$BA$205^A88,IF(A88='Données projet'!$A$88,'Données projet'!$B$88,BD87+BC88-BL87)))</f>
        <v>289.99999999999977</v>
      </c>
      <c r="BE88" s="14">
        <f>BD88*VLOOKUP('Données projet'!$B$11,Paramètres!$A$1:$I$89,3,0)*VLOOKUP('Données projet'!$B$11,Paramètres!$A$1:$I$89,5,0)</f>
        <v>262.39199999999977</v>
      </c>
      <c r="BF88" s="14">
        <f t="shared" si="91"/>
        <v>63.231983614474892</v>
      </c>
      <c r="BG88" s="22">
        <f t="shared" si="61"/>
        <v>567.12843812854328</v>
      </c>
      <c r="BH88" s="62">
        <f t="shared" si="62"/>
        <v>860.46177146187665</v>
      </c>
      <c r="BI88" s="62">
        <f ca="1">AVERAGE(OFFSET($BH$3,0,0,'Données projet'!$E$11+1,1))-AVERAGE(OFFSET($H$3,0,0,'Données projet'!$E$11+1,1))</f>
        <v>430.40491895612814</v>
      </c>
      <c r="BJ88" s="62">
        <f t="shared" si="92"/>
        <v>231.36959598460686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42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219.23076923076923</v>
      </c>
      <c r="BW88" s="13">
        <f>VLOOKUP(A88,'Données projet'!$A$113:$I$133,9,0)</f>
        <v>3.8461538461538454</v>
      </c>
      <c r="BX88" s="13">
        <f t="array" ref="BX88">INDEX(BW:BW,MIN(IF(ISNUMBER(BW88:BW284),ROW(BW88:BW284),"")))</f>
        <v>3.8461538461538454</v>
      </c>
      <c r="BY88" s="13">
        <f>IF('Données projet'!$A$114&gt;35,BY87+BX88-CG87,IF(A88&lt;'Données projet'!$A$114,$BV$205^A88,IF(A88='Données projet'!$A$114,'Données projet'!$B$114,BY87+BX88-CG87)))</f>
        <v>219.23076923076914</v>
      </c>
      <c r="BZ88" s="14">
        <f>BY88*VLOOKUP('Données projet'!$B$12,Paramètres!$A$1:$I$89,3,0)*VLOOKUP('Données projet'!$B$12,Paramètres!$A$1:$I$89,5,0)</f>
        <v>208.61999999999992</v>
      </c>
      <c r="CA88" s="14">
        <f t="shared" si="93"/>
        <v>51.63390535939368</v>
      </c>
      <c r="CB88" s="22">
        <f t="shared" si="64"/>
        <v>453.27555183427711</v>
      </c>
      <c r="CC88" s="62">
        <f t="shared" si="65"/>
        <v>746.60888516761042</v>
      </c>
      <c r="CD88" s="62">
        <f ca="1">AVERAGE(OFFSET($CC$3,0,0,'Données projet'!$E$12+1,1))-AVERAGE(OFFSET($H$3,0,0,'Données projet'!$E$12+1,1))</f>
        <v>367.11183928586667</v>
      </c>
      <c r="CE88" s="62">
        <f t="shared" si="94"/>
        <v>281.52963027844595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-3.4106051316484809E-13</v>
      </c>
      <c r="CU88" s="18">
        <f>CT88*VLOOKUP('Données projet'!$B$13,Paramètres!$A$1:$I$89,3,0)*VLOOKUP('Données projet'!$B$13,Paramètres!$A$1:$I$89,5,0)</f>
        <v>-2.0395418687257919E-13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308.47522272937135</v>
      </c>
      <c r="CZ88" s="62">
        <f t="shared" si="96"/>
        <v>302.54354650449721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0.83576938998493999</v>
      </c>
      <c r="DH88" s="23">
        <f>EXP(-LN(2)/2)*DH87+(1-EXP(-LN(2)/2))/(LN(2)/2)*DB88*DE88*VLOOKUP('Données projet'!$B$13,Paramètres!$A$1:$I$89,3,0)*0.475*44/12</f>
        <v>9.1003585592990788E-8</v>
      </c>
      <c r="DI88" s="24">
        <f t="shared" si="69"/>
        <v>0.83576948098852555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-5.6843418860808015E-14</v>
      </c>
      <c r="DP88" s="18">
        <f>DO88*VLOOKUP('Données projet'!$B$14,Paramètres!$A$1:$I$89,3,0)*VLOOKUP('Données projet'!$B$14,Paramètres!$A$1:$I$89,5,0)</f>
        <v>-4.5224624045658861E-14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370.58277541710277</v>
      </c>
      <c r="DU88" s="62">
        <f t="shared" si="98"/>
        <v>404.61777090709171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>
        <f>EJ88*VLOOKUP('Données projet'!$B$15,Paramètres!$A$1:$I$89,3,0)*VLOOKUP('Données projet'!$B$15,Paramètres!$A$1:$I$89,5,0)</f>
        <v>0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240.22884864766218</v>
      </c>
      <c r="EP88" s="62">
        <f t="shared" si="100"/>
        <v>343.23776884143166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2.2406826946522864</v>
      </c>
      <c r="EX88" s="23">
        <f>EXP(-LN(2)/2)*EX87+(1-EXP(-LN(2)/2))/(LN(2)/2)*ER88*EU88*VLOOKUP('Données projet'!$B$15,Paramètres!$A$1:$I$89,3,0)*0.475*44/12</f>
        <v>8.7027024887942266E-8</v>
      </c>
      <c r="EY88" s="24">
        <f t="shared" si="75"/>
        <v>2.2406827816793111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17.8</v>
      </c>
      <c r="FE88" s="13">
        <f>IF('Données projet'!$A$218&gt;35,FE87+FD88-FM87,IF(A88&lt;'Données projet'!$A$218,$FB$205^A88,IF(A88='Données projet'!$A$218,'Données projet'!$B$218,FE87+FD88-FM87)))</f>
        <v>713.00000000000011</v>
      </c>
      <c r="FF88" s="18">
        <f>FE88*VLOOKUP('Données projet'!$B$16,Paramètres!$A$1:$I$89,3,0)*VLOOKUP('Données projet'!$B$16,Paramètres!$A$1:$I$89,5,0)</f>
        <v>333.68400000000003</v>
      </c>
      <c r="FG88" s="14">
        <f t="shared" si="101"/>
        <v>78.193600162051595</v>
      </c>
      <c r="FH88" s="22">
        <f t="shared" si="76"/>
        <v>717.35348694890661</v>
      </c>
      <c r="FI88" s="62">
        <f t="shared" si="77"/>
        <v>1010.68682028224</v>
      </c>
      <c r="FJ88" s="62">
        <f ca="1">AVERAGE(OFFSET($FI$3,0,0,'Données projet'!$E$16+1,1))-AVERAGE(OFFSET($H$3,0,0,'Données projet'!$E$16+1,1))</f>
        <v>399.92909819003523</v>
      </c>
      <c r="FK88" s="62">
        <f t="shared" si="102"/>
        <v>163.7053537268381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-5.6843418860808015E-14</v>
      </c>
      <c r="GA88" s="18">
        <f>FZ88*VLOOKUP('Données projet'!$B$17,Paramètres!$A$1:$I$89,3,0)*VLOOKUP('Données projet'!$B$17,Paramètres!$A$1:$I$89,5,0)</f>
        <v>-4.1677594708744434E-14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344.4426665022238</v>
      </c>
      <c r="GF88" s="62">
        <f t="shared" si="104"/>
        <v>376.41441893222185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27</v>
      </c>
      <c r="GU88" s="13">
        <f>IF('Données projet'!$A$270&gt;35,GU87+GT88-HC87,IF(A88&lt;'Données projet'!$A$270,$GR$205^A88,IF(A88='Données projet'!$A$270,'Données projet'!$B$270,GU87+GT88-HC87)))</f>
        <v>810.00000000000023</v>
      </c>
      <c r="GV88" s="18">
        <f>GU88*VLOOKUP('Données projet'!$B$18,Paramètres!$A$1:$I$89,3,0)*VLOOKUP('Données projet'!$B$18,Paramètres!$A$1:$I$89,5,0)</f>
        <v>389.61000000000013</v>
      </c>
      <c r="GW88" s="14">
        <f t="shared" si="105"/>
        <v>89.667036601718408</v>
      </c>
      <c r="GX88" s="22">
        <f t="shared" si="82"/>
        <v>834.74083874799305</v>
      </c>
      <c r="GY88" s="62">
        <f t="shared" si="83"/>
        <v>1128.0741720813264</v>
      </c>
      <c r="GZ88" s="62">
        <f ca="1">AVERAGE(OFFSET($GY$3,0,0,'Données projet'!$E$18+1,1))-AVERAGE(OFFSET($H$3,0,0,'Données projet'!$E$18+1,1))</f>
        <v>441.17479680509746</v>
      </c>
      <c r="HA88" s="62">
        <f t="shared" si="106"/>
        <v>198.56576128410069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projet'!$B$9,Paramètres!$A$1:$I$89,3,0)*VLOOKUP('Données projet'!$B$9,Paramètres!$A$1:$I$89,5,0)</f>
        <v>-1.9065282685915009E-13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374.79806286316051</v>
      </c>
      <c r="T89" s="62">
        <f t="shared" si="88"/>
        <v>350.01856672839466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1.5620723117057795</v>
      </c>
      <c r="AB89" s="23">
        <f>EXP(-LN(2)/2)*AB88+(1-EXP(-LN(2)/2))/(LN(2)/2)*V89*Y89*VLOOKUP('Données projet'!$B$9,Paramètres!$A$1:$I$89,3,0)*0.475*44/12</f>
        <v>3.3462211146466102E-8</v>
      </c>
      <c r="AC89" s="24">
        <f t="shared" si="57"/>
        <v>1.5620723451679908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3.4</v>
      </c>
      <c r="AI89" s="14">
        <f>IF('Données projet'!$A$62&gt;35,AI88+AH89-AQ88,IF(A89&lt;'Données projet'!$A$62,$AF$205^A89,IF(A89='Données projet'!$A$62,'Données projet'!$B$62,AI88+AH89-AQ88)))</f>
        <v>270.39999999999992</v>
      </c>
      <c r="AJ89" s="14">
        <f>AI89*VLOOKUP('Données projet'!$B$10,Paramètres!$A$1:$I$89,3,0)*VLOOKUP('Données projet'!$B$10,Paramètres!$A$1:$I$89,5,0)</f>
        <v>236.22143999999997</v>
      </c>
      <c r="AK89" s="14">
        <f t="shared" si="89"/>
        <v>57.625805560019025</v>
      </c>
      <c r="AL89" s="22">
        <f t="shared" si="58"/>
        <v>511.78395268369974</v>
      </c>
      <c r="AM89" s="62">
        <f t="shared" si="59"/>
        <v>805.11728601703305</v>
      </c>
      <c r="AN89" s="62">
        <f ca="1">AVERAGE(OFFSET($AM$3,0,0,'Données projet'!$E$10+1,1))-AVERAGE(OFFSET($H$3,0,0,'Données projet'!$E$10+1,1))</f>
        <v>401.89597032936751</v>
      </c>
      <c r="AO89" s="62">
        <f t="shared" si="90"/>
        <v>417.85733543972361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5.2</v>
      </c>
      <c r="BD89" s="13">
        <f>IF('Données projet'!$A$88&gt;35,BD88+BC89-BL88,IF(A89&lt;'Données projet'!$A$88,$BA$205^A89,IF(A89='Données projet'!$A$88,'Données projet'!$B$88,BD88+BC89-BL88)))</f>
        <v>253.19999999999976</v>
      </c>
      <c r="BE89" s="14">
        <f>BD89*VLOOKUP('Données projet'!$B$11,Paramètres!$A$1:$I$89,3,0)*VLOOKUP('Données projet'!$B$11,Paramètres!$A$1:$I$89,5,0)</f>
        <v>229.09535999999977</v>
      </c>
      <c r="BF89" s="14">
        <f t="shared" si="91"/>
        <v>56.087032370558362</v>
      </c>
      <c r="BG89" s="22">
        <f t="shared" si="61"/>
        <v>496.69266671205543</v>
      </c>
      <c r="BH89" s="62">
        <f t="shared" si="62"/>
        <v>790.02600004538874</v>
      </c>
      <c r="BI89" s="62">
        <f ca="1">AVERAGE(OFFSET($BH$3,0,0,'Données projet'!$E$11+1,1))-AVERAGE(OFFSET($H$3,0,0,'Données projet'!$E$11+1,1))</f>
        <v>430.40491895612814</v>
      </c>
      <c r="BJ89" s="62">
        <f t="shared" si="92"/>
        <v>231.36959598460686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3.5897435897435912</v>
      </c>
      <c r="BY89" s="13">
        <f>IF('Données projet'!$A$114&gt;35,BY88+BX89-CG88,IF(A89&lt;'Données projet'!$A$114,$BV$205^A89,IF(A89='Données projet'!$A$114,'Données projet'!$B$114,BY88+BX89-CG88)))</f>
        <v>222.82051282051273</v>
      </c>
      <c r="BZ89" s="14">
        <f>BY89*VLOOKUP('Données projet'!$B$12,Paramètres!$A$1:$I$89,3,0)*VLOOKUP('Données projet'!$B$12,Paramètres!$A$1:$I$89,5,0)</f>
        <v>212.03599999999992</v>
      </c>
      <c r="CA89" s="14">
        <f t="shared" si="93"/>
        <v>52.380252774201118</v>
      </c>
      <c r="CB89" s="22">
        <f t="shared" si="64"/>
        <v>460.52497358173349</v>
      </c>
      <c r="CC89" s="62">
        <f t="shared" si="65"/>
        <v>753.85830691506681</v>
      </c>
      <c r="CD89" s="62">
        <f ca="1">AVERAGE(OFFSET($CC$3,0,0,'Données projet'!$E$12+1,1))-AVERAGE(OFFSET($H$3,0,0,'Données projet'!$E$12+1,1))</f>
        <v>367.11183928586667</v>
      </c>
      <c r="CE89" s="62">
        <f t="shared" si="94"/>
        <v>281.52963027844595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-3.4106051316484809E-13</v>
      </c>
      <c r="CU89" s="18">
        <f>CT89*VLOOKUP('Données projet'!$B$13,Paramètres!$A$1:$I$89,3,0)*VLOOKUP('Données projet'!$B$13,Paramètres!$A$1:$I$89,5,0)</f>
        <v>-2.0395418687257919E-13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308.47522272937135</v>
      </c>
      <c r="CZ89" s="62">
        <f t="shared" si="96"/>
        <v>302.54354650449721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0.81291523206459981</v>
      </c>
      <c r="DH89" s="23">
        <f>EXP(-LN(2)/2)*DH88+(1-EXP(-LN(2)/2))/(LN(2)/2)*DB89*DE89*VLOOKUP('Données projet'!$B$13,Paramètres!$A$1:$I$89,3,0)*0.475*44/12</f>
        <v>6.4349252485094184E-8</v>
      </c>
      <c r="DI89" s="24">
        <f t="shared" si="69"/>
        <v>0.8129152964138523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-5.6843418860808015E-14</v>
      </c>
      <c r="DP89" s="18">
        <f>DO89*VLOOKUP('Données projet'!$B$14,Paramètres!$A$1:$I$89,3,0)*VLOOKUP('Données projet'!$B$14,Paramètres!$A$1:$I$89,5,0)</f>
        <v>-4.5224624045658861E-14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370.58277541710277</v>
      </c>
      <c r="DU89" s="62">
        <f t="shared" si="98"/>
        <v>404.61777090709171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>
        <f>EJ89*VLOOKUP('Données projet'!$B$15,Paramètres!$A$1:$I$89,3,0)*VLOOKUP('Données projet'!$B$15,Paramètres!$A$1:$I$89,5,0)</f>
        <v>0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240.22884864766218</v>
      </c>
      <c r="EP89" s="62">
        <f t="shared" si="100"/>
        <v>343.23776884143166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2.1794111085346377</v>
      </c>
      <c r="EX89" s="23">
        <f>EXP(-LN(2)/2)*EX88+(1-EXP(-LN(2)/2))/(LN(2)/2)*ER89*EU89*VLOOKUP('Données projet'!$B$15,Paramètres!$A$1:$I$89,3,0)*0.475*44/12</f>
        <v>6.1537399444754417E-8</v>
      </c>
      <c r="EY89" s="24">
        <f t="shared" si="75"/>
        <v>2.1794111700720373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17.8</v>
      </c>
      <c r="FE89" s="13">
        <f>IF('Données projet'!$A$218&gt;35,FE88+FD89-FM88,IF(A89&lt;'Données projet'!$A$218,$FB$205^A89,IF(A89='Données projet'!$A$218,'Données projet'!$B$218,FE88+FD89-FM88)))</f>
        <v>730.80000000000007</v>
      </c>
      <c r="FF89" s="18">
        <f>FE89*VLOOKUP('Données projet'!$B$16,Paramètres!$A$1:$I$89,3,0)*VLOOKUP('Données projet'!$B$16,Paramètres!$A$1:$I$89,5,0)</f>
        <v>342.01440000000002</v>
      </c>
      <c r="FG89" s="14">
        <f t="shared" si="101"/>
        <v>79.915991022086629</v>
      </c>
      <c r="FH89" s="22">
        <f t="shared" si="76"/>
        <v>734.8620976968009</v>
      </c>
      <c r="FI89" s="62">
        <f t="shared" si="77"/>
        <v>1028.1954310301342</v>
      </c>
      <c r="FJ89" s="62">
        <f ca="1">AVERAGE(OFFSET($FI$3,0,0,'Données projet'!$E$16+1,1))-AVERAGE(OFFSET($H$3,0,0,'Données projet'!$E$16+1,1))</f>
        <v>399.92909819003523</v>
      </c>
      <c r="FK89" s="62">
        <f t="shared" si="102"/>
        <v>163.7053537268381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-5.6843418860808015E-14</v>
      </c>
      <c r="GA89" s="18">
        <f>FZ89*VLOOKUP('Données projet'!$B$17,Paramètres!$A$1:$I$89,3,0)*VLOOKUP('Données projet'!$B$17,Paramètres!$A$1:$I$89,5,0)</f>
        <v>-4.1677594708744434E-14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344.4426665022238</v>
      </c>
      <c r="GF89" s="62">
        <f t="shared" si="104"/>
        <v>376.41441893222185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27</v>
      </c>
      <c r="GU89" s="13">
        <f>IF('Données projet'!$A$270&gt;35,GU88+GT89-HC88,IF(A89&lt;'Données projet'!$A$270,$GR$205^A89,IF(A89='Données projet'!$A$270,'Données projet'!$B$270,GU88+GT89-HC88)))</f>
        <v>837.00000000000023</v>
      </c>
      <c r="GV89" s="18">
        <f>GU89*VLOOKUP('Données projet'!$B$18,Paramètres!$A$1:$I$89,3,0)*VLOOKUP('Données projet'!$B$18,Paramètres!$A$1:$I$89,5,0)</f>
        <v>402.59700000000009</v>
      </c>
      <c r="GW89" s="14">
        <f t="shared" si="105"/>
        <v>92.302968649491731</v>
      </c>
      <c r="GX89" s="22">
        <f t="shared" si="82"/>
        <v>861.95077873119817</v>
      </c>
      <c r="GY89" s="62">
        <f t="shared" si="83"/>
        <v>1155.2841120645314</v>
      </c>
      <c r="GZ89" s="62">
        <f ca="1">AVERAGE(OFFSET($GY$3,0,0,'Données projet'!$E$18+1,1))-AVERAGE(OFFSET($H$3,0,0,'Données projet'!$E$18+1,1))</f>
        <v>441.17479680509746</v>
      </c>
      <c r="HA89" s="62">
        <f t="shared" si="106"/>
        <v>198.56576128410069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projet'!$B$9,Paramètres!$A$1:$I$89,3,0)*VLOOKUP('Données projet'!$B$9,Paramètres!$A$1:$I$89,5,0)</f>
        <v>-1.9065282685915009E-13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374.79806286316051</v>
      </c>
      <c r="T90" s="62">
        <f t="shared" si="88"/>
        <v>350.01856672839466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1.5193573621963723</v>
      </c>
      <c r="AB90" s="23">
        <f>EXP(-LN(2)/2)*AB89+(1-EXP(-LN(2)/2))/(LN(2)/2)*V90*Y90*VLOOKUP('Données projet'!$B$9,Paramètres!$A$1:$I$89,3,0)*0.475*44/12</f>
        <v>2.3661356415162257E-8</v>
      </c>
      <c r="AC90" s="24">
        <f t="shared" si="57"/>
        <v>1.5193573858577287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3.4</v>
      </c>
      <c r="AI90" s="14">
        <f>IF('Données projet'!$A$62&gt;35,AI89+AH90-AQ89,IF(A90&lt;'Données projet'!$A$62,$AF$205^A90,IF(A90='Données projet'!$A$62,'Données projet'!$B$62,AI89+AH90-AQ89)))</f>
        <v>273.7999999999999</v>
      </c>
      <c r="AJ90" s="14">
        <f>AI90*VLOOKUP('Données projet'!$B$10,Paramètres!$A$1:$I$89,3,0)*VLOOKUP('Données projet'!$B$10,Paramètres!$A$1:$I$89,5,0)</f>
        <v>239.19167999999993</v>
      </c>
      <c r="AK90" s="14">
        <f t="shared" si="89"/>
        <v>58.265582363565784</v>
      </c>
      <c r="AL90" s="22">
        <f t="shared" si="58"/>
        <v>518.07139861654366</v>
      </c>
      <c r="AM90" s="62">
        <f t="shared" si="59"/>
        <v>811.40473194987703</v>
      </c>
      <c r="AN90" s="62">
        <f ca="1">AVERAGE(OFFSET($AM$3,0,0,'Données projet'!$E$10+1,1))-AVERAGE(OFFSET($H$3,0,0,'Données projet'!$E$10+1,1))</f>
        <v>401.89597032936751</v>
      </c>
      <c r="AO90" s="62">
        <f t="shared" si="90"/>
        <v>417.85733543972361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5.2</v>
      </c>
      <c r="BD90" s="13">
        <f>IF('Données projet'!$A$88&gt;35,BD89+BC90-BL89,IF(A90&lt;'Données projet'!$A$88,$BA$205^A90,IF(A90='Données projet'!$A$88,'Données projet'!$B$88,BD89+BC90-BL89)))</f>
        <v>258.39999999999975</v>
      </c>
      <c r="BE90" s="14">
        <f>BD90*VLOOKUP('Données projet'!$B$11,Paramètres!$A$1:$I$89,3,0)*VLOOKUP('Données projet'!$B$11,Paramètres!$A$1:$I$89,5,0)</f>
        <v>233.80031999999977</v>
      </c>
      <c r="BF90" s="14">
        <f t="shared" si="91"/>
        <v>57.103614181373779</v>
      </c>
      <c r="BG90" s="22">
        <f t="shared" si="61"/>
        <v>506.65768536589218</v>
      </c>
      <c r="BH90" s="62">
        <f t="shared" si="62"/>
        <v>799.99101869922549</v>
      </c>
      <c r="BI90" s="62">
        <f ca="1">AVERAGE(OFFSET($BH$3,0,0,'Données projet'!$E$11+1,1))-AVERAGE(OFFSET($H$3,0,0,'Données projet'!$E$11+1,1))</f>
        <v>430.40491895612814</v>
      </c>
      <c r="BJ90" s="62">
        <f t="shared" si="92"/>
        <v>231.36959598460686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3.5897435897435912</v>
      </c>
      <c r="BY90" s="13">
        <f>IF('Données projet'!$A$114&gt;35,BY89+BX90-CG89,IF(A90&lt;'Données projet'!$A$114,$BV$205^A90,IF(A90='Données projet'!$A$114,'Données projet'!$B$114,BY89+BX90-CG89)))</f>
        <v>226.41025641025632</v>
      </c>
      <c r="BZ90" s="14">
        <f>BY90*VLOOKUP('Données projet'!$B$12,Paramètres!$A$1:$I$89,3,0)*VLOOKUP('Données projet'!$B$12,Paramètres!$A$1:$I$89,5,0)</f>
        <v>215.45199999999988</v>
      </c>
      <c r="CA90" s="14">
        <f t="shared" si="93"/>
        <v>53.125201841889961</v>
      </c>
      <c r="CB90" s="22">
        <f t="shared" si="64"/>
        <v>467.77195987462483</v>
      </c>
      <c r="CC90" s="62">
        <f t="shared" si="65"/>
        <v>761.10529320795808</v>
      </c>
      <c r="CD90" s="62">
        <f ca="1">AVERAGE(OFFSET($CC$3,0,0,'Données projet'!$E$12+1,1))-AVERAGE(OFFSET($H$3,0,0,'Données projet'!$E$12+1,1))</f>
        <v>367.11183928586667</v>
      </c>
      <c r="CE90" s="62">
        <f t="shared" si="94"/>
        <v>281.52963027844595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-3.4106051316484809E-13</v>
      </c>
      <c r="CU90" s="18">
        <f>CT90*VLOOKUP('Données projet'!$B$13,Paramètres!$A$1:$I$89,3,0)*VLOOKUP('Données projet'!$B$13,Paramètres!$A$1:$I$89,5,0)</f>
        <v>-2.0395418687257919E-13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308.47522272937135</v>
      </c>
      <c r="CZ90" s="62">
        <f t="shared" si="96"/>
        <v>302.54354650449721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0.79068602229443918</v>
      </c>
      <c r="DH90" s="23">
        <f>EXP(-LN(2)/2)*DH89+(1-EXP(-LN(2)/2))/(LN(2)/2)*DB90*DE90*VLOOKUP('Données projet'!$B$13,Paramètres!$A$1:$I$89,3,0)*0.475*44/12</f>
        <v>4.5501792796495394E-8</v>
      </c>
      <c r="DI90" s="24">
        <f t="shared" si="69"/>
        <v>0.79068606779623196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-5.6843418860808015E-14</v>
      </c>
      <c r="DP90" s="18">
        <f>DO90*VLOOKUP('Données projet'!$B$14,Paramètres!$A$1:$I$89,3,0)*VLOOKUP('Données projet'!$B$14,Paramètres!$A$1:$I$89,5,0)</f>
        <v>-4.5224624045658861E-14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370.58277541710277</v>
      </c>
      <c r="DU90" s="62">
        <f t="shared" si="98"/>
        <v>404.61777090709171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>
        <f>EJ90*VLOOKUP('Données projet'!$B$15,Paramètres!$A$1:$I$89,3,0)*VLOOKUP('Données projet'!$B$15,Paramètres!$A$1:$I$89,5,0)</f>
        <v>0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240.22884864766218</v>
      </c>
      <c r="EP90" s="62">
        <f t="shared" si="100"/>
        <v>343.23776884143166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2.1198149971615088</v>
      </c>
      <c r="EX90" s="23">
        <f>EXP(-LN(2)/2)*EX89+(1-EXP(-LN(2)/2))/(LN(2)/2)*ER90*EU90*VLOOKUP('Données projet'!$B$15,Paramètres!$A$1:$I$89,3,0)*0.475*44/12</f>
        <v>4.3513512443971133E-8</v>
      </c>
      <c r="EY90" s="24">
        <f t="shared" si="75"/>
        <v>2.1198150406750211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17.8</v>
      </c>
      <c r="FE90" s="13">
        <f>IF('Données projet'!$A$218&gt;35,FE89+FD90-FM89,IF(A90&lt;'Données projet'!$A$218,$FB$205^A90,IF(A90='Données projet'!$A$218,'Données projet'!$B$218,FE89+FD90-FM89)))</f>
        <v>748.6</v>
      </c>
      <c r="FF90" s="18">
        <f>FE90*VLOOKUP('Données projet'!$B$16,Paramètres!$A$1:$I$89,3,0)*VLOOKUP('Données projet'!$B$16,Paramètres!$A$1:$I$89,5,0)</f>
        <v>350.34479999999996</v>
      </c>
      <c r="FG90" s="14">
        <f t="shared" si="101"/>
        <v>81.633505069784817</v>
      </c>
      <c r="FH90" s="22">
        <f t="shared" si="76"/>
        <v>752.36221466320842</v>
      </c>
      <c r="FI90" s="62">
        <f t="shared" si="77"/>
        <v>1045.6955479965418</v>
      </c>
      <c r="FJ90" s="62">
        <f ca="1">AVERAGE(OFFSET($FI$3,0,0,'Données projet'!$E$16+1,1))-AVERAGE(OFFSET($H$3,0,0,'Données projet'!$E$16+1,1))</f>
        <v>399.92909819003523</v>
      </c>
      <c r="FK90" s="62">
        <f t="shared" si="102"/>
        <v>163.7053537268381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-5.6843418860808015E-14</v>
      </c>
      <c r="GA90" s="18">
        <f>FZ90*VLOOKUP('Données projet'!$B$17,Paramètres!$A$1:$I$89,3,0)*VLOOKUP('Données projet'!$B$17,Paramètres!$A$1:$I$89,5,0)</f>
        <v>-4.1677594708744434E-14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344.4426665022238</v>
      </c>
      <c r="GF90" s="62">
        <f t="shared" si="104"/>
        <v>376.41441893222185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27</v>
      </c>
      <c r="GU90" s="13">
        <f>IF('Données projet'!$A$270&gt;35,GU89+GT90-HC89,IF(A90&lt;'Données projet'!$A$270,$GR$205^A90,IF(A90='Données projet'!$A$270,'Données projet'!$B$270,GU89+GT90-HC89)))</f>
        <v>864.00000000000023</v>
      </c>
      <c r="GV90" s="18">
        <f>GU90*VLOOKUP('Données projet'!$B$18,Paramètres!$A$1:$I$89,3,0)*VLOOKUP('Données projet'!$B$18,Paramètres!$A$1:$I$89,5,0)</f>
        <v>415.58400000000012</v>
      </c>
      <c r="GW90" s="14">
        <f t="shared" si="105"/>
        <v>94.929019945687742</v>
      </c>
      <c r="GX90" s="22">
        <f t="shared" si="82"/>
        <v>889.14350973873968</v>
      </c>
      <c r="GY90" s="62">
        <f t="shared" si="83"/>
        <v>1182.4768430720731</v>
      </c>
      <c r="GZ90" s="62">
        <f ca="1">AVERAGE(OFFSET($GY$3,0,0,'Données projet'!$E$18+1,1))-AVERAGE(OFFSET($H$3,0,0,'Données projet'!$E$18+1,1))</f>
        <v>441.17479680509746</v>
      </c>
      <c r="HA90" s="62">
        <f t="shared" si="106"/>
        <v>198.56576128410069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projet'!$B$9,Paramètres!$A$1:$I$89,3,0)*VLOOKUP('Données projet'!$B$9,Paramètres!$A$1:$I$89,5,0)</f>
        <v>-1.9065282685915009E-13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374.79806286316051</v>
      </c>
      <c r="T91" s="62">
        <f t="shared" si="88"/>
        <v>350.01856672839466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1.4778104552275813</v>
      </c>
      <c r="AB91" s="23">
        <f>EXP(-LN(2)/2)*AB90+(1-EXP(-LN(2)/2))/(LN(2)/2)*V91*Y91*VLOOKUP('Données projet'!$B$9,Paramètres!$A$1:$I$89,3,0)*0.475*44/12</f>
        <v>1.6731105573233051E-8</v>
      </c>
      <c r="AC91" s="24">
        <f t="shared" si="57"/>
        <v>1.4778104719586869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3.4</v>
      </c>
      <c r="AI91" s="14">
        <f>IF('Données projet'!$A$62&gt;35,AI90+AH91-AQ90,IF(A91&lt;'Données projet'!$A$62,$AF$205^A91,IF(A91='Données projet'!$A$62,'Données projet'!$B$62,AI90+AH91-AQ90)))</f>
        <v>277.19999999999987</v>
      </c>
      <c r="AJ91" s="14">
        <f>AI91*VLOOKUP('Données projet'!$B$10,Paramètres!$A$1:$I$89,3,0)*VLOOKUP('Données projet'!$B$10,Paramètres!$A$1:$I$89,5,0)</f>
        <v>242.16191999999992</v>
      </c>
      <c r="AK91" s="14">
        <f t="shared" si="89"/>
        <v>58.904435054468976</v>
      </c>
      <c r="AL91" s="22">
        <f t="shared" si="58"/>
        <v>524.35723505320004</v>
      </c>
      <c r="AM91" s="62">
        <f t="shared" si="59"/>
        <v>817.69056838653341</v>
      </c>
      <c r="AN91" s="62">
        <f ca="1">AVERAGE(OFFSET($AM$3,0,0,'Données projet'!$E$10+1,1))-AVERAGE(OFFSET($H$3,0,0,'Données projet'!$E$10+1,1))</f>
        <v>401.89597032936751</v>
      </c>
      <c r="AO91" s="62">
        <f t="shared" si="90"/>
        <v>417.85733543972361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5.2</v>
      </c>
      <c r="BD91" s="13">
        <f>IF('Données projet'!$A$88&gt;35,BD90+BC91-BL90,IF(A91&lt;'Données projet'!$A$88,$BA$205^A91,IF(A91='Données projet'!$A$88,'Données projet'!$B$88,BD90+BC91-BL90)))</f>
        <v>263.59999999999974</v>
      </c>
      <c r="BE91" s="14">
        <f>BD91*VLOOKUP('Données projet'!$B$11,Paramètres!$A$1:$I$89,3,0)*VLOOKUP('Données projet'!$B$11,Paramètres!$A$1:$I$89,5,0)</f>
        <v>238.50527999999974</v>
      </c>
      <c r="BF91" s="14">
        <f t="shared" si="91"/>
        <v>58.117817352909832</v>
      </c>
      <c r="BG91" s="22">
        <f t="shared" si="61"/>
        <v>516.61856122298411</v>
      </c>
      <c r="BH91" s="62">
        <f t="shared" si="62"/>
        <v>809.95189455631748</v>
      </c>
      <c r="BI91" s="62">
        <f ca="1">AVERAGE(OFFSET($BH$3,0,0,'Données projet'!$E$11+1,1))-AVERAGE(OFFSET($H$3,0,0,'Données projet'!$E$11+1,1))</f>
        <v>430.40491895612814</v>
      </c>
      <c r="BJ91" s="62">
        <f t="shared" si="92"/>
        <v>231.36959598460686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3.5897435897435912</v>
      </c>
      <c r="BY91" s="13">
        <f>IF('Données projet'!$A$114&gt;35,BY90+BX91-CG90,IF(A91&lt;'Données projet'!$A$114,$BV$205^A91,IF(A91='Données projet'!$A$114,'Données projet'!$B$114,BY90+BX91-CG90)))</f>
        <v>229.99999999999991</v>
      </c>
      <c r="BZ91" s="14">
        <f>BY91*VLOOKUP('Données projet'!$B$12,Paramètres!$A$1:$I$89,3,0)*VLOOKUP('Données projet'!$B$12,Paramètres!$A$1:$I$89,5,0)</f>
        <v>218.86799999999994</v>
      </c>
      <c r="CA91" s="14">
        <f t="shared" si="93"/>
        <v>53.868777293257502</v>
      </c>
      <c r="CB91" s="22">
        <f t="shared" si="64"/>
        <v>475.01655378575668</v>
      </c>
      <c r="CC91" s="62">
        <f t="shared" si="65"/>
        <v>768.34988711909</v>
      </c>
      <c r="CD91" s="62">
        <f ca="1">AVERAGE(OFFSET($CC$3,0,0,'Données projet'!$E$12+1,1))-AVERAGE(OFFSET($H$3,0,0,'Données projet'!$E$12+1,1))</f>
        <v>367.11183928586667</v>
      </c>
      <c r="CE91" s="62">
        <f t="shared" si="94"/>
        <v>281.52963027844595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-3.4106051316484809E-13</v>
      </c>
      <c r="CU91" s="18">
        <f>CT91*VLOOKUP('Données projet'!$B$13,Paramètres!$A$1:$I$89,3,0)*VLOOKUP('Données projet'!$B$13,Paramètres!$A$1:$I$89,5,0)</f>
        <v>-2.0395418687257919E-13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308.47522272937135</v>
      </c>
      <c r="CZ91" s="62">
        <f t="shared" si="96"/>
        <v>302.54354650449721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0.76906467143442692</v>
      </c>
      <c r="DH91" s="23">
        <f>EXP(-LN(2)/2)*DH90+(1-EXP(-LN(2)/2))/(LN(2)/2)*DB91*DE91*VLOOKUP('Données projet'!$B$13,Paramètres!$A$1:$I$89,3,0)*0.475*44/12</f>
        <v>3.2174626242547092E-8</v>
      </c>
      <c r="DI91" s="24">
        <f t="shared" si="69"/>
        <v>0.76906470360905321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-5.6843418860808015E-14</v>
      </c>
      <c r="DP91" s="18">
        <f>DO91*VLOOKUP('Données projet'!$B$14,Paramètres!$A$1:$I$89,3,0)*VLOOKUP('Données projet'!$B$14,Paramètres!$A$1:$I$89,5,0)</f>
        <v>-4.5224624045658861E-14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370.58277541710277</v>
      </c>
      <c r="DU91" s="62">
        <f t="shared" si="98"/>
        <v>404.61777090709171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>
        <f>EJ91*VLOOKUP('Données projet'!$B$15,Paramètres!$A$1:$I$89,3,0)*VLOOKUP('Données projet'!$B$15,Paramètres!$A$1:$I$89,5,0)</f>
        <v>0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240.22884864766218</v>
      </c>
      <c r="EP91" s="62">
        <f t="shared" si="100"/>
        <v>343.23776884143166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2.0618485445879013</v>
      </c>
      <c r="EX91" s="23">
        <f>EXP(-LN(2)/2)*EX90+(1-EXP(-LN(2)/2))/(LN(2)/2)*ER91*EU91*VLOOKUP('Données projet'!$B$15,Paramètres!$A$1:$I$89,3,0)*0.475*44/12</f>
        <v>3.0768699722377209E-8</v>
      </c>
      <c r="EY91" s="24">
        <f t="shared" si="75"/>
        <v>2.0618485753566009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17.8</v>
      </c>
      <c r="FE91" s="13">
        <f>IF('Données projet'!$A$218&gt;35,FE90+FD91-FM90,IF(A91&lt;'Données projet'!$A$218,$FB$205^A91,IF(A91='Données projet'!$A$218,'Données projet'!$B$218,FE90+FD91-FM90)))</f>
        <v>766.4</v>
      </c>
      <c r="FF91" s="18">
        <f>FE91*VLOOKUP('Données projet'!$B$16,Paramètres!$A$1:$I$89,3,0)*VLOOKUP('Données projet'!$B$16,Paramètres!$A$1:$I$89,5,0)</f>
        <v>358.67520000000002</v>
      </c>
      <c r="FG91" s="14">
        <f t="shared" si="101"/>
        <v>83.346271607947827</v>
      </c>
      <c r="FH91" s="22">
        <f t="shared" si="76"/>
        <v>769.85406305050913</v>
      </c>
      <c r="FI91" s="62">
        <f t="shared" si="77"/>
        <v>1063.1873963838425</v>
      </c>
      <c r="FJ91" s="62">
        <f ca="1">AVERAGE(OFFSET($FI$3,0,0,'Données projet'!$E$16+1,1))-AVERAGE(OFFSET($H$3,0,0,'Données projet'!$E$16+1,1))</f>
        <v>399.92909819003523</v>
      </c>
      <c r="FK91" s="62">
        <f t="shared" si="102"/>
        <v>163.7053537268381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-5.6843418860808015E-14</v>
      </c>
      <c r="GA91" s="18">
        <f>FZ91*VLOOKUP('Données projet'!$B$17,Paramètres!$A$1:$I$89,3,0)*VLOOKUP('Données projet'!$B$17,Paramètres!$A$1:$I$89,5,0)</f>
        <v>-4.1677594708744434E-14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344.4426665022238</v>
      </c>
      <c r="GF91" s="62">
        <f t="shared" si="104"/>
        <v>376.41441893222185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27</v>
      </c>
      <c r="GU91" s="13">
        <f>IF('Données projet'!$A$270&gt;35,GU90+GT91-HC90,IF(A91&lt;'Données projet'!$A$270,$GR$205^A91,IF(A91='Données projet'!$A$270,'Données projet'!$B$270,GU90+GT91-HC90)))</f>
        <v>891.00000000000023</v>
      </c>
      <c r="GV91" s="18">
        <f>GU91*VLOOKUP('Données projet'!$B$18,Paramètres!$A$1:$I$89,3,0)*VLOOKUP('Données projet'!$B$18,Paramètres!$A$1:$I$89,5,0)</f>
        <v>428.57100000000008</v>
      </c>
      <c r="GW91" s="14">
        <f t="shared" si="105"/>
        <v>97.545534692511779</v>
      </c>
      <c r="GX91" s="22">
        <f t="shared" si="82"/>
        <v>916.31963125612492</v>
      </c>
      <c r="GY91" s="62">
        <f t="shared" si="83"/>
        <v>1209.6529645894582</v>
      </c>
      <c r="GZ91" s="62">
        <f ca="1">AVERAGE(OFFSET($GY$3,0,0,'Données projet'!$E$18+1,1))-AVERAGE(OFFSET($H$3,0,0,'Données projet'!$E$18+1,1))</f>
        <v>441.17479680509746</v>
      </c>
      <c r="HA91" s="62">
        <f t="shared" si="106"/>
        <v>198.56576128410069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projet'!$B$9,Paramètres!$A$1:$I$89,3,0)*VLOOKUP('Données projet'!$B$9,Paramètres!$A$1:$I$89,5,0)</f>
        <v>-1.9065282685915009E-13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374.79806286316051</v>
      </c>
      <c r="T92" s="62">
        <f t="shared" si="88"/>
        <v>350.01856672839466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1.4373996506147089</v>
      </c>
      <c r="AB92" s="23">
        <f>EXP(-LN(2)/2)*AB91+(1-EXP(-LN(2)/2))/(LN(2)/2)*V92*Y92*VLOOKUP('Données projet'!$B$9,Paramètres!$A$1:$I$89,3,0)*0.475*44/12</f>
        <v>1.1830678207581129E-8</v>
      </c>
      <c r="AC92" s="24">
        <f t="shared" si="57"/>
        <v>1.4373996624453871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3.4</v>
      </c>
      <c r="AI92" s="14">
        <f>IF('Données projet'!$A$62&gt;35,AI91+AH92-AQ91,IF(A92&lt;'Données projet'!$A$62,$AF$205^A92,IF(A92='Données projet'!$A$62,'Données projet'!$B$62,AI91+AH92-AQ91)))</f>
        <v>280.59999999999985</v>
      </c>
      <c r="AJ92" s="14">
        <f>AI92*VLOOKUP('Données projet'!$B$10,Paramètres!$A$1:$I$89,3,0)*VLOOKUP('Données projet'!$B$10,Paramètres!$A$1:$I$89,5,0)</f>
        <v>245.13215999999991</v>
      </c>
      <c r="AK92" s="14">
        <f t="shared" si="89"/>
        <v>59.542376278413307</v>
      </c>
      <c r="AL92" s="22">
        <f t="shared" si="58"/>
        <v>530.64148401823638</v>
      </c>
      <c r="AM92" s="62">
        <f t="shared" si="59"/>
        <v>823.97481735156975</v>
      </c>
      <c r="AN92" s="62">
        <f ca="1">AVERAGE(OFFSET($AM$3,0,0,'Données projet'!$E$10+1,1))-AVERAGE(OFFSET($H$3,0,0,'Données projet'!$E$10+1,1))</f>
        <v>401.89597032936751</v>
      </c>
      <c r="AO92" s="62">
        <f t="shared" si="90"/>
        <v>417.85733543972361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5.2</v>
      </c>
      <c r="BD92" s="13">
        <f>IF('Données projet'!$A$88&gt;35,BD91+BC92-BL91,IF(A92&lt;'Données projet'!$A$88,$BA$205^A92,IF(A92='Données projet'!$A$88,'Données projet'!$B$88,BD91+BC92-BL91)))</f>
        <v>268.79999999999973</v>
      </c>
      <c r="BE92" s="14">
        <f>BD92*VLOOKUP('Données projet'!$B$11,Paramètres!$A$1:$I$89,3,0)*VLOOKUP('Données projet'!$B$11,Paramètres!$A$1:$I$89,5,0)</f>
        <v>243.21023999999974</v>
      </c>
      <c r="BF92" s="14">
        <f t="shared" si="91"/>
        <v>59.129694216846687</v>
      </c>
      <c r="BG92" s="22">
        <f t="shared" si="61"/>
        <v>526.57538542767418</v>
      </c>
      <c r="BH92" s="62">
        <f t="shared" si="62"/>
        <v>819.90871876100755</v>
      </c>
      <c r="BI92" s="62">
        <f ca="1">AVERAGE(OFFSET($BH$3,0,0,'Données projet'!$E$11+1,1))-AVERAGE(OFFSET($H$3,0,0,'Données projet'!$E$11+1,1))</f>
        <v>430.40491895612814</v>
      </c>
      <c r="BJ92" s="62">
        <f t="shared" si="92"/>
        <v>231.36959598460686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3.5897435897435912</v>
      </c>
      <c r="BY92" s="13">
        <f>IF('Données projet'!$A$114&gt;35,BY91+BX92-CG91,IF(A92&lt;'Données projet'!$A$114,$BV$205^A92,IF(A92='Données projet'!$A$114,'Données projet'!$B$114,BY91+BX92-CG91)))</f>
        <v>233.58974358974351</v>
      </c>
      <c r="BZ92" s="14">
        <f>BY92*VLOOKUP('Données projet'!$B$12,Paramètres!$A$1:$I$89,3,0)*VLOOKUP('Données projet'!$B$12,Paramètres!$A$1:$I$89,5,0)</f>
        <v>222.28399999999993</v>
      </c>
      <c r="CA92" s="14">
        <f t="shared" si="93"/>
        <v>54.611003042838703</v>
      </c>
      <c r="CB92" s="22">
        <f t="shared" si="64"/>
        <v>482.25879696627726</v>
      </c>
      <c r="CC92" s="62">
        <f t="shared" si="65"/>
        <v>775.59213029961052</v>
      </c>
      <c r="CD92" s="62">
        <f ca="1">AVERAGE(OFFSET($CC$3,0,0,'Données projet'!$E$12+1,1))-AVERAGE(OFFSET($H$3,0,0,'Données projet'!$E$12+1,1))</f>
        <v>367.11183928586667</v>
      </c>
      <c r="CE92" s="62">
        <f t="shared" si="94"/>
        <v>281.52963027844595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-3.4106051316484809E-13</v>
      </c>
      <c r="CU92" s="18">
        <f>CT92*VLOOKUP('Données projet'!$B$13,Paramètres!$A$1:$I$89,3,0)*VLOOKUP('Données projet'!$B$13,Paramètres!$A$1:$I$89,5,0)</f>
        <v>-2.0395418687257919E-13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308.47522272937135</v>
      </c>
      <c r="CZ92" s="62">
        <f t="shared" si="96"/>
        <v>302.54354650449721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0.74803455755069914</v>
      </c>
      <c r="DH92" s="23">
        <f>EXP(-LN(2)/2)*DH91+(1-EXP(-LN(2)/2))/(LN(2)/2)*DB92*DE92*VLOOKUP('Données projet'!$B$13,Paramètres!$A$1:$I$89,3,0)*0.475*44/12</f>
        <v>2.2750896398247697E-8</v>
      </c>
      <c r="DI92" s="24">
        <f t="shared" si="69"/>
        <v>0.74803458030159553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-5.6843418860808015E-14</v>
      </c>
      <c r="DP92" s="18">
        <f>DO92*VLOOKUP('Données projet'!$B$14,Paramètres!$A$1:$I$89,3,0)*VLOOKUP('Données projet'!$B$14,Paramètres!$A$1:$I$89,5,0)</f>
        <v>-4.5224624045658861E-14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370.58277541710277</v>
      </c>
      <c r="DU92" s="62">
        <f t="shared" si="98"/>
        <v>404.61777090709171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>
        <f>EJ92*VLOOKUP('Données projet'!$B$15,Paramètres!$A$1:$I$89,3,0)*VLOOKUP('Données projet'!$B$15,Paramètres!$A$1:$I$89,5,0)</f>
        <v>0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240.22884864766218</v>
      </c>
      <c r="EP92" s="62">
        <f t="shared" si="100"/>
        <v>343.23776884143166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2.0054671877082426</v>
      </c>
      <c r="EX92" s="23">
        <f>EXP(-LN(2)/2)*EX91+(1-EXP(-LN(2)/2))/(LN(2)/2)*ER92*EU92*VLOOKUP('Données projet'!$B$15,Paramètres!$A$1:$I$89,3,0)*0.475*44/12</f>
        <v>2.1756756221985567E-8</v>
      </c>
      <c r="EY92" s="24">
        <f t="shared" si="75"/>
        <v>2.005467209464999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17.8</v>
      </c>
      <c r="FE92" s="13">
        <f>IF('Données projet'!$A$218&gt;35,FE91+FD92-FM91,IF(A92&lt;'Données projet'!$A$218,$FB$205^A92,IF(A92='Données projet'!$A$218,'Données projet'!$B$218,FE91+FD92-FM91)))</f>
        <v>784.19999999999993</v>
      </c>
      <c r="FF92" s="18">
        <f>FE92*VLOOKUP('Données projet'!$B$16,Paramètres!$A$1:$I$89,3,0)*VLOOKUP('Données projet'!$B$16,Paramètres!$A$1:$I$89,5,0)</f>
        <v>367.00559999999996</v>
      </c>
      <c r="FG92" s="14">
        <f t="shared" si="101"/>
        <v>85.054413590443389</v>
      </c>
      <c r="FH92" s="22">
        <f t="shared" si="76"/>
        <v>787.33785700335545</v>
      </c>
      <c r="FI92" s="62">
        <f t="shared" si="77"/>
        <v>1080.6711903366888</v>
      </c>
      <c r="FJ92" s="62">
        <f ca="1">AVERAGE(OFFSET($FI$3,0,0,'Données projet'!$E$16+1,1))-AVERAGE(OFFSET($H$3,0,0,'Données projet'!$E$16+1,1))</f>
        <v>399.92909819003523</v>
      </c>
      <c r="FK92" s="62">
        <f t="shared" si="102"/>
        <v>163.7053537268381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-5.6843418860808015E-14</v>
      </c>
      <c r="GA92" s="18">
        <f>FZ92*VLOOKUP('Données projet'!$B$17,Paramètres!$A$1:$I$89,3,0)*VLOOKUP('Données projet'!$B$17,Paramètres!$A$1:$I$89,5,0)</f>
        <v>-4.1677594708744434E-14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344.4426665022238</v>
      </c>
      <c r="GF92" s="62">
        <f t="shared" si="104"/>
        <v>376.41441893222185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27</v>
      </c>
      <c r="GU92" s="13">
        <f>IF('Données projet'!$A$270&gt;35,GU91+GT92-HC91,IF(A92&lt;'Données projet'!$A$270,$GR$205^A92,IF(A92='Données projet'!$A$270,'Données projet'!$B$270,GU91+GT92-HC91)))</f>
        <v>918.00000000000023</v>
      </c>
      <c r="GV92" s="18">
        <f>GU92*VLOOKUP('Données projet'!$B$18,Paramètres!$A$1:$I$89,3,0)*VLOOKUP('Données projet'!$B$18,Paramètres!$A$1:$I$89,5,0)</f>
        <v>441.55800000000011</v>
      </c>
      <c r="GW92" s="14">
        <f t="shared" si="105"/>
        <v>100.15283504599337</v>
      </c>
      <c r="GX92" s="22">
        <f t="shared" si="82"/>
        <v>943.47970437177185</v>
      </c>
      <c r="GY92" s="62">
        <f t="shared" si="83"/>
        <v>1236.8130377051052</v>
      </c>
      <c r="GZ92" s="62">
        <f ca="1">AVERAGE(OFFSET($GY$3,0,0,'Données projet'!$E$18+1,1))-AVERAGE(OFFSET($H$3,0,0,'Données projet'!$E$18+1,1))</f>
        <v>441.17479680509746</v>
      </c>
      <c r="HA92" s="62">
        <f t="shared" si="106"/>
        <v>198.56576128410069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projet'!$B$9,Paramètres!$A$1:$I$89,3,0)*VLOOKUP('Données projet'!$B$9,Paramètres!$A$1:$I$89,5,0)</f>
        <v>-1.9065282685915009E-13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374.79806286316051</v>
      </c>
      <c r="T93" s="62">
        <f t="shared" si="88"/>
        <v>350.01856672839466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1.3980938815790873</v>
      </c>
      <c r="AB93" s="23">
        <f>EXP(-LN(2)/2)*AB92+(1-EXP(-LN(2)/2))/(LN(2)/2)*V93*Y93*VLOOKUP('Données projet'!$B$9,Paramètres!$A$1:$I$89,3,0)*0.475*44/12</f>
        <v>8.3655527866165254E-9</v>
      </c>
      <c r="AC93" s="24">
        <f t="shared" si="57"/>
        <v>1.39809388994464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284</v>
      </c>
      <c r="AG93" s="13">
        <f>VLOOKUP(A93,'Données projet'!$A$61:$I$81,9,0)</f>
        <v>3.4</v>
      </c>
      <c r="AH93" s="13">
        <f t="array" ref="AH93">INDEX(AG:AG,MIN(IF(ISNUMBER(AG93:AG289),ROW(AG93:AG289),"")))</f>
        <v>3.4</v>
      </c>
      <c r="AI93" s="14">
        <f>IF('Données projet'!$A$62&gt;35,AI92+AH93-AQ92,IF(A93&lt;'Données projet'!$A$62,$AF$205^A93,IF(A93='Données projet'!$A$62,'Données projet'!$B$62,AI92+AH93-AQ92)))</f>
        <v>283.99999999999983</v>
      </c>
      <c r="AJ93" s="14">
        <f>AI93*VLOOKUP('Données projet'!$B$10,Paramètres!$A$1:$I$89,3,0)*VLOOKUP('Données projet'!$B$10,Paramètres!$A$1:$I$89,5,0)</f>
        <v>248.10239999999988</v>
      </c>
      <c r="AK93" s="14">
        <f t="shared" si="89"/>
        <v>60.179418356999925</v>
      </c>
      <c r="AL93" s="22">
        <f t="shared" si="58"/>
        <v>536.92416697177464</v>
      </c>
      <c r="AM93" s="62">
        <f t="shared" si="59"/>
        <v>830.2575003051079</v>
      </c>
      <c r="AN93" s="62">
        <f ca="1">AVERAGE(OFFSET($AM$3,0,0,'Données projet'!$E$10+1,1))-AVERAGE(OFFSET($H$3,0,0,'Données projet'!$E$10+1,1))</f>
        <v>401.89597032936751</v>
      </c>
      <c r="AO93" s="62">
        <f t="shared" si="90"/>
        <v>417.85733543972361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30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5.2</v>
      </c>
      <c r="BD93" s="13">
        <f>IF('Données projet'!$A$88&gt;35,BD92+BC93-BL92,IF(A93&lt;'Données projet'!$A$88,$BA$205^A93,IF(A93='Données projet'!$A$88,'Données projet'!$B$88,BD92+BC93-BL92)))</f>
        <v>273.99999999999972</v>
      </c>
      <c r="BE93" s="14">
        <f>BD93*VLOOKUP('Données projet'!$B$11,Paramètres!$A$1:$I$89,3,0)*VLOOKUP('Données projet'!$B$11,Paramètres!$A$1:$I$89,5,0)</f>
        <v>247.91519999999971</v>
      </c>
      <c r="BF93" s="14">
        <f t="shared" si="91"/>
        <v>60.139294964297406</v>
      </c>
      <c r="BG93" s="22">
        <f t="shared" si="61"/>
        <v>536.52824539615074</v>
      </c>
      <c r="BH93" s="62">
        <f t="shared" si="62"/>
        <v>829.86157872948411</v>
      </c>
      <c r="BI93" s="62">
        <f ca="1">AVERAGE(OFFSET($BH$3,0,0,'Données projet'!$E$11+1,1))-AVERAGE(OFFSET($H$3,0,0,'Données projet'!$E$11+1,1))</f>
        <v>430.40491895612814</v>
      </c>
      <c r="BJ93" s="62">
        <f t="shared" si="92"/>
        <v>231.36959598460686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237.17948717948718</v>
      </c>
      <c r="BW93" s="13">
        <f>VLOOKUP(A93,'Données projet'!$A$113:$I$133,9,0)</f>
        <v>3.5897435897435912</v>
      </c>
      <c r="BX93" s="13">
        <f t="array" ref="BX93">INDEX(BW:BW,MIN(IF(ISNUMBER(BW93:BW289),ROW(BW93:BW289),"")))</f>
        <v>3.5897435897435912</v>
      </c>
      <c r="BY93" s="13">
        <f>IF('Données projet'!$A$114&gt;35,BY92+BX93-CG92,IF(A93&lt;'Données projet'!$A$114,$BV$205^A93,IF(A93='Données projet'!$A$114,'Données projet'!$B$114,BY92+BX93-CG92)))</f>
        <v>237.1794871794871</v>
      </c>
      <c r="BZ93" s="14">
        <f>BY93*VLOOKUP('Données projet'!$B$12,Paramètres!$A$1:$I$89,3,0)*VLOOKUP('Données projet'!$B$12,Paramètres!$A$1:$I$89,5,0)</f>
        <v>225.69999999999993</v>
      </c>
      <c r="CA93" s="14">
        <f t="shared" si="93"/>
        <v>55.351902227969966</v>
      </c>
      <c r="CB93" s="22">
        <f t="shared" si="64"/>
        <v>489.49872971371423</v>
      </c>
      <c r="CC93" s="62">
        <f t="shared" si="65"/>
        <v>782.83206304704754</v>
      </c>
      <c r="CD93" s="62">
        <f ca="1">AVERAGE(OFFSET($CC$3,0,0,'Données projet'!$E$12+1,1))-AVERAGE(OFFSET($H$3,0,0,'Données projet'!$E$12+1,1))</f>
        <v>367.11183928586667</v>
      </c>
      <c r="CE93" s="62">
        <f t="shared" si="94"/>
        <v>281.52963027844595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25.641025641025639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-3.4106051316484809E-13</v>
      </c>
      <c r="CU93" s="18">
        <f>CT93*VLOOKUP('Données projet'!$B$13,Paramètres!$A$1:$I$89,3,0)*VLOOKUP('Données projet'!$B$13,Paramètres!$A$1:$I$89,5,0)</f>
        <v>-2.0395418687257919E-13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308.47522272937135</v>
      </c>
      <c r="CZ93" s="62">
        <f t="shared" si="96"/>
        <v>302.54354650449721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0.7275795132370475</v>
      </c>
      <c r="DH93" s="23">
        <f>EXP(-LN(2)/2)*DH92+(1-EXP(-LN(2)/2))/(LN(2)/2)*DB93*DE93*VLOOKUP('Données projet'!$B$13,Paramètres!$A$1:$I$89,3,0)*0.475*44/12</f>
        <v>1.6087313121273546E-8</v>
      </c>
      <c r="DI93" s="24">
        <f t="shared" si="69"/>
        <v>0.72757952932436065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-5.6843418860808015E-14</v>
      </c>
      <c r="DP93" s="18">
        <f>DO93*VLOOKUP('Données projet'!$B$14,Paramètres!$A$1:$I$89,3,0)*VLOOKUP('Données projet'!$B$14,Paramètres!$A$1:$I$89,5,0)</f>
        <v>-4.5224624045658861E-14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370.58277541710277</v>
      </c>
      <c r="DU93" s="62">
        <f t="shared" si="98"/>
        <v>404.61777090709171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>
        <f>EJ93*VLOOKUP('Données projet'!$B$15,Paramètres!$A$1:$I$89,3,0)*VLOOKUP('Données projet'!$B$15,Paramètres!$A$1:$I$89,5,0)</f>
        <v>0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240.22884864766218</v>
      </c>
      <c r="EP93" s="62">
        <f t="shared" si="100"/>
        <v>343.23776884143166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1.9506275819974248</v>
      </c>
      <c r="EX93" s="23">
        <f>EXP(-LN(2)/2)*EX92+(1-EXP(-LN(2)/2))/(LN(2)/2)*ER93*EU93*VLOOKUP('Données projet'!$B$15,Paramètres!$A$1:$I$89,3,0)*0.475*44/12</f>
        <v>1.5384349861188604E-8</v>
      </c>
      <c r="EY93" s="24">
        <f t="shared" si="75"/>
        <v>1.9506275973817746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802</v>
      </c>
      <c r="FC93" s="13">
        <f>VLOOKUP(A93,'Données projet'!$A$217:$I$237,9,0)</f>
        <v>17.8</v>
      </c>
      <c r="FD93" s="13">
        <f t="array" ref="FD93">INDEX(FC:FC,MIN(IF(ISNUMBER(FC93:FC289),ROW(FC93:FC289),"")))</f>
        <v>17.8</v>
      </c>
      <c r="FE93" s="13">
        <f>IF('Données projet'!$A$218&gt;35,FE92+FD93-FM92,IF(A93&lt;'Données projet'!$A$218,$FB$205^A93,IF(A93='Données projet'!$A$218,'Données projet'!$B$218,FE92+FD93-FM92)))</f>
        <v>801.99999999999989</v>
      </c>
      <c r="FF93" s="18">
        <f>FE93*VLOOKUP('Données projet'!$B$16,Paramètres!$A$1:$I$89,3,0)*VLOOKUP('Données projet'!$B$16,Paramètres!$A$1:$I$89,5,0)</f>
        <v>375.33599999999996</v>
      </c>
      <c r="FG93" s="14">
        <f t="shared" si="101"/>
        <v>86.75804807087205</v>
      </c>
      <c r="FH93" s="22">
        <f t="shared" si="76"/>
        <v>804.81380039010207</v>
      </c>
      <c r="FI93" s="62">
        <f t="shared" si="77"/>
        <v>1098.1471337234354</v>
      </c>
      <c r="FJ93" s="62">
        <f ca="1">AVERAGE(OFFSET($FI$3,0,0,'Données projet'!$E$16+1,1))-AVERAGE(OFFSET($H$3,0,0,'Données projet'!$E$16+1,1))</f>
        <v>399.92909819003523</v>
      </c>
      <c r="FK93" s="62">
        <f t="shared" si="102"/>
        <v>163.7053537268381</v>
      </c>
      <c r="FL93" s="16">
        <f>IF(ISNA(VLOOKUP(A93,'Données projet'!$A$217:$I$237,3,0)),0,VLOOKUP(A93,'Données projet'!$A$217:$I$237,3,0))</f>
        <v>6</v>
      </c>
      <c r="FM93" s="16">
        <f>IF(ISNA(VLOOKUP(A93,'Données projet'!$A$217:$I$237,4,0)),0,VLOOKUP(A93,'Données projet'!$A$217:$I$237,4,0))</f>
        <v>97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-5.6843418860808015E-14</v>
      </c>
      <c r="GA93" s="18">
        <f>FZ93*VLOOKUP('Données projet'!$B$17,Paramètres!$A$1:$I$89,3,0)*VLOOKUP('Données projet'!$B$17,Paramètres!$A$1:$I$89,5,0)</f>
        <v>-4.1677594708744434E-14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344.4426665022238</v>
      </c>
      <c r="GF93" s="62">
        <f t="shared" si="104"/>
        <v>376.41441893222185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945</v>
      </c>
      <c r="GS93" s="13">
        <f>VLOOKUP(A93,'Données projet'!$A$269:$I$289,9,0)</f>
        <v>27</v>
      </c>
      <c r="GT93" s="13">
        <f t="array" ref="GT93">INDEX(GS:GS,MIN(IF(ISNUMBER(GS93:GS289),ROW(GS93:GS289),"")))</f>
        <v>27</v>
      </c>
      <c r="GU93" s="13">
        <f>IF('Données projet'!$A$270&gt;35,GU92+GT93-HC92,IF(A93&lt;'Données projet'!$A$270,$GR$205^A93,IF(A93='Données projet'!$A$270,'Données projet'!$B$270,GU92+GT93-HC92)))</f>
        <v>945.00000000000023</v>
      </c>
      <c r="GV93" s="18">
        <f>GU93*VLOOKUP('Données projet'!$B$18,Paramètres!$A$1:$I$89,3,0)*VLOOKUP('Données projet'!$B$18,Paramètres!$A$1:$I$89,5,0)</f>
        <v>454.54500000000013</v>
      </c>
      <c r="GW93" s="14">
        <f t="shared" si="105"/>
        <v>102.75122313443957</v>
      </c>
      <c r="GX93" s="22">
        <f t="shared" si="82"/>
        <v>970.62425529248264</v>
      </c>
      <c r="GY93" s="62">
        <f t="shared" si="83"/>
        <v>1263.957588625816</v>
      </c>
      <c r="GZ93" s="62">
        <f ca="1">AVERAGE(OFFSET($GY$3,0,0,'Données projet'!$E$18+1,1))-AVERAGE(OFFSET($H$3,0,0,'Données projet'!$E$18+1,1))</f>
        <v>441.17479680509746</v>
      </c>
      <c r="HA93" s="62">
        <f t="shared" si="106"/>
        <v>198.56576128410069</v>
      </c>
      <c r="HB93" s="16">
        <f>IF(ISNA(VLOOKUP(A93,'Données projet'!$A$269:$I$289,3,0)),0,VLOOKUP(A93,'Données projet'!$A$269:$I$289,3,0))</f>
        <v>6</v>
      </c>
      <c r="HC93" s="16">
        <f>IF(ISNA(VLOOKUP(A93,'Données projet'!$A$269:$I$289,4,0)),0,VLOOKUP(A93,'Données projet'!$A$269:$I$289,4,0))</f>
        <v>34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projet'!$B$9,Paramètres!$A$1:$I$89,3,0)*VLOOKUP('Données projet'!$B$9,Paramètres!$A$1:$I$89,5,0)</f>
        <v>-1.9065282685915009E-13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374.79806286316051</v>
      </c>
      <c r="T94" s="62">
        <f t="shared" si="88"/>
        <v>350.01856672839466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1.3598629308647454</v>
      </c>
      <c r="AB94" s="23">
        <f>EXP(-LN(2)/2)*AB93+(1-EXP(-LN(2)/2))/(LN(2)/2)*V94*Y94*VLOOKUP('Données projet'!$B$9,Paramètres!$A$1:$I$89,3,0)*0.475*44/12</f>
        <v>5.9153391037905643E-9</v>
      </c>
      <c r="AC94" s="24">
        <f t="shared" si="57"/>
        <v>1.3598629367800845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3.2</v>
      </c>
      <c r="AI94" s="14">
        <f>IF('Données projet'!$A$62&gt;35,AI93+AH94-AQ93,IF(A94&lt;'Données projet'!$A$62,$AF$205^A94,IF(A94='Données projet'!$A$62,'Données projet'!$B$62,AI93+AH94-AQ93)))</f>
        <v>257.19999999999982</v>
      </c>
      <c r="AJ94" s="14">
        <f>AI94*VLOOKUP('Données projet'!$B$10,Paramètres!$A$1:$I$89,3,0)*VLOOKUP('Données projet'!$B$10,Paramètres!$A$1:$I$89,5,0)</f>
        <v>224.68991999999989</v>
      </c>
      <c r="AK94" s="14">
        <f t="shared" si="89"/>
        <v>55.132961900876182</v>
      </c>
      <c r="AL94" s="22">
        <f t="shared" si="58"/>
        <v>487.35818597735914</v>
      </c>
      <c r="AM94" s="62">
        <f t="shared" si="59"/>
        <v>780.69151931069246</v>
      </c>
      <c r="AN94" s="62">
        <f ca="1">AVERAGE(OFFSET($AM$3,0,0,'Données projet'!$E$10+1,1))-AVERAGE(OFFSET($H$3,0,0,'Données projet'!$E$10+1,1))</f>
        <v>401.89597032936751</v>
      </c>
      <c r="AO94" s="62">
        <f t="shared" si="90"/>
        <v>417.85733543972361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5.2</v>
      </c>
      <c r="BD94" s="13">
        <f>IF('Données projet'!$A$88&gt;35,BD93+BC94-BL93,IF(A94&lt;'Données projet'!$A$88,$BA$205^A94,IF(A94='Données projet'!$A$88,'Données projet'!$B$88,BD93+BC94-BL93)))</f>
        <v>279.1999999999997</v>
      </c>
      <c r="BE94" s="14">
        <f>BD94*VLOOKUP('Données projet'!$B$11,Paramètres!$A$1:$I$89,3,0)*VLOOKUP('Données projet'!$B$11,Paramètres!$A$1:$I$89,5,0)</f>
        <v>252.62015999999971</v>
      </c>
      <c r="BF94" s="14">
        <f t="shared" si="91"/>
        <v>61.146667772298713</v>
      </c>
      <c r="BG94" s="22">
        <f t="shared" si="61"/>
        <v>546.477225036753</v>
      </c>
      <c r="BH94" s="62">
        <f t="shared" si="62"/>
        <v>839.81055837008626</v>
      </c>
      <c r="BI94" s="62">
        <f ca="1">AVERAGE(OFFSET($BH$3,0,0,'Données projet'!$E$11+1,1))-AVERAGE(OFFSET($H$3,0,0,'Données projet'!$E$11+1,1))</f>
        <v>430.40491895612814</v>
      </c>
      <c r="BJ94" s="62">
        <f t="shared" si="92"/>
        <v>231.36959598460686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3.5897435897435854</v>
      </c>
      <c r="BY94" s="13">
        <f>IF('Données projet'!$A$114&gt;35,BY93+BX94-CG93,IF(A94&lt;'Données projet'!$A$114,$BV$205^A94,IF(A94='Données projet'!$A$114,'Données projet'!$B$114,BY93+BX94-CG93)))</f>
        <v>215.12820512820505</v>
      </c>
      <c r="BZ94" s="14">
        <f>BY94*VLOOKUP('Données projet'!$B$12,Paramètres!$A$1:$I$89,3,0)*VLOOKUP('Données projet'!$B$12,Paramètres!$A$1:$I$89,5,0)</f>
        <v>204.71599999999992</v>
      </c>
      <c r="CA94" s="14">
        <f t="shared" si="93"/>
        <v>50.779191757337983</v>
      </c>
      <c r="CB94" s="22">
        <f t="shared" si="64"/>
        <v>444.98745897736353</v>
      </c>
      <c r="CC94" s="62">
        <f t="shared" si="65"/>
        <v>738.32079231069679</v>
      </c>
      <c r="CD94" s="62">
        <f ca="1">AVERAGE(OFFSET($CC$3,0,0,'Données projet'!$E$12+1,1))-AVERAGE(OFFSET($H$3,0,0,'Données projet'!$E$12+1,1))</f>
        <v>367.11183928586667</v>
      </c>
      <c r="CE94" s="62">
        <f t="shared" si="94"/>
        <v>281.52963027844595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-3.4106051316484809E-13</v>
      </c>
      <c r="CU94" s="18">
        <f>CT94*VLOOKUP('Données projet'!$B$13,Paramètres!$A$1:$I$89,3,0)*VLOOKUP('Données projet'!$B$13,Paramètres!$A$1:$I$89,5,0)</f>
        <v>-2.0395418687257919E-13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308.47522272937135</v>
      </c>
      <c r="CZ94" s="62">
        <f t="shared" si="96"/>
        <v>302.54354650449721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0.70768381318583673</v>
      </c>
      <c r="DH94" s="23">
        <f>EXP(-LN(2)/2)*DH93+(1-EXP(-LN(2)/2))/(LN(2)/2)*DB94*DE94*VLOOKUP('Données projet'!$B$13,Paramètres!$A$1:$I$89,3,0)*0.475*44/12</f>
        <v>1.1375448199123849E-8</v>
      </c>
      <c r="DI94" s="24">
        <f t="shared" si="69"/>
        <v>0.70768382456128498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-5.6843418860808015E-14</v>
      </c>
      <c r="DP94" s="18">
        <f>DO94*VLOOKUP('Données projet'!$B$14,Paramètres!$A$1:$I$89,3,0)*VLOOKUP('Données projet'!$B$14,Paramètres!$A$1:$I$89,5,0)</f>
        <v>-4.5224624045658861E-14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370.58277541710277</v>
      </c>
      <c r="DU94" s="62">
        <f t="shared" si="98"/>
        <v>404.61777090709171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>
        <f>EJ94*VLOOKUP('Données projet'!$B$15,Paramètres!$A$1:$I$89,3,0)*VLOOKUP('Données projet'!$B$15,Paramètres!$A$1:$I$89,5,0)</f>
        <v>0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240.22884864766218</v>
      </c>
      <c r="EP94" s="62">
        <f t="shared" si="100"/>
        <v>343.23776884143166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1.897287568188659</v>
      </c>
      <c r="EX94" s="23">
        <f>EXP(-LN(2)/2)*EX93+(1-EXP(-LN(2)/2))/(LN(2)/2)*ER94*EU94*VLOOKUP('Données projet'!$B$15,Paramètres!$A$1:$I$89,3,0)*0.475*44/12</f>
        <v>1.0878378110992783E-8</v>
      </c>
      <c r="EY94" s="24">
        <f t="shared" si="75"/>
        <v>1.8972875790670372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15</v>
      </c>
      <c r="FE94" s="13">
        <f>IF('Données projet'!$A$218&gt;35,FE93+FD94-FM93,IF(A94&lt;'Données projet'!$A$218,$FB$205^A94,IF(A94='Données projet'!$A$218,'Données projet'!$B$218,FE93+FD94-FM93)))</f>
        <v>719.99999999999989</v>
      </c>
      <c r="FF94" s="18">
        <f>FE94*VLOOKUP('Données projet'!$B$16,Paramètres!$A$1:$I$89,3,0)*VLOOKUP('Données projet'!$B$16,Paramètres!$A$1:$I$89,5,0)</f>
        <v>336.95999999999992</v>
      </c>
      <c r="FG94" s="14">
        <f t="shared" si="101"/>
        <v>78.871535242083567</v>
      </c>
      <c r="FH94" s="22">
        <f t="shared" si="76"/>
        <v>724.23992387996202</v>
      </c>
      <c r="FI94" s="62">
        <f t="shared" si="77"/>
        <v>1017.5732572132954</v>
      </c>
      <c r="FJ94" s="62">
        <f ca="1">AVERAGE(OFFSET($FI$3,0,0,'Données projet'!$E$16+1,1))-AVERAGE(OFFSET($H$3,0,0,'Données projet'!$E$16+1,1))</f>
        <v>399.92909819003523</v>
      </c>
      <c r="FK94" s="62">
        <f t="shared" si="102"/>
        <v>163.7053537268381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-5.6843418860808015E-14</v>
      </c>
      <c r="GA94" s="18">
        <f>FZ94*VLOOKUP('Données projet'!$B$17,Paramètres!$A$1:$I$89,3,0)*VLOOKUP('Données projet'!$B$17,Paramètres!$A$1:$I$89,5,0)</f>
        <v>-4.1677594708744434E-14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344.4426665022238</v>
      </c>
      <c r="GF94" s="62">
        <f t="shared" si="104"/>
        <v>376.41441893222185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34.200000000000003</v>
      </c>
      <c r="GU94" s="13">
        <f>IF('Données projet'!$A$270&gt;35,GU93+GT94-HC93,IF(A94&lt;'Données projet'!$A$270,$GR$205^A94,IF(A94='Données projet'!$A$270,'Données projet'!$B$270,GU93+GT94-HC93)))</f>
        <v>945.20000000000027</v>
      </c>
      <c r="GV94" s="18">
        <f>GU94*VLOOKUP('Données projet'!$B$18,Paramètres!$A$1:$I$89,3,0)*VLOOKUP('Données projet'!$B$18,Paramètres!$A$1:$I$89,5,0)</f>
        <v>454.64120000000014</v>
      </c>
      <c r="GW94" s="14">
        <f t="shared" si="105"/>
        <v>102.77043792016133</v>
      </c>
      <c r="GX94" s="22">
        <f t="shared" si="82"/>
        <v>970.82526937761452</v>
      </c>
      <c r="GY94" s="62">
        <f t="shared" si="83"/>
        <v>1264.1586027109479</v>
      </c>
      <c r="GZ94" s="62">
        <f ca="1">AVERAGE(OFFSET($GY$3,0,0,'Données projet'!$E$18+1,1))-AVERAGE(OFFSET($H$3,0,0,'Données projet'!$E$18+1,1))</f>
        <v>441.17479680509746</v>
      </c>
      <c r="HA94" s="62">
        <f t="shared" si="106"/>
        <v>198.56576128410069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projet'!$B$9,Paramètres!$A$1:$I$89,3,0)*VLOOKUP('Données projet'!$B$9,Paramètres!$A$1:$I$89,5,0)</f>
        <v>-1.9065282685915009E-13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374.79806286316051</v>
      </c>
      <c r="T95" s="62">
        <f t="shared" si="88"/>
        <v>350.01856672839466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1.3226774075081653</v>
      </c>
      <c r="AB95" s="23">
        <f>EXP(-LN(2)/2)*AB94+(1-EXP(-LN(2)/2))/(LN(2)/2)*V95*Y95*VLOOKUP('Données projet'!$B$9,Paramètres!$A$1:$I$89,3,0)*0.475*44/12</f>
        <v>4.1827763933082627E-9</v>
      </c>
      <c r="AC95" s="24">
        <f t="shared" si="57"/>
        <v>1.3226774116909417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3.2</v>
      </c>
      <c r="AI95" s="14">
        <f>IF('Données projet'!$A$62&gt;35,AI94+AH95-AQ94,IF(A95&lt;'Données projet'!$A$62,$AF$205^A95,IF(A95='Données projet'!$A$62,'Données projet'!$B$62,AI94+AH95-AQ94)))</f>
        <v>260.39999999999981</v>
      </c>
      <c r="AJ95" s="14">
        <f>AI95*VLOOKUP('Données projet'!$B$10,Paramètres!$A$1:$I$89,3,0)*VLOOKUP('Données projet'!$B$10,Paramètres!$A$1:$I$89,5,0)</f>
        <v>227.48543999999984</v>
      </c>
      <c r="AK95" s="14">
        <f t="shared" si="89"/>
        <v>55.738627496252327</v>
      </c>
      <c r="AL95" s="22">
        <f t="shared" si="58"/>
        <v>493.28191755597254</v>
      </c>
      <c r="AM95" s="62">
        <f t="shared" si="59"/>
        <v>786.6152508893058</v>
      </c>
      <c r="AN95" s="62">
        <f ca="1">AVERAGE(OFFSET($AM$3,0,0,'Données projet'!$E$10+1,1))-AVERAGE(OFFSET($H$3,0,0,'Données projet'!$E$10+1,1))</f>
        <v>401.89597032936751</v>
      </c>
      <c r="AO95" s="62">
        <f t="shared" si="90"/>
        <v>417.85733543972361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5.2</v>
      </c>
      <c r="BD95" s="13">
        <f>IF('Données projet'!$A$88&gt;35,BD94+BC95-BL94,IF(A95&lt;'Données projet'!$A$88,$BA$205^A95,IF(A95='Données projet'!$A$88,'Données projet'!$B$88,BD94+BC95-BL94)))</f>
        <v>284.39999999999969</v>
      </c>
      <c r="BE95" s="14">
        <f>BD95*VLOOKUP('Données projet'!$B$11,Paramètres!$A$1:$I$89,3,0)*VLOOKUP('Données projet'!$B$11,Paramètres!$A$1:$I$89,5,0)</f>
        <v>257.32511999999969</v>
      </c>
      <c r="BF95" s="14">
        <f t="shared" si="91"/>
        <v>62.151858920612597</v>
      </c>
      <c r="BG95" s="22">
        <f t="shared" si="61"/>
        <v>556.42240495339968</v>
      </c>
      <c r="BH95" s="62">
        <f t="shared" si="62"/>
        <v>849.75573828673305</v>
      </c>
      <c r="BI95" s="62">
        <f ca="1">AVERAGE(OFFSET($BH$3,0,0,'Données projet'!$E$11+1,1))-AVERAGE(OFFSET($H$3,0,0,'Données projet'!$E$11+1,1))</f>
        <v>430.40491895612814</v>
      </c>
      <c r="BJ95" s="62">
        <f t="shared" si="92"/>
        <v>231.36959598460686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3.5897435897435854</v>
      </c>
      <c r="BY95" s="13">
        <f>IF('Données projet'!$A$114&gt;35,BY94+BX95-CG94,IF(A95&lt;'Données projet'!$A$114,$BV$205^A95,IF(A95='Données projet'!$A$114,'Données projet'!$B$114,BY94+BX95-CG94)))</f>
        <v>218.71794871794864</v>
      </c>
      <c r="BZ95" s="14">
        <f>BY95*VLOOKUP('Données projet'!$B$12,Paramètres!$A$1:$I$89,3,0)*VLOOKUP('Données projet'!$B$12,Paramètres!$A$1:$I$89,5,0)</f>
        <v>208.13199999999992</v>
      </c>
      <c r="CA95" s="14">
        <f t="shared" si="93"/>
        <v>51.527168668357106</v>
      </c>
      <c r="CB95" s="22">
        <f t="shared" si="64"/>
        <v>452.23971876405511</v>
      </c>
      <c r="CC95" s="62">
        <f t="shared" si="65"/>
        <v>745.57305209738843</v>
      </c>
      <c r="CD95" s="62">
        <f ca="1">AVERAGE(OFFSET($CC$3,0,0,'Données projet'!$E$12+1,1))-AVERAGE(OFFSET($H$3,0,0,'Données projet'!$E$12+1,1))</f>
        <v>367.11183928586667</v>
      </c>
      <c r="CE95" s="62">
        <f t="shared" si="94"/>
        <v>281.52963027844595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-3.4106051316484809E-13</v>
      </c>
      <c r="CU95" s="18">
        <f>CT95*VLOOKUP('Données projet'!$B$13,Paramètres!$A$1:$I$89,3,0)*VLOOKUP('Données projet'!$B$13,Paramètres!$A$1:$I$89,5,0)</f>
        <v>-2.0395418687257919E-13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308.47522272937135</v>
      </c>
      <c r="CZ95" s="62">
        <f t="shared" si="96"/>
        <v>302.54354650449721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0.68833216209879577</v>
      </c>
      <c r="DH95" s="23">
        <f>EXP(-LN(2)/2)*DH94+(1-EXP(-LN(2)/2))/(LN(2)/2)*DB95*DE95*VLOOKUP('Données projet'!$B$13,Paramètres!$A$1:$I$89,3,0)*0.475*44/12</f>
        <v>8.043656560636773E-9</v>
      </c>
      <c r="DI95" s="24">
        <f t="shared" si="69"/>
        <v>0.68833217014245229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-5.6843418860808015E-14</v>
      </c>
      <c r="DP95" s="18">
        <f>DO95*VLOOKUP('Données projet'!$B$14,Paramètres!$A$1:$I$89,3,0)*VLOOKUP('Données projet'!$B$14,Paramètres!$A$1:$I$89,5,0)</f>
        <v>-4.5224624045658861E-14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370.58277541710277</v>
      </c>
      <c r="DU95" s="62">
        <f t="shared" si="98"/>
        <v>404.61777090709171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>
        <f>EJ95*VLOOKUP('Données projet'!$B$15,Paramètres!$A$1:$I$89,3,0)*VLOOKUP('Données projet'!$B$15,Paramètres!$A$1:$I$89,5,0)</f>
        <v>0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240.22884864766218</v>
      </c>
      <c r="EP95" s="62">
        <f t="shared" si="100"/>
        <v>343.23776884143166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1.8454061398625232</v>
      </c>
      <c r="EX95" s="23">
        <f>EXP(-LN(2)/2)*EX94+(1-EXP(-LN(2)/2))/(LN(2)/2)*ER95*EU95*VLOOKUP('Données projet'!$B$15,Paramètres!$A$1:$I$89,3,0)*0.475*44/12</f>
        <v>7.6921749305943021E-9</v>
      </c>
      <c r="EY95" s="24">
        <f t="shared" si="75"/>
        <v>1.8454061475546981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15</v>
      </c>
      <c r="FE95" s="13">
        <f>IF('Données projet'!$A$218&gt;35,FE94+FD95-FM94,IF(A95&lt;'Données projet'!$A$218,$FB$205^A95,IF(A95='Données projet'!$A$218,'Données projet'!$B$218,FE94+FD95-FM94)))</f>
        <v>734.99999999999989</v>
      </c>
      <c r="FF95" s="18">
        <f>FE95*VLOOKUP('Données projet'!$B$16,Paramètres!$A$1:$I$89,3,0)*VLOOKUP('Données projet'!$B$16,Paramètres!$A$1:$I$89,5,0)</f>
        <v>343.97999999999996</v>
      </c>
      <c r="FG95" s="14">
        <f t="shared" si="101"/>
        <v>80.321681832084693</v>
      </c>
      <c r="FH95" s="22">
        <f t="shared" si="76"/>
        <v>738.9920958575475</v>
      </c>
      <c r="FI95" s="62">
        <f t="shared" si="77"/>
        <v>1032.3254291908809</v>
      </c>
      <c r="FJ95" s="62">
        <f ca="1">AVERAGE(OFFSET($FI$3,0,0,'Données projet'!$E$16+1,1))-AVERAGE(OFFSET($H$3,0,0,'Données projet'!$E$16+1,1))</f>
        <v>399.92909819003523</v>
      </c>
      <c r="FK95" s="62">
        <f t="shared" si="102"/>
        <v>163.7053537268381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-5.6843418860808015E-14</v>
      </c>
      <c r="GA95" s="18">
        <f>FZ95*VLOOKUP('Données projet'!$B$17,Paramètres!$A$1:$I$89,3,0)*VLOOKUP('Données projet'!$B$17,Paramètres!$A$1:$I$89,5,0)</f>
        <v>-4.1677594708744434E-14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344.4426665022238</v>
      </c>
      <c r="GF95" s="62">
        <f t="shared" si="104"/>
        <v>376.41441893222185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34.200000000000003</v>
      </c>
      <c r="GU95" s="13">
        <f>IF('Données projet'!$A$270&gt;35,GU94+GT95-HC94,IF(A95&lt;'Données projet'!$A$270,$GR$205^A95,IF(A95='Données projet'!$A$270,'Données projet'!$B$270,GU94+GT95-HC94)))</f>
        <v>979.40000000000032</v>
      </c>
      <c r="GV95" s="18">
        <f>GU95*VLOOKUP('Données projet'!$B$18,Paramètres!$A$1:$I$89,3,0)*VLOOKUP('Données projet'!$B$18,Paramètres!$A$1:$I$89,5,0)</f>
        <v>471.09140000000014</v>
      </c>
      <c r="GW95" s="14">
        <f t="shared" si="105"/>
        <v>106.04929810016823</v>
      </c>
      <c r="GX95" s="22">
        <f t="shared" si="82"/>
        <v>1005.1867158577934</v>
      </c>
      <c r="GY95" s="62">
        <f t="shared" si="83"/>
        <v>1298.5200491911266</v>
      </c>
      <c r="GZ95" s="62">
        <f ca="1">AVERAGE(OFFSET($GY$3,0,0,'Données projet'!$E$18+1,1))-AVERAGE(OFFSET($H$3,0,0,'Données projet'!$E$18+1,1))</f>
        <v>441.17479680509746</v>
      </c>
      <c r="HA95" s="62">
        <f t="shared" si="106"/>
        <v>198.56576128410069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projet'!$B$9,Paramètres!$A$1:$I$89,3,0)*VLOOKUP('Données projet'!$B$9,Paramètres!$A$1:$I$89,5,0)</f>
        <v>-1.9065282685915009E-13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374.79806286316051</v>
      </c>
      <c r="T96" s="62">
        <f t="shared" si="88"/>
        <v>350.01856672839466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1.2865087242432727</v>
      </c>
      <c r="AB96" s="23">
        <f>EXP(-LN(2)/2)*AB95+(1-EXP(-LN(2)/2))/(LN(2)/2)*V96*Y96*VLOOKUP('Données projet'!$B$9,Paramètres!$A$1:$I$89,3,0)*0.475*44/12</f>
        <v>2.9576695518952822E-9</v>
      </c>
      <c r="AC96" s="24">
        <f t="shared" si="57"/>
        <v>1.2865087272009421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3.2</v>
      </c>
      <c r="AI96" s="14">
        <f>IF('Données projet'!$A$62&gt;35,AI95+AH96-AQ95,IF(A96&lt;'Données projet'!$A$62,$AF$205^A96,IF(A96='Données projet'!$A$62,'Données projet'!$B$62,AI95+AH96-AQ95)))</f>
        <v>263.5999999999998</v>
      </c>
      <c r="AJ96" s="14">
        <f>AI96*VLOOKUP('Données projet'!$B$10,Paramètres!$A$1:$I$89,3,0)*VLOOKUP('Données projet'!$B$10,Paramètres!$A$1:$I$89,5,0)</f>
        <v>230.28095999999985</v>
      </c>
      <c r="AK96" s="14">
        <f t="shared" si="89"/>
        <v>56.343427334913351</v>
      </c>
      <c r="AL96" s="22">
        <f t="shared" si="58"/>
        <v>499.20414127497378</v>
      </c>
      <c r="AM96" s="62">
        <f t="shared" si="59"/>
        <v>792.53747460830709</v>
      </c>
      <c r="AN96" s="62">
        <f ca="1">AVERAGE(OFFSET($AM$3,0,0,'Données projet'!$E$10+1,1))-AVERAGE(OFFSET($H$3,0,0,'Données projet'!$E$10+1,1))</f>
        <v>401.89597032936751</v>
      </c>
      <c r="AO96" s="62">
        <f t="shared" si="90"/>
        <v>417.85733543972361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5.2</v>
      </c>
      <c r="BD96" s="13">
        <f>IF('Données projet'!$A$88&gt;35,BD95+BC96-BL95,IF(A96&lt;'Données projet'!$A$88,$BA$205^A96,IF(A96='Données projet'!$A$88,'Données projet'!$B$88,BD95+BC96-BL95)))</f>
        <v>289.59999999999968</v>
      </c>
      <c r="BE96" s="14">
        <f>BD96*VLOOKUP('Données projet'!$B$11,Paramètres!$A$1:$I$89,3,0)*VLOOKUP('Données projet'!$B$11,Paramètres!$A$1:$I$89,5,0)</f>
        <v>262.03007999999966</v>
      </c>
      <c r="BF96" s="14">
        <f t="shared" si="91"/>
        <v>63.154912899742527</v>
      </c>
      <c r="BG96" s="22">
        <f t="shared" si="61"/>
        <v>566.36386263371753</v>
      </c>
      <c r="BH96" s="62">
        <f t="shared" si="62"/>
        <v>859.6971959670509</v>
      </c>
      <c r="BI96" s="62">
        <f ca="1">AVERAGE(OFFSET($BH$3,0,0,'Données projet'!$E$11+1,1))-AVERAGE(OFFSET($H$3,0,0,'Données projet'!$E$11+1,1))</f>
        <v>430.40491895612814</v>
      </c>
      <c r="BJ96" s="62">
        <f t="shared" si="92"/>
        <v>231.36959598460686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3.5897435897435854</v>
      </c>
      <c r="BY96" s="13">
        <f>IF('Données projet'!$A$114&gt;35,BY95+BX96-CG95,IF(A96&lt;'Données projet'!$A$114,$BV$205^A96,IF(A96='Données projet'!$A$114,'Données projet'!$B$114,BY95+BX96-CG95)))</f>
        <v>222.30769230769224</v>
      </c>
      <c r="BZ96" s="14">
        <f>BY96*VLOOKUP('Données projet'!$B$12,Paramètres!$A$1:$I$89,3,0)*VLOOKUP('Données projet'!$B$12,Paramètres!$A$1:$I$89,5,0)</f>
        <v>211.54799999999992</v>
      </c>
      <c r="CA96" s="14">
        <f t="shared" si="93"/>
        <v>52.273717915363171</v>
      </c>
      <c r="CB96" s="22">
        <f t="shared" si="64"/>
        <v>459.489492035924</v>
      </c>
      <c r="CC96" s="62">
        <f t="shared" si="65"/>
        <v>752.82282536925732</v>
      </c>
      <c r="CD96" s="62">
        <f ca="1">AVERAGE(OFFSET($CC$3,0,0,'Données projet'!$E$12+1,1))-AVERAGE(OFFSET($H$3,0,0,'Données projet'!$E$12+1,1))</f>
        <v>367.11183928586667</v>
      </c>
      <c r="CE96" s="62">
        <f t="shared" si="94"/>
        <v>281.52963027844595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-3.4106051316484809E-13</v>
      </c>
      <c r="CU96" s="18">
        <f>CT96*VLOOKUP('Données projet'!$B$13,Paramètres!$A$1:$I$89,3,0)*VLOOKUP('Données projet'!$B$13,Paramètres!$A$1:$I$89,5,0)</f>
        <v>-2.0395418687257919E-13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308.47522272937135</v>
      </c>
      <c r="CZ96" s="62">
        <f t="shared" si="96"/>
        <v>302.54354650449721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0.66950968292838897</v>
      </c>
      <c r="DH96" s="23">
        <f>EXP(-LN(2)/2)*DH95+(1-EXP(-LN(2)/2))/(LN(2)/2)*DB96*DE96*VLOOKUP('Données projet'!$B$13,Paramètres!$A$1:$I$89,3,0)*0.475*44/12</f>
        <v>5.6877240995619243E-9</v>
      </c>
      <c r="DI96" s="24">
        <f t="shared" si="69"/>
        <v>0.66950968861611304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-5.6843418860808015E-14</v>
      </c>
      <c r="DP96" s="18">
        <f>DO96*VLOOKUP('Données projet'!$B$14,Paramètres!$A$1:$I$89,3,0)*VLOOKUP('Données projet'!$B$14,Paramètres!$A$1:$I$89,5,0)</f>
        <v>-4.5224624045658861E-14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370.58277541710277</v>
      </c>
      <c r="DU96" s="62">
        <f t="shared" si="98"/>
        <v>404.61777090709171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>
        <f>EJ96*VLOOKUP('Données projet'!$B$15,Paramètres!$A$1:$I$89,3,0)*VLOOKUP('Données projet'!$B$15,Paramètres!$A$1:$I$89,5,0)</f>
        <v>0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240.22884864766218</v>
      </c>
      <c r="EP96" s="62">
        <f t="shared" si="100"/>
        <v>343.23776884143166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1.7949434119222913</v>
      </c>
      <c r="EX96" s="23">
        <f>EXP(-LN(2)/2)*EX95+(1-EXP(-LN(2)/2))/(LN(2)/2)*ER96*EU96*VLOOKUP('Données projet'!$B$15,Paramètres!$A$1:$I$89,3,0)*0.475*44/12</f>
        <v>5.4391890554963916E-9</v>
      </c>
      <c r="EY96" s="24">
        <f t="shared" si="75"/>
        <v>1.7949434173614804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15</v>
      </c>
      <c r="FE96" s="13">
        <f>IF('Données projet'!$A$218&gt;35,FE95+FD96-FM95,IF(A96&lt;'Données projet'!$A$218,$FB$205^A96,IF(A96='Données projet'!$A$218,'Données projet'!$B$218,FE95+FD96-FM95)))</f>
        <v>749.99999999999989</v>
      </c>
      <c r="FF96" s="18">
        <f>FE96*VLOOKUP('Données projet'!$B$16,Paramètres!$A$1:$I$89,3,0)*VLOOKUP('Données projet'!$B$16,Paramètres!$A$1:$I$89,5,0)</f>
        <v>350.99999999999994</v>
      </c>
      <c r="FG96" s="14">
        <f t="shared" si="101"/>
        <v>81.768387419963787</v>
      </c>
      <c r="FH96" s="22">
        <f t="shared" si="76"/>
        <v>753.73827475643691</v>
      </c>
      <c r="FI96" s="62">
        <f t="shared" si="77"/>
        <v>1047.0716080897703</v>
      </c>
      <c r="FJ96" s="62">
        <f ca="1">AVERAGE(OFFSET($FI$3,0,0,'Données projet'!$E$16+1,1))-AVERAGE(OFFSET($H$3,0,0,'Données projet'!$E$16+1,1))</f>
        <v>399.92909819003523</v>
      </c>
      <c r="FK96" s="62">
        <f t="shared" si="102"/>
        <v>163.7053537268381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-5.6843418860808015E-14</v>
      </c>
      <c r="GA96" s="18">
        <f>FZ96*VLOOKUP('Données projet'!$B$17,Paramètres!$A$1:$I$89,3,0)*VLOOKUP('Données projet'!$B$17,Paramètres!$A$1:$I$89,5,0)</f>
        <v>-4.1677594708744434E-14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344.4426665022238</v>
      </c>
      <c r="GF96" s="62">
        <f t="shared" si="104"/>
        <v>376.41441893222185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34.200000000000003</v>
      </c>
      <c r="GU96" s="13">
        <f>IF('Données projet'!$A$270&gt;35,GU95+GT96-HC95,IF(A96&lt;'Données projet'!$A$270,$GR$205^A96,IF(A96='Données projet'!$A$270,'Données projet'!$B$270,GU95+GT96-HC95)))</f>
        <v>1013.6000000000004</v>
      </c>
      <c r="GV96" s="18">
        <f>GU96*VLOOKUP('Données projet'!$B$18,Paramètres!$A$1:$I$89,3,0)*VLOOKUP('Données projet'!$B$18,Paramètres!$A$1:$I$89,5,0)</f>
        <v>487.54160000000019</v>
      </c>
      <c r="GW96" s="14">
        <f t="shared" si="105"/>
        <v>109.314855181607</v>
      </c>
      <c r="GX96" s="22">
        <f t="shared" si="82"/>
        <v>1039.5249927746324</v>
      </c>
      <c r="GY96" s="62">
        <f t="shared" si="83"/>
        <v>1332.8583261079657</v>
      </c>
      <c r="GZ96" s="62">
        <f ca="1">AVERAGE(OFFSET($GY$3,0,0,'Données projet'!$E$18+1,1))-AVERAGE(OFFSET($H$3,0,0,'Données projet'!$E$18+1,1))</f>
        <v>441.17479680509746</v>
      </c>
      <c r="HA96" s="62">
        <f t="shared" si="106"/>
        <v>198.56576128410069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projet'!$B$9,Paramètres!$A$1:$I$89,3,0)*VLOOKUP('Données projet'!$B$9,Paramètres!$A$1:$I$89,5,0)</f>
        <v>-1.9065282685915009E-13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374.79806286316051</v>
      </c>
      <c r="T97" s="62">
        <f t="shared" si="88"/>
        <v>350.01856672839466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1.251329075524287</v>
      </c>
      <c r="AB97" s="23">
        <f>EXP(-LN(2)/2)*AB96+(1-EXP(-LN(2)/2))/(LN(2)/2)*V97*Y97*VLOOKUP('Données projet'!$B$9,Paramètres!$A$1:$I$89,3,0)*0.475*44/12</f>
        <v>2.0913881966541313E-9</v>
      </c>
      <c r="AC97" s="24">
        <f t="shared" si="57"/>
        <v>1.2513290776156751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3.2</v>
      </c>
      <c r="AI97" s="14">
        <f>IF('Données projet'!$A$62&gt;35,AI96+AH97-AQ96,IF(A97&lt;'Données projet'!$A$62,$AF$205^A97,IF(A97='Données projet'!$A$62,'Données projet'!$B$62,AI96+AH97-AQ96)))</f>
        <v>266.79999999999978</v>
      </c>
      <c r="AJ97" s="14">
        <f>AI97*VLOOKUP('Données projet'!$B$10,Paramètres!$A$1:$I$89,3,0)*VLOOKUP('Données projet'!$B$10,Paramètres!$A$1:$I$89,5,0)</f>
        <v>233.07647999999986</v>
      </c>
      <c r="AK97" s="14">
        <f t="shared" si="89"/>
        <v>56.947373142454829</v>
      </c>
      <c r="AL97" s="22">
        <f t="shared" si="58"/>
        <v>505.12487755644185</v>
      </c>
      <c r="AM97" s="62">
        <f t="shared" si="59"/>
        <v>798.45821088977516</v>
      </c>
      <c r="AN97" s="62">
        <f ca="1">AVERAGE(OFFSET($AM$3,0,0,'Données projet'!$E$10+1,1))-AVERAGE(OFFSET($H$3,0,0,'Données projet'!$E$10+1,1))</f>
        <v>401.89597032936751</v>
      </c>
      <c r="AO97" s="62">
        <f t="shared" si="90"/>
        <v>417.85733543972361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5.2</v>
      </c>
      <c r="BD97" s="13">
        <f>IF('Données projet'!$A$88&gt;35,BD96+BC97-BL96,IF(A97&lt;'Données projet'!$A$88,$BA$205^A97,IF(A97='Données projet'!$A$88,'Données projet'!$B$88,BD96+BC97-BL96)))</f>
        <v>294.79999999999967</v>
      </c>
      <c r="BE97" s="14">
        <f>BD97*VLOOKUP('Données projet'!$B$11,Paramètres!$A$1:$I$89,3,0)*VLOOKUP('Données projet'!$B$11,Paramètres!$A$1:$I$89,5,0)</f>
        <v>266.73503999999969</v>
      </c>
      <c r="BF97" s="14">
        <f t="shared" si="91"/>
        <v>64.155872510973168</v>
      </c>
      <c r="BG97" s="22">
        <f t="shared" si="61"/>
        <v>576.30167262327768</v>
      </c>
      <c r="BH97" s="62">
        <f t="shared" si="62"/>
        <v>869.63500595661094</v>
      </c>
      <c r="BI97" s="62">
        <f ca="1">AVERAGE(OFFSET($BH$3,0,0,'Données projet'!$E$11+1,1))-AVERAGE(OFFSET($H$3,0,0,'Données projet'!$E$11+1,1))</f>
        <v>430.40491895612814</v>
      </c>
      <c r="BJ97" s="62">
        <f t="shared" si="92"/>
        <v>231.36959598460686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3.5897435897435854</v>
      </c>
      <c r="BY97" s="13">
        <f>IF('Données projet'!$A$114&gt;35,BY96+BX97-CG96,IF(A97&lt;'Données projet'!$A$114,$BV$205^A97,IF(A97='Données projet'!$A$114,'Données projet'!$B$114,BY96+BX97-CG96)))</f>
        <v>225.89743589743583</v>
      </c>
      <c r="BZ97" s="14">
        <f>BY97*VLOOKUP('Données projet'!$B$12,Paramètres!$A$1:$I$89,3,0)*VLOOKUP('Données projet'!$B$12,Paramètres!$A$1:$I$89,5,0)</f>
        <v>214.96399999999994</v>
      </c>
      <c r="CA97" s="14">
        <f t="shared" si="93"/>
        <v>53.018865213249249</v>
      </c>
      <c r="CB97" s="22">
        <f t="shared" si="64"/>
        <v>466.73682357974229</v>
      </c>
      <c r="CC97" s="62">
        <f t="shared" si="65"/>
        <v>760.07015691307561</v>
      </c>
      <c r="CD97" s="62">
        <f ca="1">AVERAGE(OFFSET($CC$3,0,0,'Données projet'!$E$12+1,1))-AVERAGE(OFFSET($H$3,0,0,'Données projet'!$E$12+1,1))</f>
        <v>367.11183928586667</v>
      </c>
      <c r="CE97" s="62">
        <f t="shared" si="94"/>
        <v>281.52963027844595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-3.4106051316484809E-13</v>
      </c>
      <c r="CU97" s="18">
        <f>CT97*VLOOKUP('Données projet'!$B$13,Paramètres!$A$1:$I$89,3,0)*VLOOKUP('Données projet'!$B$13,Paramètres!$A$1:$I$89,5,0)</f>
        <v>-2.0395418687257919E-13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308.47522272937135</v>
      </c>
      <c r="CZ97" s="62">
        <f t="shared" si="96"/>
        <v>302.54354650449721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0.65120190544072809</v>
      </c>
      <c r="DH97" s="23">
        <f>EXP(-LN(2)/2)*DH96+(1-EXP(-LN(2)/2))/(LN(2)/2)*DB97*DE97*VLOOKUP('Données projet'!$B$13,Paramètres!$A$1:$I$89,3,0)*0.475*44/12</f>
        <v>4.0218282803183865E-9</v>
      </c>
      <c r="DI97" s="24">
        <f t="shared" si="69"/>
        <v>0.65120190946255641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-5.6843418860808015E-14</v>
      </c>
      <c r="DP97" s="18">
        <f>DO97*VLOOKUP('Données projet'!$B$14,Paramètres!$A$1:$I$89,3,0)*VLOOKUP('Données projet'!$B$14,Paramètres!$A$1:$I$89,5,0)</f>
        <v>-4.5224624045658861E-14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370.58277541710277</v>
      </c>
      <c r="DU97" s="62">
        <f t="shared" si="98"/>
        <v>404.61777090709171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>
        <f>EJ97*VLOOKUP('Données projet'!$B$15,Paramètres!$A$1:$I$89,3,0)*VLOOKUP('Données projet'!$B$15,Paramètres!$A$1:$I$89,5,0)</f>
        <v>0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240.22884864766218</v>
      </c>
      <c r="EP97" s="62">
        <f t="shared" si="100"/>
        <v>343.23776884143166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1.7458605899313047</v>
      </c>
      <c r="EX97" s="23">
        <f>EXP(-LN(2)/2)*EX96+(1-EXP(-LN(2)/2))/(LN(2)/2)*ER97*EU97*VLOOKUP('Données projet'!$B$15,Paramètres!$A$1:$I$89,3,0)*0.475*44/12</f>
        <v>3.8460874652971511E-9</v>
      </c>
      <c r="EY97" s="24">
        <f t="shared" si="75"/>
        <v>1.7458605937773921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15</v>
      </c>
      <c r="FE97" s="13">
        <f>IF('Données projet'!$A$218&gt;35,FE96+FD97-FM96,IF(A97&lt;'Données projet'!$A$218,$FB$205^A97,IF(A97='Données projet'!$A$218,'Données projet'!$B$218,FE96+FD97-FM96)))</f>
        <v>764.99999999999989</v>
      </c>
      <c r="FF97" s="18">
        <f>FE97*VLOOKUP('Données projet'!$B$16,Paramètres!$A$1:$I$89,3,0)*VLOOKUP('Données projet'!$B$16,Paramètres!$A$1:$I$89,5,0)</f>
        <v>358.02</v>
      </c>
      <c r="FG97" s="14">
        <f t="shared" si="101"/>
        <v>83.211728757381735</v>
      </c>
      <c r="FH97" s="22">
        <f t="shared" si="76"/>
        <v>768.47859425243985</v>
      </c>
      <c r="FI97" s="62">
        <f t="shared" si="77"/>
        <v>1061.8119275857732</v>
      </c>
      <c r="FJ97" s="62">
        <f ca="1">AVERAGE(OFFSET($FI$3,0,0,'Données projet'!$E$16+1,1))-AVERAGE(OFFSET($H$3,0,0,'Données projet'!$E$16+1,1))</f>
        <v>399.92909819003523</v>
      </c>
      <c r="FK97" s="62">
        <f t="shared" si="102"/>
        <v>163.7053537268381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-5.6843418860808015E-14</v>
      </c>
      <c r="GA97" s="18">
        <f>FZ97*VLOOKUP('Données projet'!$B$17,Paramètres!$A$1:$I$89,3,0)*VLOOKUP('Données projet'!$B$17,Paramètres!$A$1:$I$89,5,0)</f>
        <v>-4.1677594708744434E-14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344.4426665022238</v>
      </c>
      <c r="GF97" s="62">
        <f t="shared" si="104"/>
        <v>376.41441893222185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34.200000000000003</v>
      </c>
      <c r="GU97" s="13">
        <f>IF('Données projet'!$A$270&gt;35,GU96+GT97-HC96,IF(A97&lt;'Données projet'!$A$270,$GR$205^A97,IF(A97='Données projet'!$A$270,'Données projet'!$B$270,GU96+GT97-HC96)))</f>
        <v>1047.8000000000004</v>
      </c>
      <c r="GV97" s="18">
        <f>GU97*VLOOKUP('Données projet'!$B$18,Paramètres!$A$1:$I$89,3,0)*VLOOKUP('Données projet'!$B$18,Paramètres!$A$1:$I$89,5,0)</f>
        <v>503.99180000000024</v>
      </c>
      <c r="GW97" s="14">
        <f t="shared" si="105"/>
        <v>112.56760948351037</v>
      </c>
      <c r="GX97" s="22">
        <f t="shared" si="82"/>
        <v>1073.8409715171144</v>
      </c>
      <c r="GY97" s="62">
        <f t="shared" si="83"/>
        <v>1367.1743048504477</v>
      </c>
      <c r="GZ97" s="62">
        <f ca="1">AVERAGE(OFFSET($GY$3,0,0,'Données projet'!$E$18+1,1))-AVERAGE(OFFSET($H$3,0,0,'Données projet'!$E$18+1,1))</f>
        <v>441.17479680509746</v>
      </c>
      <c r="HA97" s="62">
        <f t="shared" si="106"/>
        <v>198.56576128410069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projet'!$B$9,Paramètres!$A$1:$I$89,3,0)*VLOOKUP('Données projet'!$B$9,Paramètres!$A$1:$I$89,5,0)</f>
        <v>-1.9065282685915009E-13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374.79806286316051</v>
      </c>
      <c r="T98" s="62">
        <f t="shared" si="88"/>
        <v>350.01856672839466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1.2171114161495391</v>
      </c>
      <c r="AB98" s="23">
        <f>EXP(-LN(2)/2)*AB97+(1-EXP(-LN(2)/2))/(LN(2)/2)*V98*Y98*VLOOKUP('Données projet'!$B$9,Paramètres!$A$1:$I$89,3,0)*0.475*44/12</f>
        <v>1.4788347759476411E-9</v>
      </c>
      <c r="AC98" s="24">
        <f t="shared" si="57"/>
        <v>1.2171114176283739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270</v>
      </c>
      <c r="AG98" s="13">
        <f>VLOOKUP(A98,'Données projet'!$A$61:$I$81,9,0)</f>
        <v>3.2</v>
      </c>
      <c r="AH98" s="13">
        <f t="array" ref="AH98">INDEX(AG:AG,MIN(IF(ISNUMBER(AG98:AG294),ROW(AG98:AG294),"")))</f>
        <v>3.2</v>
      </c>
      <c r="AI98" s="14">
        <f>IF('Données projet'!$A$62&gt;35,AI97+AH98-AQ97,IF(A98&lt;'Données projet'!$A$62,$AF$205^A98,IF(A98='Données projet'!$A$62,'Données projet'!$B$62,AI97+AH98-AQ97)))</f>
        <v>269.99999999999977</v>
      </c>
      <c r="AJ98" s="14">
        <f>AI98*VLOOKUP('Données projet'!$B$10,Paramètres!$A$1:$I$89,3,0)*VLOOKUP('Données projet'!$B$10,Paramètres!$A$1:$I$89,5,0)</f>
        <v>235.87199999999982</v>
      </c>
      <c r="AK98" s="14">
        <f t="shared" si="89"/>
        <v>57.55047634701522</v>
      </c>
      <c r="AL98" s="22">
        <f t="shared" si="58"/>
        <v>511.04414630438458</v>
      </c>
      <c r="AM98" s="62">
        <f t="shared" si="59"/>
        <v>804.3774796377179</v>
      </c>
      <c r="AN98" s="62">
        <f ca="1">AVERAGE(OFFSET($AM$3,0,0,'Données projet'!$E$10+1,1))-AVERAGE(OFFSET($H$3,0,0,'Données projet'!$E$10+1,1))</f>
        <v>401.89597032936751</v>
      </c>
      <c r="AO98" s="62">
        <f t="shared" si="90"/>
        <v>417.85733543972361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300</v>
      </c>
      <c r="BB98" s="13">
        <f>VLOOKUP(A98,'Données projet'!$A$87:$I$107,9,0)</f>
        <v>5.2</v>
      </c>
      <c r="BC98" s="13">
        <f t="array" ref="BC98">INDEX(BB:BB,MIN(IF(ISNUMBER(BB98:BB294),ROW(BB98:BB294),"")))</f>
        <v>5.2</v>
      </c>
      <c r="BD98" s="13">
        <f>IF('Données projet'!$A$88&gt;35,BD97+BC98-BL97,IF(A98&lt;'Données projet'!$A$88,$BA$205^A98,IF(A98='Données projet'!$A$88,'Données projet'!$B$88,BD97+BC98-BL97)))</f>
        <v>299.99999999999966</v>
      </c>
      <c r="BE98" s="14">
        <f>BD98*VLOOKUP('Données projet'!$B$11,Paramètres!$A$1:$I$89,3,0)*VLOOKUP('Données projet'!$B$11,Paramètres!$A$1:$I$89,5,0)</f>
        <v>271.43999999999971</v>
      </c>
      <c r="BF98" s="14">
        <f t="shared" si="91"/>
        <v>65.154778959151116</v>
      </c>
      <c r="BG98" s="22">
        <f t="shared" si="61"/>
        <v>586.23590668718782</v>
      </c>
      <c r="BH98" s="62">
        <f t="shared" si="62"/>
        <v>879.56924002052119</v>
      </c>
      <c r="BI98" s="62">
        <f ca="1">AVERAGE(OFFSET($BH$3,0,0,'Données projet'!$E$11+1,1))-AVERAGE(OFFSET($H$3,0,0,'Données projet'!$E$11+1,1))</f>
        <v>430.40491895612814</v>
      </c>
      <c r="BJ98" s="62">
        <f t="shared" si="92"/>
        <v>231.36959598460686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42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229.48717948717947</v>
      </c>
      <c r="BW98" s="13">
        <f>VLOOKUP(A98,'Données projet'!$A$113:$I$133,9,0)</f>
        <v>3.5897435897435854</v>
      </c>
      <c r="BX98" s="13">
        <f t="array" ref="BX98">INDEX(BW:BW,MIN(IF(ISNUMBER(BW98:BW294),ROW(BW98:BW294),"")))</f>
        <v>3.5897435897435854</v>
      </c>
      <c r="BY98" s="13">
        <f>IF('Données projet'!$A$114&gt;35,BY97+BX98-CG97,IF(A98&lt;'Données projet'!$A$114,$BV$205^A98,IF(A98='Données projet'!$A$114,'Données projet'!$B$114,BY97+BX98-CG97)))</f>
        <v>229.48717948717942</v>
      </c>
      <c r="BZ98" s="14">
        <f>BY98*VLOOKUP('Données projet'!$B$12,Paramètres!$A$1:$I$89,3,0)*VLOOKUP('Données projet'!$B$12,Paramètres!$A$1:$I$89,5,0)</f>
        <v>218.37999999999994</v>
      </c>
      <c r="CA98" s="14">
        <f t="shared" si="93"/>
        <v>53.762635412761199</v>
      </c>
      <c r="CB98" s="22">
        <f t="shared" si="64"/>
        <v>473.98175667722558</v>
      </c>
      <c r="CC98" s="62">
        <f t="shared" si="65"/>
        <v>767.31509001055883</v>
      </c>
      <c r="CD98" s="62">
        <f ca="1">AVERAGE(OFFSET($CC$3,0,0,'Données projet'!$E$12+1,1))-AVERAGE(OFFSET($H$3,0,0,'Données projet'!$E$12+1,1))</f>
        <v>367.11183928586667</v>
      </c>
      <c r="CE98" s="62">
        <f t="shared" si="94"/>
        <v>281.52963027844595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-3.4106051316484809E-13</v>
      </c>
      <c r="CU98" s="18">
        <f>CT98*VLOOKUP('Données projet'!$B$13,Paramètres!$A$1:$I$89,3,0)*VLOOKUP('Données projet'!$B$13,Paramètres!$A$1:$I$89,5,0)</f>
        <v>-2.0395418687257919E-13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308.47522272937135</v>
      </c>
      <c r="CZ98" s="62">
        <f t="shared" si="96"/>
        <v>302.54354650449721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0.63339475509123155</v>
      </c>
      <c r="DH98" s="23">
        <f>EXP(-LN(2)/2)*DH97+(1-EXP(-LN(2)/2))/(LN(2)/2)*DB98*DE98*VLOOKUP('Données projet'!$B$13,Paramètres!$A$1:$I$89,3,0)*0.475*44/12</f>
        <v>2.8438620497809621E-9</v>
      </c>
      <c r="DI98" s="24">
        <f t="shared" si="69"/>
        <v>0.63339475793509359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-5.6843418860808015E-14</v>
      </c>
      <c r="DP98" s="18">
        <f>DO98*VLOOKUP('Données projet'!$B$14,Paramètres!$A$1:$I$89,3,0)*VLOOKUP('Données projet'!$B$14,Paramètres!$A$1:$I$89,5,0)</f>
        <v>-4.5224624045658861E-14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370.58277541710277</v>
      </c>
      <c r="DU98" s="62">
        <f t="shared" si="98"/>
        <v>404.61777090709171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>
        <f>EJ98*VLOOKUP('Données projet'!$B$15,Paramètres!$A$1:$I$89,3,0)*VLOOKUP('Données projet'!$B$15,Paramètres!$A$1:$I$89,5,0)</f>
        <v>0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240.22884864766218</v>
      </c>
      <c r="EP98" s="62">
        <f t="shared" si="100"/>
        <v>343.23776884143166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1.698119940288815</v>
      </c>
      <c r="EX98" s="23">
        <f>EXP(-LN(2)/2)*EX97+(1-EXP(-LN(2)/2))/(LN(2)/2)*ER98*EU98*VLOOKUP('Données projet'!$B$15,Paramètres!$A$1:$I$89,3,0)*0.475*44/12</f>
        <v>2.7195945277481958E-9</v>
      </c>
      <c r="EY98" s="24">
        <f t="shared" si="75"/>
        <v>1.6981199430084095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15</v>
      </c>
      <c r="FE98" s="13">
        <f>IF('Données projet'!$A$218&gt;35,FE97+FD98-FM97,IF(A98&lt;'Données projet'!$A$218,$FB$205^A98,IF(A98='Données projet'!$A$218,'Données projet'!$B$218,FE97+FD98-FM97)))</f>
        <v>779.99999999999989</v>
      </c>
      <c r="FF98" s="18">
        <f>FE98*VLOOKUP('Données projet'!$B$16,Paramètres!$A$1:$I$89,3,0)*VLOOKUP('Données projet'!$B$16,Paramètres!$A$1:$I$89,5,0)</f>
        <v>365.03999999999996</v>
      </c>
      <c r="FG98" s="14">
        <f t="shared" si="101"/>
        <v>84.651779413976413</v>
      </c>
      <c r="FH98" s="22">
        <f t="shared" si="76"/>
        <v>783.21318247934221</v>
      </c>
      <c r="FI98" s="62">
        <f t="shared" si="77"/>
        <v>1076.5465158126756</v>
      </c>
      <c r="FJ98" s="62">
        <f ca="1">AVERAGE(OFFSET($FI$3,0,0,'Données projet'!$E$16+1,1))-AVERAGE(OFFSET($H$3,0,0,'Données projet'!$E$16+1,1))</f>
        <v>399.92909819003523</v>
      </c>
      <c r="FK98" s="62">
        <f t="shared" si="102"/>
        <v>163.7053537268381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-5.6843418860808015E-14</v>
      </c>
      <c r="GA98" s="18">
        <f>FZ98*VLOOKUP('Données projet'!$B$17,Paramètres!$A$1:$I$89,3,0)*VLOOKUP('Données projet'!$B$17,Paramètres!$A$1:$I$89,5,0)</f>
        <v>-4.1677594708744434E-14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344.4426665022238</v>
      </c>
      <c r="GF98" s="62">
        <f t="shared" si="104"/>
        <v>376.41441893222185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34.200000000000003</v>
      </c>
      <c r="GU98" s="13">
        <f>IF('Données projet'!$A$270&gt;35,GU97+GT98-HC97,IF(A98&lt;'Données projet'!$A$270,$GR$205^A98,IF(A98='Données projet'!$A$270,'Données projet'!$B$270,GU97+GT98-HC97)))</f>
        <v>1082.0000000000005</v>
      </c>
      <c r="GV98" s="18">
        <f>GU98*VLOOKUP('Données projet'!$B$18,Paramètres!$A$1:$I$89,3,0)*VLOOKUP('Données projet'!$B$18,Paramètres!$A$1:$I$89,5,0)</f>
        <v>520.44200000000023</v>
      </c>
      <c r="GW98" s="14">
        <f t="shared" si="105"/>
        <v>115.80802681036825</v>
      </c>
      <c r="GX98" s="22">
        <f t="shared" si="82"/>
        <v>1108.1354633613917</v>
      </c>
      <c r="GY98" s="62">
        <f t="shared" si="83"/>
        <v>1401.4687966947249</v>
      </c>
      <c r="GZ98" s="62">
        <f ca="1">AVERAGE(OFFSET($GY$3,0,0,'Données projet'!$E$18+1,1))-AVERAGE(OFFSET($H$3,0,0,'Données projet'!$E$18+1,1))</f>
        <v>441.17479680509746</v>
      </c>
      <c r="HA98" s="62">
        <f t="shared" si="106"/>
        <v>198.56576128410069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projet'!$B$9,Paramètres!$A$1:$I$89,3,0)*VLOOKUP('Données projet'!$B$9,Paramètres!$A$1:$I$89,5,0)</f>
        <v>-1.9065282685915009E-13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374.79806286316051</v>
      </c>
      <c r="T99" s="62">
        <f t="shared" si="88"/>
        <v>350.01856672839466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1.1838294404698224</v>
      </c>
      <c r="AB99" s="23">
        <f>EXP(-LN(2)/2)*AB98+(1-EXP(-LN(2)/2))/(LN(2)/2)*V99*Y99*VLOOKUP('Données projet'!$B$9,Paramètres!$A$1:$I$89,3,0)*0.475*44/12</f>
        <v>1.0456940983270657E-9</v>
      </c>
      <c r="AC99" s="24">
        <f t="shared" si="57"/>
        <v>1.1838294415155166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3.2</v>
      </c>
      <c r="AI99" s="14">
        <f>IF('Données projet'!$A$62&gt;35,AI98+AH99-AQ98,IF(A99&lt;'Données projet'!$A$62,$AF$205^A99,IF(A99='Données projet'!$A$62,'Données projet'!$B$62,AI98+AH99-AQ98)))</f>
        <v>273.19999999999976</v>
      </c>
      <c r="AJ99" s="14">
        <f>AI99*VLOOKUP('Données projet'!$B$10,Paramètres!$A$1:$I$89,3,0)*VLOOKUP('Données projet'!$B$10,Paramètres!$A$1:$I$89,5,0)</f>
        <v>238.66751999999983</v>
      </c>
      <c r="AK99" s="14">
        <f t="shared" si="89"/>
        <v>58.152748090255663</v>
      </c>
      <c r="AL99" s="22">
        <f t="shared" si="58"/>
        <v>516.9619669238615</v>
      </c>
      <c r="AM99" s="62">
        <f t="shared" si="59"/>
        <v>810.29530025719487</v>
      </c>
      <c r="AN99" s="62">
        <f ca="1">AVERAGE(OFFSET($AM$3,0,0,'Données projet'!$E$10+1,1))-AVERAGE(OFFSET($H$3,0,0,'Données projet'!$E$10+1,1))</f>
        <v>401.89597032936751</v>
      </c>
      <c r="AO99" s="62">
        <f t="shared" si="90"/>
        <v>417.85733543972361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4.7</v>
      </c>
      <c r="BD99" s="13">
        <f>IF('Données projet'!$A$88&gt;35,BD98+BC99-BL98,IF(A99&lt;'Données projet'!$A$88,$BA$205^A99,IF(A99='Données projet'!$A$88,'Données projet'!$B$88,BD98+BC99-BL98)))</f>
        <v>262.69999999999965</v>
      </c>
      <c r="BE99" s="14">
        <f>BD99*VLOOKUP('Données projet'!$B$11,Paramètres!$A$1:$I$89,3,0)*VLOOKUP('Données projet'!$B$11,Paramètres!$A$1:$I$89,5,0)</f>
        <v>237.69095999999968</v>
      </c>
      <c r="BF99" s="14">
        <f t="shared" si="91"/>
        <v>57.942450096949344</v>
      </c>
      <c r="BG99" s="22">
        <f t="shared" si="61"/>
        <v>514.89485591885284</v>
      </c>
      <c r="BH99" s="62">
        <f t="shared" si="62"/>
        <v>808.22818925218621</v>
      </c>
      <c r="BI99" s="62">
        <f ca="1">AVERAGE(OFFSET($BH$3,0,0,'Données projet'!$E$11+1,1))-AVERAGE(OFFSET($H$3,0,0,'Données projet'!$E$11+1,1))</f>
        <v>430.40491895612814</v>
      </c>
      <c r="BJ99" s="62">
        <f t="shared" si="92"/>
        <v>231.36959598460686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3.3333333333333313</v>
      </c>
      <c r="BY99" s="13">
        <f>IF('Données projet'!$A$114&gt;35,BY98+BX99-CG98,IF(A99&lt;'Données projet'!$A$114,$BV$205^A99,IF(A99='Données projet'!$A$114,'Données projet'!$B$114,BY98+BX99-CG98)))</f>
        <v>232.82051282051276</v>
      </c>
      <c r="BZ99" s="14">
        <f>BY99*VLOOKUP('Données projet'!$B$12,Paramètres!$A$1:$I$89,3,0)*VLOOKUP('Données projet'!$B$12,Paramètres!$A$1:$I$89,5,0)</f>
        <v>221.55199999999994</v>
      </c>
      <c r="CA99" s="14">
        <f t="shared" si="93"/>
        <v>54.452067119881683</v>
      </c>
      <c r="CB99" s="22">
        <f t="shared" si="64"/>
        <v>480.70708356712709</v>
      </c>
      <c r="CC99" s="62">
        <f t="shared" si="65"/>
        <v>774.0404169004604</v>
      </c>
      <c r="CD99" s="62">
        <f ca="1">AVERAGE(OFFSET($CC$3,0,0,'Données projet'!$E$12+1,1))-AVERAGE(OFFSET($H$3,0,0,'Données projet'!$E$12+1,1))</f>
        <v>367.11183928586667</v>
      </c>
      <c r="CE99" s="62">
        <f t="shared" si="94"/>
        <v>281.52963027844595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-3.4106051316484809E-13</v>
      </c>
      <c r="CU99" s="18">
        <f>CT99*VLOOKUP('Données projet'!$B$13,Paramètres!$A$1:$I$89,3,0)*VLOOKUP('Données projet'!$B$13,Paramètres!$A$1:$I$89,5,0)</f>
        <v>-2.0395418687257919E-13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308.47522272937135</v>
      </c>
      <c r="CZ99" s="62">
        <f t="shared" si="96"/>
        <v>302.54354650449721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0.61607454220447933</v>
      </c>
      <c r="DH99" s="23">
        <f>EXP(-LN(2)/2)*DH98+(1-EXP(-LN(2)/2))/(LN(2)/2)*DB99*DE99*VLOOKUP('Données projet'!$B$13,Paramètres!$A$1:$I$89,3,0)*0.475*44/12</f>
        <v>2.0109141401591933E-9</v>
      </c>
      <c r="DI99" s="24">
        <f t="shared" si="69"/>
        <v>0.61607454421539343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-5.6843418860808015E-14</v>
      </c>
      <c r="DP99" s="18">
        <f>DO99*VLOOKUP('Données projet'!$B$14,Paramètres!$A$1:$I$89,3,0)*VLOOKUP('Données projet'!$B$14,Paramètres!$A$1:$I$89,5,0)</f>
        <v>-4.5224624045658861E-14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370.58277541710277</v>
      </c>
      <c r="DU99" s="62">
        <f t="shared" si="98"/>
        <v>404.61777090709171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>
        <f>EJ99*VLOOKUP('Données projet'!$B$15,Paramètres!$A$1:$I$89,3,0)*VLOOKUP('Données projet'!$B$15,Paramètres!$A$1:$I$89,5,0)</f>
        <v>0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240.22884864766218</v>
      </c>
      <c r="EP99" s="62">
        <f t="shared" si="100"/>
        <v>343.23776884143166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1.6516847612213708</v>
      </c>
      <c r="EX99" s="23">
        <f>EXP(-LN(2)/2)*EX98+(1-EXP(-LN(2)/2))/(LN(2)/2)*ER99*EU99*VLOOKUP('Données projet'!$B$15,Paramètres!$A$1:$I$89,3,0)*0.475*44/12</f>
        <v>1.9230437326485755E-9</v>
      </c>
      <c r="EY99" s="24">
        <f t="shared" si="75"/>
        <v>1.6516847631444145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15</v>
      </c>
      <c r="FE99" s="13">
        <f>IF('Données projet'!$A$218&gt;35,FE98+FD99-FM98,IF(A99&lt;'Données projet'!$A$218,$FB$205^A99,IF(A99='Données projet'!$A$218,'Données projet'!$B$218,FE98+FD99-FM98)))</f>
        <v>794.99999999999989</v>
      </c>
      <c r="FF99" s="18">
        <f>FE99*VLOOKUP('Données projet'!$B$16,Paramètres!$A$1:$I$89,3,0)*VLOOKUP('Données projet'!$B$16,Paramètres!$A$1:$I$89,5,0)</f>
        <v>372.05999999999995</v>
      </c>
      <c r="FG99" s="14">
        <f t="shared" si="101"/>
        <v>86.08860996789744</v>
      </c>
      <c r="FH99" s="22">
        <f t="shared" si="76"/>
        <v>797.94216236075465</v>
      </c>
      <c r="FI99" s="62">
        <f t="shared" si="77"/>
        <v>1091.275495694088</v>
      </c>
      <c r="FJ99" s="62">
        <f ca="1">AVERAGE(OFFSET($FI$3,0,0,'Données projet'!$E$16+1,1))-AVERAGE(OFFSET($H$3,0,0,'Données projet'!$E$16+1,1))</f>
        <v>399.92909819003523</v>
      </c>
      <c r="FK99" s="62">
        <f t="shared" si="102"/>
        <v>163.7053537268381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-5.6843418860808015E-14</v>
      </c>
      <c r="GA99" s="18">
        <f>FZ99*VLOOKUP('Données projet'!$B$17,Paramètres!$A$1:$I$89,3,0)*VLOOKUP('Données projet'!$B$17,Paramètres!$A$1:$I$89,5,0)</f>
        <v>-4.1677594708744434E-14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344.4426665022238</v>
      </c>
      <c r="GF99" s="62">
        <f t="shared" si="104"/>
        <v>376.41441893222185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34.200000000000003</v>
      </c>
      <c r="GU99" s="13">
        <f>IF('Données projet'!$A$270&gt;35,GU98+GT99-HC98,IF(A99&lt;'Données projet'!$A$270,$GR$205^A99,IF(A99='Données projet'!$A$270,'Données projet'!$B$270,GU98+GT99-HC98)))</f>
        <v>1116.2000000000005</v>
      </c>
      <c r="GV99" s="18">
        <f>GU99*VLOOKUP('Données projet'!$B$18,Paramètres!$A$1:$I$89,3,0)*VLOOKUP('Données projet'!$B$18,Paramètres!$A$1:$I$89,5,0)</f>
        <v>536.89220000000023</v>
      </c>
      <c r="GW99" s="14">
        <f t="shared" si="105"/>
        <v>119.03654184799197</v>
      </c>
      <c r="GX99" s="22">
        <f t="shared" si="82"/>
        <v>1142.409225385253</v>
      </c>
      <c r="GY99" s="62">
        <f t="shared" si="83"/>
        <v>1435.7425587185862</v>
      </c>
      <c r="GZ99" s="62">
        <f ca="1">AVERAGE(OFFSET($GY$3,0,0,'Données projet'!$E$18+1,1))-AVERAGE(OFFSET($H$3,0,0,'Données projet'!$E$18+1,1))</f>
        <v>441.17479680509746</v>
      </c>
      <c r="HA99" s="62">
        <f t="shared" si="106"/>
        <v>198.56576128410069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projet'!$B$9,Paramètres!$A$1:$I$89,3,0)*VLOOKUP('Données projet'!$B$9,Paramètres!$A$1:$I$89,5,0)</f>
        <v>-1.9065282685915009E-13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374.79806286316051</v>
      </c>
      <c r="T100" s="62">
        <f t="shared" si="88"/>
        <v>350.01856672839466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1.1514575621652905</v>
      </c>
      <c r="AB100" s="23">
        <f>EXP(-LN(2)/2)*AB99+(1-EXP(-LN(2)/2))/(LN(2)/2)*V100*Y100*VLOOKUP('Données projet'!$B$9,Paramètres!$A$1:$I$89,3,0)*0.475*44/12</f>
        <v>7.3941738797382054E-10</v>
      </c>
      <c r="AC100" s="24">
        <f t="shared" si="57"/>
        <v>1.1514575629047079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3.2</v>
      </c>
      <c r="AI100" s="14">
        <f>IF('Données projet'!$A$62&gt;35,AI99+AH100-AQ99,IF(A100&lt;'Données projet'!$A$62,$AF$205^A100,IF(A100='Données projet'!$A$62,'Données projet'!$B$62,AI99+AH100-AQ99)))</f>
        <v>276.39999999999975</v>
      </c>
      <c r="AJ100" s="14">
        <f>AI100*VLOOKUP('Données projet'!$B$10,Paramètres!$A$1:$I$89,3,0)*VLOOKUP('Données projet'!$B$10,Paramètres!$A$1:$I$89,5,0)</f>
        <v>241.46303999999981</v>
      </c>
      <c r="AK100" s="14">
        <f t="shared" si="89"/>
        <v>58.754199237810838</v>
      </c>
      <c r="AL100" s="22">
        <f t="shared" si="58"/>
        <v>522.87835833918678</v>
      </c>
      <c r="AM100" s="62">
        <f t="shared" si="59"/>
        <v>816.21169167252015</v>
      </c>
      <c r="AN100" s="62">
        <f ca="1">AVERAGE(OFFSET($AM$3,0,0,'Données projet'!$E$10+1,1))-AVERAGE(OFFSET($H$3,0,0,'Données projet'!$E$10+1,1))</f>
        <v>401.89597032936751</v>
      </c>
      <c r="AO100" s="62">
        <f t="shared" si="90"/>
        <v>417.85733543972361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4.7</v>
      </c>
      <c r="BD100" s="13">
        <f>IF('Données projet'!$A$88&gt;35,BD99+BC100-BL99,IF(A100&lt;'Données projet'!$A$88,$BA$205^A100,IF(A100='Données projet'!$A$88,'Données projet'!$B$88,BD99+BC100-BL99)))</f>
        <v>267.39999999999964</v>
      </c>
      <c r="BE100" s="14">
        <f>BD100*VLOOKUP('Données projet'!$B$11,Paramètres!$A$1:$I$89,3,0)*VLOOKUP('Données projet'!$B$11,Paramètres!$A$1:$I$89,5,0)</f>
        <v>241.94351999999967</v>
      </c>
      <c r="BF100" s="14">
        <f t="shared" si="91"/>
        <v>58.857491789961337</v>
      </c>
      <c r="BG100" s="22">
        <f t="shared" si="61"/>
        <v>523.89509553418213</v>
      </c>
      <c r="BH100" s="62">
        <f t="shared" si="62"/>
        <v>817.2284288675155</v>
      </c>
      <c r="BI100" s="62">
        <f ca="1">AVERAGE(OFFSET($BH$3,0,0,'Données projet'!$E$11+1,1))-AVERAGE(OFFSET($H$3,0,0,'Données projet'!$E$11+1,1))</f>
        <v>430.40491895612814</v>
      </c>
      <c r="BJ100" s="62">
        <f t="shared" si="92"/>
        <v>231.36959598460686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3.3333333333333313</v>
      </c>
      <c r="BY100" s="13">
        <f>IF('Données projet'!$A$114&gt;35,BY99+BX100-CG99,IF(A100&lt;'Données projet'!$A$114,$BV$205^A100,IF(A100='Données projet'!$A$114,'Données projet'!$B$114,BY99+BX100-CG99)))</f>
        <v>236.1538461538461</v>
      </c>
      <c r="BZ100" s="14">
        <f>BY100*VLOOKUP('Données projet'!$B$12,Paramètres!$A$1:$I$89,3,0)*VLOOKUP('Données projet'!$B$12,Paramètres!$A$1:$I$89,5,0)</f>
        <v>224.72399999999993</v>
      </c>
      <c r="CA100" s="14">
        <f t="shared" si="93"/>
        <v>55.140350790767556</v>
      </c>
      <c r="CB100" s="22">
        <f t="shared" si="64"/>
        <v>487.4304109605867</v>
      </c>
      <c r="CC100" s="62">
        <f t="shared" si="65"/>
        <v>780.76374429392001</v>
      </c>
      <c r="CD100" s="62">
        <f ca="1">AVERAGE(OFFSET($CC$3,0,0,'Données projet'!$E$12+1,1))-AVERAGE(OFFSET($H$3,0,0,'Données projet'!$E$12+1,1))</f>
        <v>367.11183928586667</v>
      </c>
      <c r="CE100" s="62">
        <f t="shared" si="94"/>
        <v>281.52963027844595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-3.4106051316484809E-13</v>
      </c>
      <c r="CU100" s="18">
        <f>CT100*VLOOKUP('Données projet'!$B$13,Paramètres!$A$1:$I$89,3,0)*VLOOKUP('Données projet'!$B$13,Paramètres!$A$1:$I$89,5,0)</f>
        <v>-2.0395418687257919E-13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308.47522272937135</v>
      </c>
      <c r="CZ100" s="62">
        <f t="shared" si="96"/>
        <v>302.54354650449721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0.59922795144994567</v>
      </c>
      <c r="DH100" s="23">
        <f>EXP(-LN(2)/2)*DH99+(1-EXP(-LN(2)/2))/(LN(2)/2)*DB100*DE100*VLOOKUP('Données projet'!$B$13,Paramètres!$A$1:$I$89,3,0)*0.475*44/12</f>
        <v>1.4219310248904811E-9</v>
      </c>
      <c r="DI100" s="24">
        <f t="shared" si="69"/>
        <v>0.59922795287187669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-5.6843418860808015E-14</v>
      </c>
      <c r="DP100" s="18">
        <f>DO100*VLOOKUP('Données projet'!$B$14,Paramètres!$A$1:$I$89,3,0)*VLOOKUP('Données projet'!$B$14,Paramètres!$A$1:$I$89,5,0)</f>
        <v>-4.5224624045658861E-14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370.58277541710277</v>
      </c>
      <c r="DU100" s="62">
        <f t="shared" si="98"/>
        <v>404.61777090709171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>
        <f>EJ100*VLOOKUP('Données projet'!$B$15,Paramètres!$A$1:$I$89,3,0)*VLOOKUP('Données projet'!$B$15,Paramètres!$A$1:$I$89,5,0)</f>
        <v>0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240.22884864766218</v>
      </c>
      <c r="EP100" s="62">
        <f t="shared" si="100"/>
        <v>343.23776884143166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1.6065193545674457</v>
      </c>
      <c r="EX100" s="23">
        <f>EXP(-LN(2)/2)*EX99+(1-EXP(-LN(2)/2))/(LN(2)/2)*ER100*EU100*VLOOKUP('Données projet'!$B$15,Paramètres!$A$1:$I$89,3,0)*0.475*44/12</f>
        <v>1.3597972638740979E-9</v>
      </c>
      <c r="EY100" s="24">
        <f t="shared" si="75"/>
        <v>1.6065193559272428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15</v>
      </c>
      <c r="FE100" s="13">
        <f>IF('Données projet'!$A$218&gt;35,FE99+FD100-FM99,IF(A100&lt;'Données projet'!$A$218,$FB$205^A100,IF(A100='Données projet'!$A$218,'Données projet'!$B$218,FE99+FD100-FM99)))</f>
        <v>809.99999999999989</v>
      </c>
      <c r="FF100" s="18">
        <f>FE100*VLOOKUP('Données projet'!$B$16,Paramètres!$A$1:$I$89,3,0)*VLOOKUP('Données projet'!$B$16,Paramètres!$A$1:$I$89,5,0)</f>
        <v>379.08</v>
      </c>
      <c r="FG100" s="14">
        <f t="shared" si="101"/>
        <v>87.522288181554913</v>
      </c>
      <c r="FH100" s="22">
        <f t="shared" si="76"/>
        <v>812.66565191620805</v>
      </c>
      <c r="FI100" s="62">
        <f t="shared" si="77"/>
        <v>1105.9989852495414</v>
      </c>
      <c r="FJ100" s="62">
        <f ca="1">AVERAGE(OFFSET($FI$3,0,0,'Données projet'!$E$16+1,1))-AVERAGE(OFFSET($H$3,0,0,'Données projet'!$E$16+1,1))</f>
        <v>399.92909819003523</v>
      </c>
      <c r="FK100" s="62">
        <f t="shared" si="102"/>
        <v>163.7053537268381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-5.6843418860808015E-14</v>
      </c>
      <c r="GA100" s="18">
        <f>FZ100*VLOOKUP('Données projet'!$B$17,Paramètres!$A$1:$I$89,3,0)*VLOOKUP('Données projet'!$B$17,Paramètres!$A$1:$I$89,5,0)</f>
        <v>-4.1677594708744434E-14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344.4426665022238</v>
      </c>
      <c r="GF100" s="62">
        <f t="shared" si="104"/>
        <v>376.41441893222185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34.200000000000003</v>
      </c>
      <c r="GU100" s="13">
        <f>IF('Données projet'!$A$270&gt;35,GU99+GT100-HC99,IF(A100&lt;'Données projet'!$A$270,$GR$205^A100,IF(A100='Données projet'!$A$270,'Données projet'!$B$270,GU99+GT100-HC99)))</f>
        <v>1150.4000000000005</v>
      </c>
      <c r="GV100" s="18">
        <f>GU100*VLOOKUP('Données projet'!$B$18,Paramètres!$A$1:$I$89,3,0)*VLOOKUP('Données projet'!$B$18,Paramètres!$A$1:$I$89,5,0)</f>
        <v>553.34240000000023</v>
      </c>
      <c r="GW100" s="14">
        <f t="shared" si="105"/>
        <v>122.25356113149377</v>
      </c>
      <c r="GX100" s="22">
        <f t="shared" si="82"/>
        <v>1176.6629656373523</v>
      </c>
      <c r="GY100" s="62">
        <f t="shared" si="83"/>
        <v>1469.9962989706855</v>
      </c>
      <c r="GZ100" s="62">
        <f ca="1">AVERAGE(OFFSET($GY$3,0,0,'Données projet'!$E$18+1,1))-AVERAGE(OFFSET($H$3,0,0,'Données projet'!$E$18+1,1))</f>
        <v>441.17479680509746</v>
      </c>
      <c r="HA100" s="62">
        <f t="shared" si="106"/>
        <v>198.56576128410069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projet'!$B$9,Paramètres!$A$1:$I$89,3,0)*VLOOKUP('Données projet'!$B$9,Paramètres!$A$1:$I$89,5,0)</f>
        <v>-1.9065282685915009E-13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374.79806286316051</v>
      </c>
      <c r="T101" s="62">
        <f t="shared" si="88"/>
        <v>350.01856672839466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1.119970894575359</v>
      </c>
      <c r="AB101" s="23">
        <f>EXP(-LN(2)/2)*AB100+(1-EXP(-LN(2)/2))/(LN(2)/2)*V101*Y101*VLOOKUP('Données projet'!$B$9,Paramètres!$A$1:$I$89,3,0)*0.475*44/12</f>
        <v>5.2284704916353284E-10</v>
      </c>
      <c r="AC101" s="24">
        <f t="shared" si="57"/>
        <v>1.1199708950982061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3.2</v>
      </c>
      <c r="AI101" s="14">
        <f>IF('Données projet'!$A$62&gt;35,AI100+AH101-AQ100,IF(A101&lt;'Données projet'!$A$62,$AF$205^A101,IF(A101='Données projet'!$A$62,'Données projet'!$B$62,AI100+AH101-AQ100)))</f>
        <v>279.59999999999974</v>
      </c>
      <c r="AJ101" s="14">
        <f>AI101*VLOOKUP('Données projet'!$B$10,Paramètres!$A$1:$I$89,3,0)*VLOOKUP('Données projet'!$B$10,Paramètres!$A$1:$I$89,5,0)</f>
        <v>244.25855999999982</v>
      </c>
      <c r="AK101" s="14">
        <f t="shared" si="89"/>
        <v>59.354840389242462</v>
      </c>
      <c r="AL101" s="22">
        <f t="shared" si="58"/>
        <v>528.79333901126358</v>
      </c>
      <c r="AM101" s="62">
        <f t="shared" si="59"/>
        <v>822.12667234459695</v>
      </c>
      <c r="AN101" s="62">
        <f ca="1">AVERAGE(OFFSET($AM$3,0,0,'Données projet'!$E$10+1,1))-AVERAGE(OFFSET($H$3,0,0,'Données projet'!$E$10+1,1))</f>
        <v>401.89597032936751</v>
      </c>
      <c r="AO101" s="62">
        <f t="shared" si="90"/>
        <v>417.85733543972361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4.7</v>
      </c>
      <c r="BD101" s="13">
        <f>IF('Données projet'!$A$88&gt;35,BD100+BC101-BL100,IF(A101&lt;'Données projet'!$A$88,$BA$205^A101,IF(A101='Données projet'!$A$88,'Données projet'!$B$88,BD100+BC101-BL100)))</f>
        <v>272.09999999999962</v>
      </c>
      <c r="BE101" s="14">
        <f>BD101*VLOOKUP('Données projet'!$B$11,Paramètres!$A$1:$I$89,3,0)*VLOOKUP('Données projet'!$B$11,Paramètres!$A$1:$I$89,5,0)</f>
        <v>246.19607999999968</v>
      </c>
      <c r="BF101" s="14">
        <f t="shared" si="91"/>
        <v>59.770663189456016</v>
      </c>
      <c r="BG101" s="22">
        <f t="shared" si="61"/>
        <v>532.89207772163536</v>
      </c>
      <c r="BH101" s="62">
        <f t="shared" si="62"/>
        <v>826.22541105496862</v>
      </c>
      <c r="BI101" s="62">
        <f ca="1">AVERAGE(OFFSET($BH$3,0,0,'Données projet'!$E$11+1,1))-AVERAGE(OFFSET($H$3,0,0,'Données projet'!$E$11+1,1))</f>
        <v>430.40491895612814</v>
      </c>
      <c r="BJ101" s="62">
        <f t="shared" si="92"/>
        <v>231.36959598460686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3.3333333333333313</v>
      </c>
      <c r="BY101" s="13">
        <f>IF('Données projet'!$A$114&gt;35,BY100+BX101-CG100,IF(A101&lt;'Données projet'!$A$114,$BV$205^A101,IF(A101='Données projet'!$A$114,'Données projet'!$B$114,BY100+BX101-CG100)))</f>
        <v>239.48717948717945</v>
      </c>
      <c r="BZ101" s="14">
        <f>BY101*VLOOKUP('Données projet'!$B$12,Paramètres!$A$1:$I$89,3,0)*VLOOKUP('Données projet'!$B$12,Paramètres!$A$1:$I$89,5,0)</f>
        <v>227.89599999999999</v>
      </c>
      <c r="CA101" s="14">
        <f t="shared" si="93"/>
        <v>55.827504502630809</v>
      </c>
      <c r="CB101" s="22">
        <f t="shared" si="64"/>
        <v>494.15177034208205</v>
      </c>
      <c r="CC101" s="62">
        <f t="shared" si="65"/>
        <v>787.4851036754153</v>
      </c>
      <c r="CD101" s="62">
        <f ca="1">AVERAGE(OFFSET($CC$3,0,0,'Données projet'!$E$12+1,1))-AVERAGE(OFFSET($H$3,0,0,'Données projet'!$E$12+1,1))</f>
        <v>367.11183928586667</v>
      </c>
      <c r="CE101" s="62">
        <f t="shared" si="94"/>
        <v>281.52963027844595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-3.4106051316484809E-13</v>
      </c>
      <c r="CU101" s="18">
        <f>CT101*VLOOKUP('Données projet'!$B$13,Paramètres!$A$1:$I$89,3,0)*VLOOKUP('Données projet'!$B$13,Paramètres!$A$1:$I$89,5,0)</f>
        <v>-2.0395418687257919E-13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308.47522272937135</v>
      </c>
      <c r="CZ101" s="62">
        <f t="shared" si="96"/>
        <v>302.54354650449721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0.58284203160551851</v>
      </c>
      <c r="DH101" s="23">
        <f>EXP(-LN(2)/2)*DH100+(1-EXP(-LN(2)/2))/(LN(2)/2)*DB101*DE101*VLOOKUP('Données projet'!$B$13,Paramètres!$A$1:$I$89,3,0)*0.475*44/12</f>
        <v>1.0054570700795966E-9</v>
      </c>
      <c r="DI101" s="24">
        <f t="shared" si="69"/>
        <v>0.58284203261097556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-5.6843418860808015E-14</v>
      </c>
      <c r="DP101" s="18">
        <f>DO101*VLOOKUP('Données projet'!$B$14,Paramètres!$A$1:$I$89,3,0)*VLOOKUP('Données projet'!$B$14,Paramètres!$A$1:$I$89,5,0)</f>
        <v>-4.5224624045658861E-14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370.58277541710277</v>
      </c>
      <c r="DU101" s="62">
        <f t="shared" si="98"/>
        <v>404.61777090709171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>
        <f>EJ101*VLOOKUP('Données projet'!$B$15,Paramètres!$A$1:$I$89,3,0)*VLOOKUP('Données projet'!$B$15,Paramètres!$A$1:$I$89,5,0)</f>
        <v>0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240.22884864766218</v>
      </c>
      <c r="EP101" s="62">
        <f t="shared" si="100"/>
        <v>343.23776884143166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1.5625889983336176</v>
      </c>
      <c r="EX101" s="23">
        <f>EXP(-LN(2)/2)*EX100+(1-EXP(-LN(2)/2))/(LN(2)/2)*ER101*EU101*VLOOKUP('Données projet'!$B$15,Paramètres!$A$1:$I$89,3,0)*0.475*44/12</f>
        <v>9.6152186632428777E-10</v>
      </c>
      <c r="EY101" s="24">
        <f t="shared" si="75"/>
        <v>1.5625889992951396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15</v>
      </c>
      <c r="FE101" s="13">
        <f>IF('Données projet'!$A$218&gt;35,FE100+FD101-FM100,IF(A101&lt;'Données projet'!$A$218,$FB$205^A101,IF(A101='Données projet'!$A$218,'Données projet'!$B$218,FE100+FD101-FM100)))</f>
        <v>824.99999999999989</v>
      </c>
      <c r="FF101" s="18">
        <f>FE101*VLOOKUP('Données projet'!$B$16,Paramètres!$A$1:$I$89,3,0)*VLOOKUP('Données projet'!$B$16,Paramètres!$A$1:$I$89,5,0)</f>
        <v>386.09999999999997</v>
      </c>
      <c r="FG101" s="14">
        <f t="shared" si="101"/>
        <v>88.952879163979915</v>
      </c>
      <c r="FH101" s="22">
        <f t="shared" si="76"/>
        <v>827.38376454393153</v>
      </c>
      <c r="FI101" s="62">
        <f t="shared" si="77"/>
        <v>1120.7170978772649</v>
      </c>
      <c r="FJ101" s="62">
        <f ca="1">AVERAGE(OFFSET($FI$3,0,0,'Données projet'!$E$16+1,1))-AVERAGE(OFFSET($H$3,0,0,'Données projet'!$E$16+1,1))</f>
        <v>399.92909819003523</v>
      </c>
      <c r="FK101" s="62">
        <f t="shared" si="102"/>
        <v>163.7053537268381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-5.6843418860808015E-14</v>
      </c>
      <c r="GA101" s="18">
        <f>FZ101*VLOOKUP('Données projet'!$B$17,Paramètres!$A$1:$I$89,3,0)*VLOOKUP('Données projet'!$B$17,Paramètres!$A$1:$I$89,5,0)</f>
        <v>-4.1677594708744434E-14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344.4426665022238</v>
      </c>
      <c r="GF101" s="62">
        <f t="shared" si="104"/>
        <v>376.41441893222185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34.200000000000003</v>
      </c>
      <c r="GU101" s="13">
        <f>IF('Données projet'!$A$270&gt;35,GU100+GT101-HC100,IF(A101&lt;'Données projet'!$A$270,$GR$205^A101,IF(A101='Données projet'!$A$270,'Données projet'!$B$270,GU100+GT101-HC100)))</f>
        <v>1184.6000000000006</v>
      </c>
      <c r="GV101" s="18">
        <f>GU101*VLOOKUP('Données projet'!$B$18,Paramètres!$A$1:$I$89,3,0)*VLOOKUP('Données projet'!$B$18,Paramètres!$A$1:$I$89,5,0)</f>
        <v>569.79260000000022</v>
      </c>
      <c r="GW101" s="14">
        <f t="shared" si="105"/>
        <v>125.4594656504112</v>
      </c>
      <c r="GX101" s="22">
        <f t="shared" si="82"/>
        <v>1210.8973476744666</v>
      </c>
      <c r="GY101" s="62">
        <f t="shared" si="83"/>
        <v>1504.2306810077998</v>
      </c>
      <c r="GZ101" s="62">
        <f ca="1">AVERAGE(OFFSET($GY$3,0,0,'Données projet'!$E$18+1,1))-AVERAGE(OFFSET($H$3,0,0,'Données projet'!$E$18+1,1))</f>
        <v>441.17479680509746</v>
      </c>
      <c r="HA101" s="62">
        <f t="shared" si="106"/>
        <v>198.56576128410069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projet'!$B$9,Paramètres!$A$1:$I$89,3,0)*VLOOKUP('Données projet'!$B$9,Paramètres!$A$1:$I$89,5,0)</f>
        <v>-1.9065282685915009E-13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374.79806286316051</v>
      </c>
      <c r="T102" s="62">
        <f t="shared" si="88"/>
        <v>350.01856672839466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1.0893452315664862</v>
      </c>
      <c r="AB102" s="23">
        <f>EXP(-LN(2)/2)*AB101+(1-EXP(-LN(2)/2))/(LN(2)/2)*V102*Y102*VLOOKUP('Données projet'!$B$9,Paramètres!$A$1:$I$89,3,0)*0.475*44/12</f>
        <v>3.6970869398691027E-10</v>
      </c>
      <c r="AC102" s="24">
        <f t="shared" si="57"/>
        <v>1.0893452319361949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3.2</v>
      </c>
      <c r="AI102" s="14">
        <f>IF('Données projet'!$A$62&gt;35,AI101+AH102-AQ101,IF(A102&lt;'Données projet'!$A$62,$AF$205^A102,IF(A102='Données projet'!$A$62,'Données projet'!$B$62,AI101+AH102-AQ101)))</f>
        <v>282.79999999999973</v>
      </c>
      <c r="AJ102" s="14">
        <f>AI102*VLOOKUP('Données projet'!$B$10,Paramètres!$A$1:$I$89,3,0)*VLOOKUP('Données projet'!$B$10,Paramètres!$A$1:$I$89,5,0)</f>
        <v>247.05407999999977</v>
      </c>
      <c r="AK102" s="14">
        <f t="shared" si="89"/>
        <v>59.954681887523478</v>
      </c>
      <c r="AL102" s="22">
        <f t="shared" si="58"/>
        <v>534.70692695410298</v>
      </c>
      <c r="AM102" s="62">
        <f t="shared" si="59"/>
        <v>828.04026028743624</v>
      </c>
      <c r="AN102" s="62">
        <f ca="1">AVERAGE(OFFSET($AM$3,0,0,'Données projet'!$E$10+1,1))-AVERAGE(OFFSET($H$3,0,0,'Données projet'!$E$10+1,1))</f>
        <v>401.89597032936751</v>
      </c>
      <c r="AO102" s="62">
        <f t="shared" si="90"/>
        <v>417.85733543972361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4.7</v>
      </c>
      <c r="BD102" s="13">
        <f>IF('Données projet'!$A$88&gt;35,BD101+BC102-BL101,IF(A102&lt;'Données projet'!$A$88,$BA$205^A102,IF(A102='Données projet'!$A$88,'Données projet'!$B$88,BD101+BC102-BL101)))</f>
        <v>276.79999999999961</v>
      </c>
      <c r="BE102" s="14">
        <f>BD102*VLOOKUP('Données projet'!$B$11,Paramètres!$A$1:$I$89,3,0)*VLOOKUP('Données projet'!$B$11,Paramètres!$A$1:$I$89,5,0)</f>
        <v>250.44863999999961</v>
      </c>
      <c r="BF102" s="14">
        <f t="shared" si="91"/>
        <v>60.682000328889949</v>
      </c>
      <c r="BG102" s="22">
        <f t="shared" si="61"/>
        <v>541.88586523948277</v>
      </c>
      <c r="BH102" s="62">
        <f t="shared" si="62"/>
        <v>835.21919857281614</v>
      </c>
      <c r="BI102" s="62">
        <f ca="1">AVERAGE(OFFSET($BH$3,0,0,'Données projet'!$E$11+1,1))-AVERAGE(OFFSET($H$3,0,0,'Données projet'!$E$11+1,1))</f>
        <v>430.40491895612814</v>
      </c>
      <c r="BJ102" s="62">
        <f t="shared" si="92"/>
        <v>231.36959598460686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3.3333333333333313</v>
      </c>
      <c r="BY102" s="13">
        <f>IF('Données projet'!$A$114&gt;35,BY101+BX102-CG101,IF(A102&lt;'Données projet'!$A$114,$BV$205^A102,IF(A102='Données projet'!$A$114,'Données projet'!$B$114,BY101+BX102-CG101)))</f>
        <v>242.82051282051279</v>
      </c>
      <c r="BZ102" s="14">
        <f>BY102*VLOOKUP('Données projet'!$B$12,Paramètres!$A$1:$I$89,3,0)*VLOOKUP('Données projet'!$B$12,Paramètres!$A$1:$I$89,5,0)</f>
        <v>231.06799999999998</v>
      </c>
      <c r="CA102" s="14">
        <f t="shared" si="93"/>
        <v>56.513545800555768</v>
      </c>
      <c r="CB102" s="22">
        <f t="shared" si="64"/>
        <v>500.87119226930128</v>
      </c>
      <c r="CC102" s="62">
        <f t="shared" si="65"/>
        <v>794.20452560263459</v>
      </c>
      <c r="CD102" s="62">
        <f ca="1">AVERAGE(OFFSET($CC$3,0,0,'Données projet'!$E$12+1,1))-AVERAGE(OFFSET($H$3,0,0,'Données projet'!$E$12+1,1))</f>
        <v>367.11183928586667</v>
      </c>
      <c r="CE102" s="62">
        <f t="shared" si="94"/>
        <v>281.52963027844595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-3.4106051316484809E-13</v>
      </c>
      <c r="CU102" s="18">
        <f>CT102*VLOOKUP('Données projet'!$B$13,Paramètres!$A$1:$I$89,3,0)*VLOOKUP('Données projet'!$B$13,Paramètres!$A$1:$I$89,5,0)</f>
        <v>-2.0395418687257919E-13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308.47522272937135</v>
      </c>
      <c r="CZ102" s="62">
        <f t="shared" si="96"/>
        <v>302.54354650449721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0.56690418560093525</v>
      </c>
      <c r="DH102" s="23">
        <f>EXP(-LN(2)/2)*DH101+(1-EXP(-LN(2)/2))/(LN(2)/2)*DB102*DE102*VLOOKUP('Données projet'!$B$13,Paramètres!$A$1:$I$89,3,0)*0.475*44/12</f>
        <v>7.1096551244524053E-10</v>
      </c>
      <c r="DI102" s="24">
        <f t="shared" si="69"/>
        <v>0.56690418631190076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-5.6843418860808015E-14</v>
      </c>
      <c r="DP102" s="18">
        <f>DO102*VLOOKUP('Données projet'!$B$14,Paramètres!$A$1:$I$89,3,0)*VLOOKUP('Données projet'!$B$14,Paramètres!$A$1:$I$89,5,0)</f>
        <v>-4.5224624045658861E-14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370.58277541710277</v>
      </c>
      <c r="DU102" s="62">
        <f t="shared" si="98"/>
        <v>404.61777090709171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>
        <f>EJ102*VLOOKUP('Données projet'!$B$15,Paramètres!$A$1:$I$89,3,0)*VLOOKUP('Données projet'!$B$15,Paramètres!$A$1:$I$89,5,0)</f>
        <v>0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240.22884864766218</v>
      </c>
      <c r="EP102" s="62">
        <f t="shared" si="100"/>
        <v>343.23776884143166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1.5198599200012008</v>
      </c>
      <c r="EX102" s="23">
        <f>EXP(-LN(2)/2)*EX101+(1-EXP(-LN(2)/2))/(LN(2)/2)*ER102*EU102*VLOOKUP('Données projet'!$B$15,Paramètres!$A$1:$I$89,3,0)*0.475*44/12</f>
        <v>6.7989863193704896E-10</v>
      </c>
      <c r="EY102" s="24">
        <f t="shared" si="75"/>
        <v>1.5198599206810994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15</v>
      </c>
      <c r="FE102" s="13">
        <f>IF('Données projet'!$A$218&gt;35,FE101+FD102-FM101,IF(A102&lt;'Données projet'!$A$218,$FB$205^A102,IF(A102='Données projet'!$A$218,'Données projet'!$B$218,FE101+FD102-FM101)))</f>
        <v>839.99999999999989</v>
      </c>
      <c r="FF102" s="18">
        <f>FE102*VLOOKUP('Données projet'!$B$16,Paramètres!$A$1:$I$89,3,0)*VLOOKUP('Données projet'!$B$16,Paramètres!$A$1:$I$89,5,0)</f>
        <v>393.11999999999989</v>
      </c>
      <c r="FG102" s="14">
        <f t="shared" si="101"/>
        <v>90.380445521044919</v>
      </c>
      <c r="FH102" s="22">
        <f t="shared" si="76"/>
        <v>842.09660928248638</v>
      </c>
      <c r="FI102" s="62">
        <f t="shared" si="77"/>
        <v>1135.4299426158198</v>
      </c>
      <c r="FJ102" s="62">
        <f ca="1">AVERAGE(OFFSET($FI$3,0,0,'Données projet'!$E$16+1,1))-AVERAGE(OFFSET($H$3,0,0,'Données projet'!$E$16+1,1))</f>
        <v>399.92909819003523</v>
      </c>
      <c r="FK102" s="62">
        <f t="shared" si="102"/>
        <v>163.7053537268381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-5.6843418860808015E-14</v>
      </c>
      <c r="GA102" s="18">
        <f>FZ102*VLOOKUP('Données projet'!$B$17,Paramètres!$A$1:$I$89,3,0)*VLOOKUP('Données projet'!$B$17,Paramètres!$A$1:$I$89,5,0)</f>
        <v>-4.1677594708744434E-14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344.4426665022238</v>
      </c>
      <c r="GF102" s="62">
        <f t="shared" si="104"/>
        <v>376.41441893222185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34.200000000000003</v>
      </c>
      <c r="GU102" s="13">
        <f>IF('Données projet'!$A$270&gt;35,GU101+GT102-HC101,IF(A102&lt;'Données projet'!$A$270,$GR$205^A102,IF(A102='Données projet'!$A$270,'Données projet'!$B$270,GU101+GT102-HC101)))</f>
        <v>1218.8000000000006</v>
      </c>
      <c r="GV102" s="18">
        <f>GU102*VLOOKUP('Données projet'!$B$18,Paramètres!$A$1:$I$89,3,0)*VLOOKUP('Données projet'!$B$18,Paramètres!$A$1:$I$89,5,0)</f>
        <v>586.24280000000033</v>
      </c>
      <c r="GW102" s="14">
        <f t="shared" si="105"/>
        <v>128.6546131445312</v>
      </c>
      <c r="GX102" s="22">
        <f t="shared" si="82"/>
        <v>1245.1129945600592</v>
      </c>
      <c r="GY102" s="62">
        <f t="shared" si="83"/>
        <v>1538.4463278933924</v>
      </c>
      <c r="GZ102" s="62">
        <f ca="1">AVERAGE(OFFSET($GY$3,0,0,'Données projet'!$E$18+1,1))-AVERAGE(OFFSET($H$3,0,0,'Données projet'!$E$18+1,1))</f>
        <v>441.17479680509746</v>
      </c>
      <c r="HA102" s="62">
        <f t="shared" si="106"/>
        <v>198.56576128410069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projet'!$B$9,Paramètres!$A$1:$I$89,3,0)*VLOOKUP('Données projet'!$B$9,Paramètres!$A$1:$I$89,5,0)</f>
        <v>-1.9065282685915009E-13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374.79806286316051</v>
      </c>
      <c r="T103" s="62">
        <f t="shared" si="88"/>
        <v>350.01856672839466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1.0595570289231246</v>
      </c>
      <c r="AB103" s="23">
        <f>EXP(-LN(2)/2)*AB102+(1-EXP(-LN(2)/2))/(LN(2)/2)*V103*Y103*VLOOKUP('Données projet'!$B$9,Paramètres!$A$1:$I$89,3,0)*0.475*44/12</f>
        <v>2.6142352458176642E-10</v>
      </c>
      <c r="AC103" s="24">
        <f t="shared" si="57"/>
        <v>1.0595570291845482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286</v>
      </c>
      <c r="AG103" s="13">
        <f>VLOOKUP(A103,'Données projet'!$A$61:$I$81,9,0)</f>
        <v>3.2</v>
      </c>
      <c r="AH103" s="13">
        <f t="array" ref="AH103">INDEX(AG:AG,MIN(IF(ISNUMBER(AG103:AG299),ROW(AG103:AG299),"")))</f>
        <v>3.2</v>
      </c>
      <c r="AI103" s="14">
        <f>IF('Données projet'!$A$62&gt;35,AI102+AH103-AQ102,IF(A103&lt;'Données projet'!$A$62,$AF$205^A103,IF(A103='Données projet'!$A$62,'Données projet'!$B$62,AI102+AH103-AQ102)))</f>
        <v>285.99999999999972</v>
      </c>
      <c r="AJ103" s="14">
        <f>AI103*VLOOKUP('Données projet'!$B$10,Paramètres!$A$1:$I$89,3,0)*VLOOKUP('Données projet'!$B$10,Paramètres!$A$1:$I$89,5,0)</f>
        <v>249.84959999999978</v>
      </c>
      <c r="AK103" s="14">
        <f t="shared" si="89"/>
        <v>60.553733828081292</v>
      </c>
      <c r="AL103" s="22">
        <f t="shared" si="58"/>
        <v>540.6191397505745</v>
      </c>
      <c r="AM103" s="62">
        <f t="shared" si="59"/>
        <v>833.95247308390776</v>
      </c>
      <c r="AN103" s="62">
        <f ca="1">AVERAGE(OFFSET($AM$3,0,0,'Données projet'!$E$10+1,1))-AVERAGE(OFFSET($H$3,0,0,'Données projet'!$E$10+1,1))</f>
        <v>401.89597032936751</v>
      </c>
      <c r="AO103" s="62">
        <f t="shared" si="90"/>
        <v>417.85733543972361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286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4.7</v>
      </c>
      <c r="BD103" s="13">
        <f>IF('Données projet'!$A$88&gt;35,BD102+BC103-BL102,IF(A103&lt;'Données projet'!$A$88,$BA$205^A103,IF(A103='Données projet'!$A$88,'Données projet'!$B$88,BD102+BC103-BL102)))</f>
        <v>281.4999999999996</v>
      </c>
      <c r="BE103" s="14">
        <f>BD103*VLOOKUP('Données projet'!$B$11,Paramètres!$A$1:$I$89,3,0)*VLOOKUP('Données projet'!$B$11,Paramètres!$A$1:$I$89,5,0)</f>
        <v>254.70119999999963</v>
      </c>
      <c r="BF103" s="14">
        <f t="shared" si="91"/>
        <v>61.591537947915114</v>
      </c>
      <c r="BG103" s="22">
        <f t="shared" si="61"/>
        <v>550.87651859261814</v>
      </c>
      <c r="BH103" s="62">
        <f t="shared" si="62"/>
        <v>844.2098519259514</v>
      </c>
      <c r="BI103" s="62">
        <f ca="1">AVERAGE(OFFSET($BH$3,0,0,'Données projet'!$E$11+1,1))-AVERAGE(OFFSET($H$3,0,0,'Données projet'!$E$11+1,1))</f>
        <v>430.40491895612814</v>
      </c>
      <c r="BJ103" s="62">
        <f t="shared" si="92"/>
        <v>231.36959598460686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246.15384615384613</v>
      </c>
      <c r="BW103" s="13">
        <f>VLOOKUP(A103,'Données projet'!$A$113:$I$133,9,0)</f>
        <v>3.3333333333333313</v>
      </c>
      <c r="BX103" s="13">
        <f t="array" ref="BX103">INDEX(BW:BW,MIN(IF(ISNUMBER(BW103:BW299),ROW(BW103:BW299),"")))</f>
        <v>3.3333333333333313</v>
      </c>
      <c r="BY103" s="13">
        <f>IF('Données projet'!$A$114&gt;35,BY102+BX103-CG102,IF(A103&lt;'Données projet'!$A$114,$BV$205^A103,IF(A103='Données projet'!$A$114,'Données projet'!$B$114,BY102+BX103-CG102)))</f>
        <v>246.15384615384613</v>
      </c>
      <c r="BZ103" s="14">
        <f>BY103*VLOOKUP('Données projet'!$B$12,Paramètres!$A$1:$I$89,3,0)*VLOOKUP('Données projet'!$B$12,Paramètres!$A$1:$I$89,5,0)</f>
        <v>234.23999999999998</v>
      </c>
      <c r="CA103" s="14">
        <f t="shared" si="93"/>
        <v>57.19849172024869</v>
      </c>
      <c r="CB103" s="22">
        <f t="shared" si="64"/>
        <v>507.58870641276644</v>
      </c>
      <c r="CC103" s="62">
        <f t="shared" si="65"/>
        <v>800.9220397460997</v>
      </c>
      <c r="CD103" s="62">
        <f ca="1">AVERAGE(OFFSET($CC$3,0,0,'Données projet'!$E$12+1,1))-AVERAGE(OFFSET($H$3,0,0,'Données projet'!$E$12+1,1))</f>
        <v>367.11183928586667</v>
      </c>
      <c r="CE103" s="62">
        <f t="shared" si="94"/>
        <v>281.52963027844595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23.717948717948715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-3.4106051316484809E-13</v>
      </c>
      <c r="CU103" s="18">
        <f>CT103*VLOOKUP('Données projet'!$B$13,Paramètres!$A$1:$I$89,3,0)*VLOOKUP('Données projet'!$B$13,Paramètres!$A$1:$I$89,5,0)</f>
        <v>-2.0395418687257919E-13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308.47522272937135</v>
      </c>
      <c r="CZ103" s="62">
        <f t="shared" si="96"/>
        <v>302.54354650449721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0.55140216083348226</v>
      </c>
      <c r="DH103" s="23">
        <f>EXP(-LN(2)/2)*DH102+(1-EXP(-LN(2)/2))/(LN(2)/2)*DB103*DE103*VLOOKUP('Données projet'!$B$13,Paramètres!$A$1:$I$89,3,0)*0.475*44/12</f>
        <v>5.0272853503979831E-10</v>
      </c>
      <c r="DI103" s="24">
        <f t="shared" si="69"/>
        <v>0.55140216133621078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-5.6843418860808015E-14</v>
      </c>
      <c r="DP103" s="18">
        <f>DO103*VLOOKUP('Données projet'!$B$14,Paramètres!$A$1:$I$89,3,0)*VLOOKUP('Données projet'!$B$14,Paramètres!$A$1:$I$89,5,0)</f>
        <v>-4.5224624045658861E-14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370.58277541710277</v>
      </c>
      <c r="DU103" s="62">
        <f t="shared" si="98"/>
        <v>404.61777090709171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>
        <f>EJ103*VLOOKUP('Données projet'!$B$15,Paramètres!$A$1:$I$89,3,0)*VLOOKUP('Données projet'!$B$15,Paramètres!$A$1:$I$89,5,0)</f>
        <v>0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240.22884864766218</v>
      </c>
      <c r="EP103" s="62">
        <f t="shared" si="100"/>
        <v>343.23776884143166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1.4782992705628084</v>
      </c>
      <c r="EX103" s="23">
        <f>EXP(-LN(2)/2)*EX102+(1-EXP(-LN(2)/2))/(LN(2)/2)*ER103*EU103*VLOOKUP('Données projet'!$B$15,Paramètres!$A$1:$I$89,3,0)*0.475*44/12</f>
        <v>4.8076093316214388E-10</v>
      </c>
      <c r="EY103" s="24">
        <f t="shared" si="75"/>
        <v>1.4782992710435694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855</v>
      </c>
      <c r="FC103" s="13">
        <f>VLOOKUP(A103,'Données projet'!$A$217:$I$237,9,0)</f>
        <v>15</v>
      </c>
      <c r="FD103" s="13">
        <f t="array" ref="FD103">INDEX(FC:FC,MIN(IF(ISNUMBER(FC103:FC299),ROW(FC103:FC299),"")))</f>
        <v>15</v>
      </c>
      <c r="FE103" s="13">
        <f>IF('Données projet'!$A$218&gt;35,FE102+FD103-FM102,IF(A103&lt;'Données projet'!$A$218,$FB$205^A103,IF(A103='Données projet'!$A$218,'Données projet'!$B$218,FE102+FD103-FM102)))</f>
        <v>854.99999999999989</v>
      </c>
      <c r="FF103" s="18">
        <f>FE103*VLOOKUP('Données projet'!$B$16,Paramètres!$A$1:$I$89,3,0)*VLOOKUP('Données projet'!$B$16,Paramètres!$A$1:$I$89,5,0)</f>
        <v>400.13999999999993</v>
      </c>
      <c r="FG103" s="14">
        <f t="shared" si="101"/>
        <v>91.805047494648534</v>
      </c>
      <c r="FH103" s="22">
        <f t="shared" si="76"/>
        <v>856.80429105317944</v>
      </c>
      <c r="FI103" s="62">
        <f t="shared" si="77"/>
        <v>1150.1376243865127</v>
      </c>
      <c r="FJ103" s="62">
        <f ca="1">AVERAGE(OFFSET($FI$3,0,0,'Données projet'!$E$16+1,1))-AVERAGE(OFFSET($H$3,0,0,'Données projet'!$E$16+1,1))</f>
        <v>399.92909819003523</v>
      </c>
      <c r="FK103" s="62">
        <f t="shared" si="102"/>
        <v>163.7053537268381</v>
      </c>
      <c r="FL103" s="16">
        <f>IF(ISNA(VLOOKUP(A103,'Données projet'!$A$217:$I$237,3,0)),0,VLOOKUP(A103,'Données projet'!$A$217:$I$237,3,0))</f>
        <v>7</v>
      </c>
      <c r="FM103" s="16">
        <f>IF(ISNA(VLOOKUP(A103,'Données projet'!$A$217:$I$237,4,0)),0,VLOOKUP(A103,'Données projet'!$A$217:$I$237,4,0))</f>
        <v>855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-5.6843418860808015E-14</v>
      </c>
      <c r="GA103" s="18">
        <f>FZ103*VLOOKUP('Données projet'!$B$17,Paramètres!$A$1:$I$89,3,0)*VLOOKUP('Données projet'!$B$17,Paramètres!$A$1:$I$89,5,0)</f>
        <v>-4.1677594708744434E-14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344.4426665022238</v>
      </c>
      <c r="GF103" s="62">
        <f t="shared" si="104"/>
        <v>376.41441893222185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1253</v>
      </c>
      <c r="GS103" s="13">
        <f>VLOOKUP(A103,'Données projet'!$A$269:$I$289,9,0)</f>
        <v>34.200000000000003</v>
      </c>
      <c r="GT103" s="13">
        <f t="array" ref="GT103">INDEX(GS:GS,MIN(IF(ISNUMBER(GS103:GS299),ROW(GS103:GS299),"")))</f>
        <v>34.200000000000003</v>
      </c>
      <c r="GU103" s="13">
        <f>IF('Données projet'!$A$270&gt;35,GU102+GT103-HC102,IF(A103&lt;'Données projet'!$A$270,$GR$205^A103,IF(A103='Données projet'!$A$270,'Données projet'!$B$270,GU102+GT103-HC102)))</f>
        <v>1253.0000000000007</v>
      </c>
      <c r="GV103" s="18">
        <f>GU103*VLOOKUP('Données projet'!$B$18,Paramètres!$A$1:$I$89,3,0)*VLOOKUP('Données projet'!$B$18,Paramètres!$A$1:$I$89,5,0)</f>
        <v>602.69300000000032</v>
      </c>
      <c r="GW103" s="14">
        <f t="shared" si="105"/>
        <v>131.83934013478344</v>
      </c>
      <c r="GX103" s="22">
        <f t="shared" si="82"/>
        <v>1279.3104924014149</v>
      </c>
      <c r="GY103" s="62">
        <f t="shared" si="83"/>
        <v>1572.6438257347481</v>
      </c>
      <c r="GZ103" s="62">
        <f ca="1">AVERAGE(OFFSET($GY$3,0,0,'Données projet'!$E$18+1,1))-AVERAGE(OFFSET($H$3,0,0,'Données projet'!$E$18+1,1))</f>
        <v>441.17479680509746</v>
      </c>
      <c r="HA103" s="62">
        <f t="shared" si="106"/>
        <v>198.56576128410069</v>
      </c>
      <c r="HB103" s="16">
        <f>IF(ISNA(VLOOKUP(A103,'Données projet'!$A$269:$I$289,3,0)),0,VLOOKUP(A103,'Données projet'!$A$269:$I$289,3,0))</f>
        <v>7</v>
      </c>
      <c r="HC103" s="16">
        <f>IF(ISNA(VLOOKUP(A103,'Données projet'!$A$269:$I$289,4,0)),0,VLOOKUP(A103,'Données projet'!$A$269:$I$289,4,0))</f>
        <v>1253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projet'!$B$9,Paramètres!$A$1:$I$89,3,0)*VLOOKUP('Données projet'!$B$9,Paramètres!$A$1:$I$89,5,0)</f>
        <v>-1.9065282685915009E-13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374.79806286316051</v>
      </c>
      <c r="T104" s="62">
        <f t="shared" si="88"/>
        <v>350.01856672839466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1.0305833862475393</v>
      </c>
      <c r="AB104" s="23">
        <f>EXP(-LN(2)/2)*AB103+(1-EXP(-LN(2)/2))/(LN(2)/2)*V104*Y104*VLOOKUP('Données projet'!$B$9,Paramètres!$A$1:$I$89,3,0)*0.475*44/12</f>
        <v>1.8485434699345514E-10</v>
      </c>
      <c r="AC104" s="24">
        <f t="shared" si="57"/>
        <v>1.0305833864323937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-2.8421709430404007E-13</v>
      </c>
      <c r="AJ104" s="14">
        <f>AI104*VLOOKUP('Données projet'!$B$10,Paramètres!$A$1:$I$89,3,0)*VLOOKUP('Données projet'!$B$10,Paramètres!$A$1:$I$89,5,0)</f>
        <v>-2.4829205358400943E-13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401.89597032936751</v>
      </c>
      <c r="AO104" s="62">
        <f t="shared" si="90"/>
        <v>417.85733543972361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4.7</v>
      </c>
      <c r="BD104" s="13">
        <f>IF('Données projet'!$A$88&gt;35,BD103+BC104-BL103,IF(A104&lt;'Données projet'!$A$88,$BA$205^A104,IF(A104='Données projet'!$A$88,'Données projet'!$B$88,BD103+BC104-BL103)))</f>
        <v>286.19999999999959</v>
      </c>
      <c r="BE104" s="14">
        <f>BD104*VLOOKUP('Données projet'!$B$11,Paramètres!$A$1:$I$89,3,0)*VLOOKUP('Données projet'!$B$11,Paramètres!$A$1:$I$89,5,0)</f>
        <v>258.95375999999965</v>
      </c>
      <c r="BF104" s="14">
        <f t="shared" si="91"/>
        <v>62.499309559645205</v>
      </c>
      <c r="BG104" s="22">
        <f t="shared" si="61"/>
        <v>559.86409614971478</v>
      </c>
      <c r="BH104" s="62">
        <f t="shared" si="62"/>
        <v>853.19742948304815</v>
      </c>
      <c r="BI104" s="62">
        <f ca="1">AVERAGE(OFFSET($BH$3,0,0,'Données projet'!$E$11+1,1))-AVERAGE(OFFSET($H$3,0,0,'Données projet'!$E$11+1,1))</f>
        <v>430.40491895612814</v>
      </c>
      <c r="BJ104" s="62">
        <f t="shared" si="92"/>
        <v>231.36959598460686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3.0769230769230802</v>
      </c>
      <c r="BY104" s="13">
        <f>IF('Données projet'!$A$114&gt;35,BY103+BX104-CG103,IF(A104&lt;'Données projet'!$A$114,$BV$205^A104,IF(A104='Données projet'!$A$114,'Données projet'!$B$114,BY103+BX104-CG103)))</f>
        <v>225.5128205128205</v>
      </c>
      <c r="BZ104" s="14">
        <f>BY104*VLOOKUP('Données projet'!$B$12,Paramètres!$A$1:$I$89,3,0)*VLOOKUP('Données projet'!$B$12,Paramètres!$A$1:$I$89,5,0)</f>
        <v>214.59800000000001</v>
      </c>
      <c r="CA104" s="14">
        <f t="shared" si="93"/>
        <v>52.939094303283817</v>
      </c>
      <c r="CB104" s="22">
        <f t="shared" si="64"/>
        <v>465.96043924488595</v>
      </c>
      <c r="CC104" s="62">
        <f t="shared" si="65"/>
        <v>759.2937725782192</v>
      </c>
      <c r="CD104" s="62">
        <f ca="1">AVERAGE(OFFSET($CC$3,0,0,'Données projet'!$E$12+1,1))-AVERAGE(OFFSET($H$3,0,0,'Données projet'!$E$12+1,1))</f>
        <v>367.11183928586667</v>
      </c>
      <c r="CE104" s="62">
        <f t="shared" si="94"/>
        <v>281.52963027844595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-3.4106051316484809E-13</v>
      </c>
      <c r="CU104" s="18">
        <f>CT104*VLOOKUP('Données projet'!$B$13,Paramètres!$A$1:$I$89,3,0)*VLOOKUP('Données projet'!$B$13,Paramètres!$A$1:$I$89,5,0)</f>
        <v>-2.0395418687257919E-13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308.47522272937135</v>
      </c>
      <c r="CZ104" s="62">
        <f t="shared" si="96"/>
        <v>302.54354650449721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0.53632403974851128</v>
      </c>
      <c r="DH104" s="23">
        <f>EXP(-LN(2)/2)*DH103+(1-EXP(-LN(2)/2))/(LN(2)/2)*DB104*DE104*VLOOKUP('Données projet'!$B$13,Paramètres!$A$1:$I$89,3,0)*0.475*44/12</f>
        <v>3.5548275622262027E-10</v>
      </c>
      <c r="DI104" s="24">
        <f t="shared" si="69"/>
        <v>0.53632404010399404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-5.6843418860808015E-14</v>
      </c>
      <c r="DP104" s="18">
        <f>DO104*VLOOKUP('Données projet'!$B$14,Paramètres!$A$1:$I$89,3,0)*VLOOKUP('Données projet'!$B$14,Paramètres!$A$1:$I$89,5,0)</f>
        <v>-4.5224624045658861E-14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370.58277541710277</v>
      </c>
      <c r="DU104" s="62">
        <f t="shared" si="98"/>
        <v>404.61777090709171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>
        <f>EJ104*VLOOKUP('Données projet'!$B$15,Paramètres!$A$1:$I$89,3,0)*VLOOKUP('Données projet'!$B$15,Paramètres!$A$1:$I$89,5,0)</f>
        <v>0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240.22884864766218</v>
      </c>
      <c r="EP104" s="62">
        <f t="shared" si="100"/>
        <v>343.23776884143166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1.4378750992688885</v>
      </c>
      <c r="EX104" s="23">
        <f>EXP(-LN(2)/2)*EX103+(1-EXP(-LN(2)/2))/(LN(2)/2)*ER104*EU104*VLOOKUP('Données projet'!$B$15,Paramètres!$A$1:$I$89,3,0)*0.475*44/12</f>
        <v>3.3994931596852448E-10</v>
      </c>
      <c r="EY104" s="24">
        <f t="shared" si="75"/>
        <v>1.4378750996088379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-1.1368683772161603E-13</v>
      </c>
      <c r="FF104" s="18">
        <f>FE104*VLOOKUP('Données projet'!$B$16,Paramètres!$A$1:$I$89,3,0)*VLOOKUP('Données projet'!$B$16,Paramètres!$A$1:$I$89,5,0)</f>
        <v>-5.3205440053716299E-14</v>
      </c>
      <c r="FG104" s="14" t="e">
        <f t="shared" si="101"/>
        <v>#NUM!</v>
      </c>
      <c r="FH104" s="22" t="e">
        <f t="shared" si="76"/>
        <v>#NUM!</v>
      </c>
      <c r="FI104" s="62" t="e">
        <f t="shared" si="77"/>
        <v>#NUM!</v>
      </c>
      <c r="FJ104" s="62">
        <f ca="1">AVERAGE(OFFSET($FI$3,0,0,'Données projet'!$E$16+1,1))-AVERAGE(OFFSET($H$3,0,0,'Données projet'!$E$16+1,1))</f>
        <v>399.92909819003523</v>
      </c>
      <c r="FK104" s="62">
        <f t="shared" si="102"/>
        <v>163.7053537268381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-5.6843418860808015E-14</v>
      </c>
      <c r="GA104" s="18">
        <f>FZ104*VLOOKUP('Données projet'!$B$17,Paramètres!$A$1:$I$89,3,0)*VLOOKUP('Données projet'!$B$17,Paramètres!$A$1:$I$89,5,0)</f>
        <v>-4.1677594708744434E-14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344.4426665022238</v>
      </c>
      <c r="GF104" s="62">
        <f t="shared" si="104"/>
        <v>376.41441893222185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6.8212102632969618E-13</v>
      </c>
      <c r="GV104" s="18">
        <f>GU104*VLOOKUP('Données projet'!$B$18,Paramètres!$A$1:$I$89,3,0)*VLOOKUP('Données projet'!$B$18,Paramètres!$A$1:$I$89,5,0)</f>
        <v>3.2810021366458383E-13</v>
      </c>
      <c r="GW104" s="14">
        <f t="shared" si="105"/>
        <v>4.2923528923937213E-12</v>
      </c>
      <c r="GX104" s="22">
        <f t="shared" si="82"/>
        <v>8.0472891597182151E-12</v>
      </c>
      <c r="GY104" s="62">
        <f t="shared" si="83"/>
        <v>293.33333333334139</v>
      </c>
      <c r="GZ104" s="62">
        <f ca="1">AVERAGE(OFFSET($GY$3,0,0,'Données projet'!$E$18+1,1))-AVERAGE(OFFSET($H$3,0,0,'Données projet'!$E$18+1,1))</f>
        <v>441.17479680509746</v>
      </c>
      <c r="HA104" s="62">
        <f t="shared" si="106"/>
        <v>198.56576128410069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projet'!$B$9,Paramètres!$A$1:$I$89,3,0)*VLOOKUP('Données projet'!$B$9,Paramètres!$A$1:$I$89,5,0)</f>
        <v>-1.9065282685915009E-13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374.79806286316051</v>
      </c>
      <c r="T105" s="62">
        <f t="shared" si="88"/>
        <v>350.01856672839466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1.0024020293545755</v>
      </c>
      <c r="AB105" s="23">
        <f>EXP(-LN(2)/2)*AB104+(1-EXP(-LN(2)/2))/(LN(2)/2)*V105*Y105*VLOOKUP('Données projet'!$B$9,Paramètres!$A$1:$I$89,3,0)*0.475*44/12</f>
        <v>1.3071176229088321E-10</v>
      </c>
      <c r="AC105" s="24">
        <f t="shared" si="57"/>
        <v>1.0024020294852871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-2.8421709430404007E-13</v>
      </c>
      <c r="AJ105" s="14">
        <f>AI105*VLOOKUP('Données projet'!$B$10,Paramètres!$A$1:$I$89,3,0)*VLOOKUP('Données projet'!$B$10,Paramètres!$A$1:$I$89,5,0)</f>
        <v>-2.4829205358400943E-13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401.89597032936751</v>
      </c>
      <c r="AO105" s="62">
        <f t="shared" si="90"/>
        <v>417.85733543972361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4.7</v>
      </c>
      <c r="BD105" s="13">
        <f>IF('Données projet'!$A$88&gt;35,BD104+BC105-BL104,IF(A105&lt;'Données projet'!$A$88,$BA$205^A105,IF(A105='Données projet'!$A$88,'Données projet'!$B$88,BD104+BC105-BL104)))</f>
        <v>290.89999999999958</v>
      </c>
      <c r="BE105" s="14">
        <f>BD105*VLOOKUP('Données projet'!$B$11,Paramètres!$A$1:$I$89,3,0)*VLOOKUP('Données projet'!$B$11,Paramètres!$A$1:$I$89,5,0)</f>
        <v>263.20631999999961</v>
      </c>
      <c r="BF105" s="14">
        <f t="shared" si="91"/>
        <v>63.405347513378558</v>
      </c>
      <c r="BG105" s="22">
        <f t="shared" si="61"/>
        <v>568.84865425246687</v>
      </c>
      <c r="BH105" s="62">
        <f t="shared" si="62"/>
        <v>862.18198758580024</v>
      </c>
      <c r="BI105" s="62">
        <f ca="1">AVERAGE(OFFSET($BH$3,0,0,'Données projet'!$E$11+1,1))-AVERAGE(OFFSET($H$3,0,0,'Données projet'!$E$11+1,1))</f>
        <v>430.40491895612814</v>
      </c>
      <c r="BJ105" s="62">
        <f t="shared" si="92"/>
        <v>231.36959598460686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3.0769230769230802</v>
      </c>
      <c r="BY105" s="13">
        <f>IF('Données projet'!$A$114&gt;35,BY104+BX105-CG104,IF(A105&lt;'Données projet'!$A$114,$BV$205^A105,IF(A105='Données projet'!$A$114,'Données projet'!$B$114,BY104+BX105-CG104)))</f>
        <v>228.58974358974359</v>
      </c>
      <c r="BZ105" s="14">
        <f>BY105*VLOOKUP('Données projet'!$B$12,Paramètres!$A$1:$I$89,3,0)*VLOOKUP('Données projet'!$B$12,Paramètres!$A$1:$I$89,5,0)</f>
        <v>217.52600000000001</v>
      </c>
      <c r="CA105" s="14">
        <f t="shared" si="93"/>
        <v>53.576820638117503</v>
      </c>
      <c r="CB105" s="22">
        <f t="shared" si="64"/>
        <v>472.17074594472138</v>
      </c>
      <c r="CC105" s="62">
        <f t="shared" si="65"/>
        <v>765.50407927805463</v>
      </c>
      <c r="CD105" s="62">
        <f ca="1">AVERAGE(OFFSET($CC$3,0,0,'Données projet'!$E$12+1,1))-AVERAGE(OFFSET($H$3,0,0,'Données projet'!$E$12+1,1))</f>
        <v>367.11183928586667</v>
      </c>
      <c r="CE105" s="62">
        <f t="shared" si="94"/>
        <v>281.52963027844595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-3.4106051316484809E-13</v>
      </c>
      <c r="CU105" s="18">
        <f>CT105*VLOOKUP('Données projet'!$B$13,Paramètres!$A$1:$I$89,3,0)*VLOOKUP('Données projet'!$B$13,Paramètres!$A$1:$I$89,5,0)</f>
        <v>-2.0395418687257919E-13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308.47522272937135</v>
      </c>
      <c r="CZ105" s="62">
        <f t="shared" si="96"/>
        <v>302.54354650449721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0.52165823067753281</v>
      </c>
      <c r="DH105" s="23">
        <f>EXP(-LN(2)/2)*DH104+(1-EXP(-LN(2)/2))/(LN(2)/2)*DB105*DE105*VLOOKUP('Données projet'!$B$13,Paramètres!$A$1:$I$89,3,0)*0.475*44/12</f>
        <v>2.5136426751989916E-10</v>
      </c>
      <c r="DI105" s="24">
        <f t="shared" si="69"/>
        <v>0.52165823092889707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-5.6843418860808015E-14</v>
      </c>
      <c r="DP105" s="18">
        <f>DO105*VLOOKUP('Données projet'!$B$14,Paramètres!$A$1:$I$89,3,0)*VLOOKUP('Données projet'!$B$14,Paramètres!$A$1:$I$89,5,0)</f>
        <v>-4.5224624045658861E-14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370.58277541710277</v>
      </c>
      <c r="DU105" s="62">
        <f t="shared" si="98"/>
        <v>404.61777090709171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>
        <f>EJ105*VLOOKUP('Données projet'!$B$15,Paramètres!$A$1:$I$89,3,0)*VLOOKUP('Données projet'!$B$15,Paramètres!$A$1:$I$89,5,0)</f>
        <v>0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240.22884864766218</v>
      </c>
      <c r="EP105" s="62">
        <f t="shared" si="100"/>
        <v>343.23776884143166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1.3985563290648155</v>
      </c>
      <c r="EX105" s="23">
        <f>EXP(-LN(2)/2)*EX104+(1-EXP(-LN(2)/2))/(LN(2)/2)*ER105*EU105*VLOOKUP('Données projet'!$B$15,Paramètres!$A$1:$I$89,3,0)*0.475*44/12</f>
        <v>2.4038046658107194E-10</v>
      </c>
      <c r="EY105" s="24">
        <f t="shared" si="75"/>
        <v>1.3985563293051959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-1.1368683772161603E-13</v>
      </c>
      <c r="FF105" s="18">
        <f>FE105*VLOOKUP('Données projet'!$B$16,Paramètres!$A$1:$I$89,3,0)*VLOOKUP('Données projet'!$B$16,Paramètres!$A$1:$I$89,5,0)</f>
        <v>-5.3205440053716299E-14</v>
      </c>
      <c r="FG105" s="14" t="e">
        <f t="shared" si="101"/>
        <v>#NUM!</v>
      </c>
      <c r="FH105" s="22" t="e">
        <f t="shared" si="76"/>
        <v>#NUM!</v>
      </c>
      <c r="FI105" s="62" t="e">
        <f t="shared" si="77"/>
        <v>#NUM!</v>
      </c>
      <c r="FJ105" s="62">
        <f ca="1">AVERAGE(OFFSET($FI$3,0,0,'Données projet'!$E$16+1,1))-AVERAGE(OFFSET($H$3,0,0,'Données projet'!$E$16+1,1))</f>
        <v>399.92909819003523</v>
      </c>
      <c r="FK105" s="62">
        <f t="shared" si="102"/>
        <v>163.7053537268381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-5.6843418860808015E-14</v>
      </c>
      <c r="GA105" s="18">
        <f>FZ105*VLOOKUP('Données projet'!$B$17,Paramètres!$A$1:$I$89,3,0)*VLOOKUP('Données projet'!$B$17,Paramètres!$A$1:$I$89,5,0)</f>
        <v>-4.1677594708744434E-14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344.4426665022238</v>
      </c>
      <c r="GF105" s="62">
        <f t="shared" si="104"/>
        <v>376.41441893222185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6.8212102632969618E-13</v>
      </c>
      <c r="GV105" s="18">
        <f>GU105*VLOOKUP('Données projet'!$B$18,Paramètres!$A$1:$I$89,3,0)*VLOOKUP('Données projet'!$B$18,Paramètres!$A$1:$I$89,5,0)</f>
        <v>3.2810021366458383E-13</v>
      </c>
      <c r="GW105" s="14">
        <f t="shared" si="105"/>
        <v>4.2923528923937213E-12</v>
      </c>
      <c r="GX105" s="22">
        <f t="shared" si="82"/>
        <v>8.0472891597182151E-12</v>
      </c>
      <c r="GY105" s="62">
        <f t="shared" si="83"/>
        <v>293.33333333334139</v>
      </c>
      <c r="GZ105" s="62">
        <f ca="1">AVERAGE(OFFSET($GY$3,0,0,'Données projet'!$E$18+1,1))-AVERAGE(OFFSET($H$3,0,0,'Données projet'!$E$18+1,1))</f>
        <v>441.17479680509746</v>
      </c>
      <c r="HA105" s="62">
        <f t="shared" si="106"/>
        <v>198.56576128410069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projet'!$B$9,Paramètres!$A$1:$I$89,3,0)*VLOOKUP('Données projet'!$B$9,Paramètres!$A$1:$I$89,5,0)</f>
        <v>-1.9065282685915009E-13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374.79806286316051</v>
      </c>
      <c r="T106" s="62">
        <f t="shared" si="88"/>
        <v>350.01856672839466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0.97499129314784283</v>
      </c>
      <c r="AB106" s="23">
        <f>EXP(-LN(2)/2)*AB105+(1-EXP(-LN(2)/2))/(LN(2)/2)*V106*Y106*VLOOKUP('Données projet'!$B$9,Paramètres!$A$1:$I$89,3,0)*0.475*44/12</f>
        <v>9.2427173496727568E-11</v>
      </c>
      <c r="AC106" s="24">
        <f t="shared" si="57"/>
        <v>0.97499129324027001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-2.8421709430404007E-13</v>
      </c>
      <c r="AJ106" s="14">
        <f>AI106*VLOOKUP('Données projet'!$B$10,Paramètres!$A$1:$I$89,3,0)*VLOOKUP('Données projet'!$B$10,Paramètres!$A$1:$I$89,5,0)</f>
        <v>-2.4829205358400943E-13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401.89597032936751</v>
      </c>
      <c r="AO106" s="62">
        <f t="shared" si="90"/>
        <v>417.85733543972361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4.7</v>
      </c>
      <c r="BD106" s="13">
        <f>IF('Données projet'!$A$88&gt;35,BD105+BC106-BL105,IF(A106&lt;'Données projet'!$A$88,$BA$205^A106,IF(A106='Données projet'!$A$88,'Données projet'!$B$88,BD105+BC106-BL105)))</f>
        <v>295.59999999999957</v>
      </c>
      <c r="BE106" s="14">
        <f>BD106*VLOOKUP('Données projet'!$B$11,Paramètres!$A$1:$I$89,3,0)*VLOOKUP('Données projet'!$B$11,Paramètres!$A$1:$I$89,5,0)</f>
        <v>267.45887999999962</v>
      </c>
      <c r="BF106" s="14">
        <f t="shared" si="91"/>
        <v>64.309683053152327</v>
      </c>
      <c r="BG106" s="22">
        <f t="shared" si="61"/>
        <v>577.83024731757303</v>
      </c>
      <c r="BH106" s="62">
        <f t="shared" si="62"/>
        <v>871.1635806509064</v>
      </c>
      <c r="BI106" s="62">
        <f ca="1">AVERAGE(OFFSET($BH$3,0,0,'Données projet'!$E$11+1,1))-AVERAGE(OFFSET($H$3,0,0,'Données projet'!$E$11+1,1))</f>
        <v>430.40491895612814</v>
      </c>
      <c r="BJ106" s="62">
        <f t="shared" si="92"/>
        <v>231.36959598460686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3.0769230769230802</v>
      </c>
      <c r="BY106" s="13">
        <f>IF('Données projet'!$A$114&gt;35,BY105+BX106-CG105,IF(A106&lt;'Données projet'!$A$114,$BV$205^A106,IF(A106='Données projet'!$A$114,'Données projet'!$B$114,BY105+BX106-CG105)))</f>
        <v>231.66666666666669</v>
      </c>
      <c r="BZ106" s="14">
        <f>BY106*VLOOKUP('Données projet'!$B$12,Paramètres!$A$1:$I$89,3,0)*VLOOKUP('Données projet'!$B$12,Paramètres!$A$1:$I$89,5,0)</f>
        <v>220.45400000000001</v>
      </c>
      <c r="CA106" s="14">
        <f t="shared" si="93"/>
        <v>54.213548535376205</v>
      </c>
      <c r="CB106" s="22">
        <f t="shared" si="64"/>
        <v>478.37931369911365</v>
      </c>
      <c r="CC106" s="62">
        <f t="shared" si="65"/>
        <v>771.71264703244697</v>
      </c>
      <c r="CD106" s="62">
        <f ca="1">AVERAGE(OFFSET($CC$3,0,0,'Données projet'!$E$12+1,1))-AVERAGE(OFFSET($H$3,0,0,'Données projet'!$E$12+1,1))</f>
        <v>367.11183928586667</v>
      </c>
      <c r="CE106" s="62">
        <f t="shared" si="94"/>
        <v>281.52963027844595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-3.4106051316484809E-13</v>
      </c>
      <c r="CU106" s="18">
        <f>CT106*VLOOKUP('Données projet'!$B$13,Paramètres!$A$1:$I$89,3,0)*VLOOKUP('Données projet'!$B$13,Paramètres!$A$1:$I$89,5,0)</f>
        <v>-2.0395418687257919E-13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308.47522272937135</v>
      </c>
      <c r="CZ106" s="62">
        <f t="shared" si="96"/>
        <v>302.54354650449721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0.50739345892684162</v>
      </c>
      <c r="DH106" s="23">
        <f>EXP(-LN(2)/2)*DH105+(1-EXP(-LN(2)/2))/(LN(2)/2)*DB106*DE106*VLOOKUP('Données projet'!$B$13,Paramètres!$A$1:$I$89,3,0)*0.475*44/12</f>
        <v>1.7774137811131013E-10</v>
      </c>
      <c r="DI106" s="24">
        <f t="shared" si="69"/>
        <v>0.507393459104583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-5.6843418860808015E-14</v>
      </c>
      <c r="DP106" s="18">
        <f>DO106*VLOOKUP('Données projet'!$B$14,Paramètres!$A$1:$I$89,3,0)*VLOOKUP('Données projet'!$B$14,Paramètres!$A$1:$I$89,5,0)</f>
        <v>-4.5224624045658861E-14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370.58277541710277</v>
      </c>
      <c r="DU106" s="62">
        <f t="shared" si="98"/>
        <v>404.61777090709171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>
        <f>EJ106*VLOOKUP('Données projet'!$B$15,Paramètres!$A$1:$I$89,3,0)*VLOOKUP('Données projet'!$B$15,Paramètres!$A$1:$I$89,5,0)</f>
        <v>0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240.22884864766218</v>
      </c>
      <c r="EP106" s="62">
        <f t="shared" si="100"/>
        <v>343.23776884143166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1.3603127326996574</v>
      </c>
      <c r="EX106" s="23">
        <f>EXP(-LN(2)/2)*EX105+(1-EXP(-LN(2)/2))/(LN(2)/2)*ER106*EU106*VLOOKUP('Données projet'!$B$15,Paramètres!$A$1:$I$89,3,0)*0.475*44/12</f>
        <v>1.6997465798426224E-10</v>
      </c>
      <c r="EY106" s="24">
        <f t="shared" si="75"/>
        <v>1.3603127328696321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-1.1368683772161603E-13</v>
      </c>
      <c r="FF106" s="18">
        <f>FE106*VLOOKUP('Données projet'!$B$16,Paramètres!$A$1:$I$89,3,0)*VLOOKUP('Données projet'!$B$16,Paramètres!$A$1:$I$89,5,0)</f>
        <v>-5.3205440053716299E-14</v>
      </c>
      <c r="FG106" s="14" t="e">
        <f t="shared" si="101"/>
        <v>#NUM!</v>
      </c>
      <c r="FH106" s="22" t="e">
        <f t="shared" si="76"/>
        <v>#NUM!</v>
      </c>
      <c r="FI106" s="62" t="e">
        <f t="shared" si="77"/>
        <v>#NUM!</v>
      </c>
      <c r="FJ106" s="62">
        <f ca="1">AVERAGE(OFFSET($FI$3,0,0,'Données projet'!$E$16+1,1))-AVERAGE(OFFSET($H$3,0,0,'Données projet'!$E$16+1,1))</f>
        <v>399.92909819003523</v>
      </c>
      <c r="FK106" s="62">
        <f t="shared" si="102"/>
        <v>163.7053537268381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-5.6843418860808015E-14</v>
      </c>
      <c r="GA106" s="18">
        <f>FZ106*VLOOKUP('Données projet'!$B$17,Paramètres!$A$1:$I$89,3,0)*VLOOKUP('Données projet'!$B$17,Paramètres!$A$1:$I$89,5,0)</f>
        <v>-4.1677594708744434E-14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344.4426665022238</v>
      </c>
      <c r="GF106" s="62">
        <f t="shared" si="104"/>
        <v>376.41441893222185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6.8212102632969618E-13</v>
      </c>
      <c r="GV106" s="18">
        <f>GU106*VLOOKUP('Données projet'!$B$18,Paramètres!$A$1:$I$89,3,0)*VLOOKUP('Données projet'!$B$18,Paramètres!$A$1:$I$89,5,0)</f>
        <v>3.2810021366458383E-13</v>
      </c>
      <c r="GW106" s="14">
        <f t="shared" si="105"/>
        <v>4.2923528923937213E-12</v>
      </c>
      <c r="GX106" s="22">
        <f t="shared" si="82"/>
        <v>8.0472891597182151E-12</v>
      </c>
      <c r="GY106" s="62">
        <f t="shared" si="83"/>
        <v>293.33333333334139</v>
      </c>
      <c r="GZ106" s="62">
        <f ca="1">AVERAGE(OFFSET($GY$3,0,0,'Données projet'!$E$18+1,1))-AVERAGE(OFFSET($H$3,0,0,'Données projet'!$E$18+1,1))</f>
        <v>441.17479680509746</v>
      </c>
      <c r="HA106" s="62">
        <f t="shared" si="106"/>
        <v>198.56576128410069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projet'!$B$9,Paramètres!$A$1:$I$89,3,0)*VLOOKUP('Données projet'!$B$9,Paramètres!$A$1:$I$89,5,0)</f>
        <v>-1.9065282685915009E-13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374.79806286316051</v>
      </c>
      <c r="T107" s="62">
        <f t="shared" si="88"/>
        <v>350.01856672839466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0.94833010496415138</v>
      </c>
      <c r="AB107" s="23">
        <f>EXP(-LN(2)/2)*AB106+(1-EXP(-LN(2)/2))/(LN(2)/2)*V107*Y107*VLOOKUP('Données projet'!$B$9,Paramètres!$A$1:$I$89,3,0)*0.475*44/12</f>
        <v>6.5355881145441605E-11</v>
      </c>
      <c r="AC107" s="24">
        <f t="shared" si="57"/>
        <v>0.94833010502950721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-2.8421709430404007E-13</v>
      </c>
      <c r="AJ107" s="14">
        <f>AI107*VLOOKUP('Données projet'!$B$10,Paramètres!$A$1:$I$89,3,0)*VLOOKUP('Données projet'!$B$10,Paramètres!$A$1:$I$89,5,0)</f>
        <v>-2.4829205358400943E-13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401.89597032936751</v>
      </c>
      <c r="AO107" s="62">
        <f t="shared" si="90"/>
        <v>417.85733543972361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4.7</v>
      </c>
      <c r="BD107" s="13">
        <f>IF('Données projet'!$A$88&gt;35,BD106+BC107-BL106,IF(A107&lt;'Données projet'!$A$88,$BA$205^A107,IF(A107='Données projet'!$A$88,'Données projet'!$B$88,BD106+BC107-BL106)))</f>
        <v>300.29999999999956</v>
      </c>
      <c r="BE107" s="14">
        <f>BD107*VLOOKUP('Données projet'!$B$11,Paramètres!$A$1:$I$89,3,0)*VLOOKUP('Données projet'!$B$11,Paramètres!$A$1:$I$89,5,0)</f>
        <v>271.71143999999958</v>
      </c>
      <c r="BF107" s="14">
        <f t="shared" si="91"/>
        <v>65.212346372467266</v>
      </c>
      <c r="BG107" s="22">
        <f t="shared" si="61"/>
        <v>586.80892793204634</v>
      </c>
      <c r="BH107" s="62">
        <f t="shared" si="62"/>
        <v>880.1422612653796</v>
      </c>
      <c r="BI107" s="62">
        <f ca="1">AVERAGE(OFFSET($BH$3,0,0,'Données projet'!$E$11+1,1))-AVERAGE(OFFSET($H$3,0,0,'Données projet'!$E$11+1,1))</f>
        <v>430.40491895612814</v>
      </c>
      <c r="BJ107" s="62">
        <f t="shared" si="92"/>
        <v>231.36959598460686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3.0769230769230802</v>
      </c>
      <c r="BY107" s="13">
        <f>IF('Données projet'!$A$114&gt;35,BY106+BX107-CG106,IF(A107&lt;'Données projet'!$A$114,$BV$205^A107,IF(A107='Données projet'!$A$114,'Données projet'!$B$114,BY106+BX107-CG106)))</f>
        <v>234.74358974358978</v>
      </c>
      <c r="BZ107" s="14">
        <f>BY107*VLOOKUP('Données projet'!$B$12,Paramètres!$A$1:$I$89,3,0)*VLOOKUP('Données projet'!$B$12,Paramètres!$A$1:$I$89,5,0)</f>
        <v>223.38200000000003</v>
      </c>
      <c r="CA107" s="14">
        <f t="shared" si="93"/>
        <v>54.849292789000252</v>
      </c>
      <c r="CB107" s="22">
        <f t="shared" si="64"/>
        <v>484.58616827417546</v>
      </c>
      <c r="CC107" s="62">
        <f t="shared" si="65"/>
        <v>777.91950160750878</v>
      </c>
      <c r="CD107" s="62">
        <f ca="1">AVERAGE(OFFSET($CC$3,0,0,'Données projet'!$E$12+1,1))-AVERAGE(OFFSET($H$3,0,0,'Données projet'!$E$12+1,1))</f>
        <v>367.11183928586667</v>
      </c>
      <c r="CE107" s="62">
        <f t="shared" si="94"/>
        <v>281.52963027844595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-3.4106051316484809E-13</v>
      </c>
      <c r="CU107" s="18">
        <f>CT107*VLOOKUP('Données projet'!$B$13,Paramètres!$A$1:$I$89,3,0)*VLOOKUP('Données projet'!$B$13,Paramètres!$A$1:$I$89,5,0)</f>
        <v>-2.0395418687257919E-13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308.47522272937135</v>
      </c>
      <c r="CZ107" s="62">
        <f t="shared" si="96"/>
        <v>302.54354650449721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0.49351875810982482</v>
      </c>
      <c r="DH107" s="23">
        <f>EXP(-LN(2)/2)*DH106+(1-EXP(-LN(2)/2))/(LN(2)/2)*DB107*DE107*VLOOKUP('Données projet'!$B$13,Paramètres!$A$1:$I$89,3,0)*0.475*44/12</f>
        <v>1.2568213375994958E-10</v>
      </c>
      <c r="DI107" s="24">
        <f t="shared" si="69"/>
        <v>0.49351875823550695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-5.6843418860808015E-14</v>
      </c>
      <c r="DP107" s="18">
        <f>DO107*VLOOKUP('Données projet'!$B$14,Paramètres!$A$1:$I$89,3,0)*VLOOKUP('Données projet'!$B$14,Paramètres!$A$1:$I$89,5,0)</f>
        <v>-4.5224624045658861E-14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370.58277541710277</v>
      </c>
      <c r="DU107" s="62">
        <f t="shared" si="98"/>
        <v>404.61777090709171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>
        <f>EJ107*VLOOKUP('Données projet'!$B$15,Paramètres!$A$1:$I$89,3,0)*VLOOKUP('Données projet'!$B$15,Paramètres!$A$1:$I$89,5,0)</f>
        <v>0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240.22884864766218</v>
      </c>
      <c r="EP107" s="62">
        <f t="shared" si="100"/>
        <v>343.23776884143166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1.3231149094882477</v>
      </c>
      <c r="EX107" s="23">
        <f>EXP(-LN(2)/2)*EX106+(1-EXP(-LN(2)/2))/(LN(2)/2)*ER107*EU107*VLOOKUP('Données projet'!$B$15,Paramètres!$A$1:$I$89,3,0)*0.475*44/12</f>
        <v>1.2019023329053597E-10</v>
      </c>
      <c r="EY107" s="24">
        <f t="shared" si="75"/>
        <v>1.323114909608438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-1.1368683772161603E-13</v>
      </c>
      <c r="FF107" s="18">
        <f>FE107*VLOOKUP('Données projet'!$B$16,Paramètres!$A$1:$I$89,3,0)*VLOOKUP('Données projet'!$B$16,Paramètres!$A$1:$I$89,5,0)</f>
        <v>-5.3205440053716299E-14</v>
      </c>
      <c r="FG107" s="14" t="e">
        <f t="shared" si="101"/>
        <v>#NUM!</v>
      </c>
      <c r="FH107" s="22" t="e">
        <f t="shared" si="76"/>
        <v>#NUM!</v>
      </c>
      <c r="FI107" s="62" t="e">
        <f t="shared" si="77"/>
        <v>#NUM!</v>
      </c>
      <c r="FJ107" s="62">
        <f ca="1">AVERAGE(OFFSET($FI$3,0,0,'Données projet'!$E$16+1,1))-AVERAGE(OFFSET($H$3,0,0,'Données projet'!$E$16+1,1))</f>
        <v>399.92909819003523</v>
      </c>
      <c r="FK107" s="62">
        <f t="shared" si="102"/>
        <v>163.7053537268381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-5.6843418860808015E-14</v>
      </c>
      <c r="GA107" s="18">
        <f>FZ107*VLOOKUP('Données projet'!$B$17,Paramètres!$A$1:$I$89,3,0)*VLOOKUP('Données projet'!$B$17,Paramètres!$A$1:$I$89,5,0)</f>
        <v>-4.1677594708744434E-14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344.4426665022238</v>
      </c>
      <c r="GF107" s="62">
        <f t="shared" si="104"/>
        <v>376.41441893222185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6.8212102632969618E-13</v>
      </c>
      <c r="GV107" s="18">
        <f>GU107*VLOOKUP('Données projet'!$B$18,Paramètres!$A$1:$I$89,3,0)*VLOOKUP('Données projet'!$B$18,Paramètres!$A$1:$I$89,5,0)</f>
        <v>3.2810021366458383E-13</v>
      </c>
      <c r="GW107" s="14">
        <f t="shared" si="105"/>
        <v>4.2923528923937213E-12</v>
      </c>
      <c r="GX107" s="22">
        <f t="shared" si="82"/>
        <v>8.0472891597182151E-12</v>
      </c>
      <c r="GY107" s="62">
        <f t="shared" si="83"/>
        <v>293.33333333334139</v>
      </c>
      <c r="GZ107" s="62">
        <f ca="1">AVERAGE(OFFSET($GY$3,0,0,'Données projet'!$E$18+1,1))-AVERAGE(OFFSET($H$3,0,0,'Données projet'!$E$18+1,1))</f>
        <v>441.17479680509746</v>
      </c>
      <c r="HA107" s="62">
        <f t="shared" si="106"/>
        <v>198.56576128410069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projet'!$B$9,Paramètres!$A$1:$I$89,3,0)*VLOOKUP('Données projet'!$B$9,Paramètres!$A$1:$I$89,5,0)</f>
        <v>-1.9065282685915009E-13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374.79806286316051</v>
      </c>
      <c r="T108" s="62">
        <f t="shared" si="88"/>
        <v>350.01856672839466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0.92239796837339383</v>
      </c>
      <c r="AB108" s="23">
        <f>EXP(-LN(2)/2)*AB107+(1-EXP(-LN(2)/2))/(LN(2)/2)*V108*Y108*VLOOKUP('Données projet'!$B$9,Paramètres!$A$1:$I$89,3,0)*0.475*44/12</f>
        <v>4.6213586748363784E-11</v>
      </c>
      <c r="AC108" s="24">
        <f t="shared" si="57"/>
        <v>0.92239796841960742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-2.8421709430404007E-13</v>
      </c>
      <c r="AJ108" s="14">
        <f>AI108*VLOOKUP('Données projet'!$B$10,Paramètres!$A$1:$I$89,3,0)*VLOOKUP('Données projet'!$B$10,Paramètres!$A$1:$I$89,5,0)</f>
        <v>-2.4829205358400943E-13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401.89597032936751</v>
      </c>
      <c r="AO108" s="62">
        <f t="shared" si="90"/>
        <v>417.85733543972361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305</v>
      </c>
      <c r="BB108" s="13">
        <f>VLOOKUP(A108,'Données projet'!$A$87:$I$107,9,0)</f>
        <v>4.7</v>
      </c>
      <c r="BC108" s="13">
        <f t="array" ref="BC108">INDEX(BB:BB,MIN(IF(ISNUMBER(BB108:BB304),ROW(BB108:BB304),"")))</f>
        <v>4.7</v>
      </c>
      <c r="BD108" s="13">
        <f>IF('Données projet'!$A$88&gt;35,BD107+BC108-BL107,IF(A108&lt;'Données projet'!$A$88,$BA$205^A108,IF(A108='Données projet'!$A$88,'Données projet'!$B$88,BD107+BC108-BL107)))</f>
        <v>304.99999999999955</v>
      </c>
      <c r="BE108" s="14">
        <f>BD108*VLOOKUP('Données projet'!$B$11,Paramètres!$A$1:$I$89,3,0)*VLOOKUP('Données projet'!$B$11,Paramètres!$A$1:$I$89,5,0)</f>
        <v>275.9639999999996</v>
      </c>
      <c r="BF108" s="14">
        <f t="shared" si="91"/>
        <v>66.113366665488797</v>
      </c>
      <c r="BG108" s="22">
        <f t="shared" si="61"/>
        <v>595.7847469423923</v>
      </c>
      <c r="BH108" s="62">
        <f t="shared" si="62"/>
        <v>889.11808027572556</v>
      </c>
      <c r="BI108" s="62">
        <f ca="1">AVERAGE(OFFSET($BH$3,0,0,'Données projet'!$E$11+1,1))-AVERAGE(OFFSET($H$3,0,0,'Données projet'!$E$11+1,1))</f>
        <v>430.40491895612814</v>
      </c>
      <c r="BJ108" s="62">
        <f t="shared" si="92"/>
        <v>231.36959598460686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41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3.0769230769230802</v>
      </c>
      <c r="BY108" s="13">
        <f>IF('Données projet'!$A$114&gt;35,BY107+BX108-CG107,IF(A108&lt;'Données projet'!$A$114,$BV$205^A108,IF(A108='Données projet'!$A$114,'Données projet'!$B$114,BY107+BX108-CG107)))</f>
        <v>237.82051282051287</v>
      </c>
      <c r="BZ108" s="14">
        <f>BY108*VLOOKUP('Données projet'!$B$12,Paramètres!$A$1:$I$89,3,0)*VLOOKUP('Données projet'!$B$12,Paramètres!$A$1:$I$89,5,0)</f>
        <v>226.31000000000006</v>
      </c>
      <c r="CA108" s="14">
        <f t="shared" si="93"/>
        <v>55.484067782810527</v>
      </c>
      <c r="CB108" s="22">
        <f t="shared" si="64"/>
        <v>490.79133472172845</v>
      </c>
      <c r="CC108" s="62">
        <f t="shared" si="65"/>
        <v>784.12466805506176</v>
      </c>
      <c r="CD108" s="62">
        <f ca="1">AVERAGE(OFFSET($CC$3,0,0,'Données projet'!$E$12+1,1))-AVERAGE(OFFSET($H$3,0,0,'Données projet'!$E$12+1,1))</f>
        <v>367.11183928586667</v>
      </c>
      <c r="CE108" s="62">
        <f t="shared" si="94"/>
        <v>281.52963027844595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-3.4106051316484809E-13</v>
      </c>
      <c r="CU108" s="18">
        <f>CT108*VLOOKUP('Données projet'!$B$13,Paramètres!$A$1:$I$89,3,0)*VLOOKUP('Données projet'!$B$13,Paramètres!$A$1:$I$89,5,0)</f>
        <v>-2.0395418687257919E-13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308.47522272937135</v>
      </c>
      <c r="CZ108" s="62">
        <f t="shared" si="96"/>
        <v>302.54354650449721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0.48002346171628812</v>
      </c>
      <c r="DH108" s="23">
        <f>EXP(-LN(2)/2)*DH107+(1-EXP(-LN(2)/2))/(LN(2)/2)*DB108*DE108*VLOOKUP('Données projet'!$B$13,Paramètres!$A$1:$I$89,3,0)*0.475*44/12</f>
        <v>8.8870689055655067E-11</v>
      </c>
      <c r="DI108" s="24">
        <f t="shared" si="69"/>
        <v>0.48002346180515881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-5.6843418860808015E-14</v>
      </c>
      <c r="DP108" s="18">
        <f>DO108*VLOOKUP('Données projet'!$B$14,Paramètres!$A$1:$I$89,3,0)*VLOOKUP('Données projet'!$B$14,Paramètres!$A$1:$I$89,5,0)</f>
        <v>-4.5224624045658861E-14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370.58277541710277</v>
      </c>
      <c r="DU108" s="62">
        <f t="shared" si="98"/>
        <v>404.61777090709171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>
        <f>EJ108*VLOOKUP('Données projet'!$B$15,Paramètres!$A$1:$I$89,3,0)*VLOOKUP('Données projet'!$B$15,Paramètres!$A$1:$I$89,5,0)</f>
        <v>0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240.22884864766218</v>
      </c>
      <c r="EP108" s="62">
        <f t="shared" si="100"/>
        <v>343.23776884143166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1.2869342627087026</v>
      </c>
      <c r="EX108" s="23">
        <f>EXP(-LN(2)/2)*EX107+(1-EXP(-LN(2)/2))/(LN(2)/2)*ER108*EU108*VLOOKUP('Données projet'!$B$15,Paramètres!$A$1:$I$89,3,0)*0.475*44/12</f>
        <v>8.4987328992131119E-11</v>
      </c>
      <c r="EY108" s="24">
        <f t="shared" si="75"/>
        <v>1.2869342627936899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-1.1368683772161603E-13</v>
      </c>
      <c r="FF108" s="18">
        <f>FE108*VLOOKUP('Données projet'!$B$16,Paramètres!$A$1:$I$89,3,0)*VLOOKUP('Données projet'!$B$16,Paramètres!$A$1:$I$89,5,0)</f>
        <v>-5.3205440053716299E-14</v>
      </c>
      <c r="FG108" s="14" t="e">
        <f t="shared" si="101"/>
        <v>#NUM!</v>
      </c>
      <c r="FH108" s="22" t="e">
        <f t="shared" si="76"/>
        <v>#NUM!</v>
      </c>
      <c r="FI108" s="62" t="e">
        <f t="shared" si="77"/>
        <v>#NUM!</v>
      </c>
      <c r="FJ108" s="62">
        <f ca="1">AVERAGE(OFFSET($FI$3,0,0,'Données projet'!$E$16+1,1))-AVERAGE(OFFSET($H$3,0,0,'Données projet'!$E$16+1,1))</f>
        <v>399.92909819003523</v>
      </c>
      <c r="FK108" s="62">
        <f t="shared" si="102"/>
        <v>163.7053537268381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-5.6843418860808015E-14</v>
      </c>
      <c r="GA108" s="18">
        <f>FZ108*VLOOKUP('Données projet'!$B$17,Paramètres!$A$1:$I$89,3,0)*VLOOKUP('Données projet'!$B$17,Paramètres!$A$1:$I$89,5,0)</f>
        <v>-4.1677594708744434E-14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344.4426665022238</v>
      </c>
      <c r="GF108" s="62">
        <f t="shared" si="104"/>
        <v>376.41441893222185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6.8212102632969618E-13</v>
      </c>
      <c r="GV108" s="18">
        <f>GU108*VLOOKUP('Données projet'!$B$18,Paramètres!$A$1:$I$89,3,0)*VLOOKUP('Données projet'!$B$18,Paramètres!$A$1:$I$89,5,0)</f>
        <v>3.2810021366458383E-13</v>
      </c>
      <c r="GW108" s="14">
        <f t="shared" si="105"/>
        <v>4.2923528923937213E-12</v>
      </c>
      <c r="GX108" s="22">
        <f t="shared" si="82"/>
        <v>8.0472891597182151E-12</v>
      </c>
      <c r="GY108" s="62">
        <f t="shared" si="83"/>
        <v>293.33333333334139</v>
      </c>
      <c r="GZ108" s="62">
        <f ca="1">AVERAGE(OFFSET($GY$3,0,0,'Données projet'!$E$18+1,1))-AVERAGE(OFFSET($H$3,0,0,'Données projet'!$E$18+1,1))</f>
        <v>441.17479680509746</v>
      </c>
      <c r="HA108" s="62">
        <f t="shared" si="106"/>
        <v>198.56576128410069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projet'!$B$9,Paramètres!$A$1:$I$89,3,0)*VLOOKUP('Données projet'!$B$9,Paramètres!$A$1:$I$89,5,0)</f>
        <v>-1.9065282685915009E-13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374.79806286316051</v>
      </c>
      <c r="T109" s="62">
        <f t="shared" si="88"/>
        <v>350.01856672839466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0.89717494742142234</v>
      </c>
      <c r="AB109" s="23">
        <f>EXP(-LN(2)/2)*AB108+(1-EXP(-LN(2)/2))/(LN(2)/2)*V109*Y109*VLOOKUP('Données projet'!$B$9,Paramètres!$A$1:$I$89,3,0)*0.475*44/12</f>
        <v>3.2677940572720802E-11</v>
      </c>
      <c r="AC109" s="24">
        <f t="shared" si="57"/>
        <v>0.89717494745410031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-2.8421709430404007E-13</v>
      </c>
      <c r="AJ109" s="14">
        <f>AI109*VLOOKUP('Données projet'!$B$10,Paramètres!$A$1:$I$89,3,0)*VLOOKUP('Données projet'!$B$10,Paramètres!$A$1:$I$89,5,0)</f>
        <v>-2.4829205358400943E-13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401.89597032936751</v>
      </c>
      <c r="AO109" s="62">
        <f t="shared" si="90"/>
        <v>417.85733543972361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</v>
      </c>
      <c r="BD109" s="13">
        <f>IF('Données projet'!$A$88&gt;35,BD108+BC109-BL108,IF(A109&lt;'Données projet'!$A$88,$BA$205^A109,IF(A109='Données projet'!$A$88,'Données projet'!$B$88,BD108+BC109-BL108)))</f>
        <v>267.99999999999955</v>
      </c>
      <c r="BE109" s="14">
        <f>BD109*VLOOKUP('Données projet'!$B$11,Paramètres!$A$1:$I$89,3,0)*VLOOKUP('Données projet'!$B$11,Paramètres!$A$1:$I$89,5,0)</f>
        <v>242.48639999999955</v>
      </c>
      <c r="BF109" s="14">
        <f t="shared" si="91"/>
        <v>58.97417023537232</v>
      </c>
      <c r="BG109" s="22">
        <f t="shared" si="61"/>
        <v>525.0438264932726</v>
      </c>
      <c r="BH109" s="62">
        <f t="shared" si="62"/>
        <v>818.37715982660598</v>
      </c>
      <c r="BI109" s="62">
        <f ca="1">AVERAGE(OFFSET($BH$3,0,0,'Données projet'!$E$11+1,1))-AVERAGE(OFFSET($H$3,0,0,'Données projet'!$E$11+1,1))</f>
        <v>430.40491895612814</v>
      </c>
      <c r="BJ109" s="62">
        <f t="shared" si="92"/>
        <v>231.36959598460686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3.0769230769230802</v>
      </c>
      <c r="BY109" s="13">
        <f>IF('Données projet'!$A$114&gt;35,BY108+BX109-CG108,IF(A109&lt;'Données projet'!$A$114,$BV$205^A109,IF(A109='Données projet'!$A$114,'Données projet'!$B$114,BY108+BX109-CG108)))</f>
        <v>240.89743589743597</v>
      </c>
      <c r="BZ109" s="14">
        <f>BY109*VLOOKUP('Données projet'!$B$12,Paramètres!$A$1:$I$89,3,0)*VLOOKUP('Données projet'!$B$12,Paramètres!$A$1:$I$89,5,0)</f>
        <v>229.23800000000008</v>
      </c>
      <c r="CA109" s="14">
        <f t="shared" si="93"/>
        <v>56.117887507033878</v>
      </c>
      <c r="CB109" s="22">
        <f t="shared" si="64"/>
        <v>496.99483740808415</v>
      </c>
      <c r="CC109" s="62">
        <f t="shared" si="65"/>
        <v>790.32817074141747</v>
      </c>
      <c r="CD109" s="62">
        <f ca="1">AVERAGE(OFFSET($CC$3,0,0,'Données projet'!$E$12+1,1))-AVERAGE(OFFSET($H$3,0,0,'Données projet'!$E$12+1,1))</f>
        <v>367.11183928586667</v>
      </c>
      <c r="CE109" s="62">
        <f t="shared" si="94"/>
        <v>281.52963027844595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-3.4106051316484809E-13</v>
      </c>
      <c r="CU109" s="18">
        <f>CT109*VLOOKUP('Données projet'!$B$13,Paramètres!$A$1:$I$89,3,0)*VLOOKUP('Données projet'!$B$13,Paramètres!$A$1:$I$89,5,0)</f>
        <v>-2.0395418687257919E-13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308.47522272937135</v>
      </c>
      <c r="CZ109" s="62">
        <f t="shared" si="96"/>
        <v>302.54354650449721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0.46689719491231946</v>
      </c>
      <c r="DH109" s="23">
        <f>EXP(-LN(2)/2)*DH108+(1-EXP(-LN(2)/2))/(LN(2)/2)*DB109*DE109*VLOOKUP('Données projet'!$B$13,Paramètres!$A$1:$I$89,3,0)*0.475*44/12</f>
        <v>6.2841066879974789E-11</v>
      </c>
      <c r="DI109" s="24">
        <f t="shared" si="69"/>
        <v>0.46689719497516052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-5.6843418860808015E-14</v>
      </c>
      <c r="DP109" s="18">
        <f>DO109*VLOOKUP('Données projet'!$B$14,Paramètres!$A$1:$I$89,3,0)*VLOOKUP('Données projet'!$B$14,Paramètres!$A$1:$I$89,5,0)</f>
        <v>-4.5224624045658861E-14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370.58277541710277</v>
      </c>
      <c r="DU109" s="62">
        <f t="shared" si="98"/>
        <v>404.61777090709171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>
        <f>EJ109*VLOOKUP('Données projet'!$B$15,Paramètres!$A$1:$I$89,3,0)*VLOOKUP('Données projet'!$B$15,Paramètres!$A$1:$I$89,5,0)</f>
        <v>0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240.22884864766218</v>
      </c>
      <c r="EP109" s="62">
        <f t="shared" si="100"/>
        <v>343.23776884143166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1.2517429776180016</v>
      </c>
      <c r="EX109" s="23">
        <f>EXP(-LN(2)/2)*EX108+(1-EXP(-LN(2)/2))/(LN(2)/2)*ER109*EU109*VLOOKUP('Données projet'!$B$15,Paramètres!$A$1:$I$89,3,0)*0.475*44/12</f>
        <v>6.0095116645267985E-11</v>
      </c>
      <c r="EY109" s="24">
        <f t="shared" si="75"/>
        <v>1.2517429776780966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-1.1368683772161603E-13</v>
      </c>
      <c r="FF109" s="18">
        <f>FE109*VLOOKUP('Données projet'!$B$16,Paramètres!$A$1:$I$89,3,0)*VLOOKUP('Données projet'!$B$16,Paramètres!$A$1:$I$89,5,0)</f>
        <v>-5.3205440053716299E-14</v>
      </c>
      <c r="FG109" s="14" t="e">
        <f t="shared" si="101"/>
        <v>#NUM!</v>
      </c>
      <c r="FH109" s="22" t="e">
        <f t="shared" si="76"/>
        <v>#NUM!</v>
      </c>
      <c r="FI109" s="62" t="e">
        <f t="shared" si="77"/>
        <v>#NUM!</v>
      </c>
      <c r="FJ109" s="62">
        <f ca="1">AVERAGE(OFFSET($FI$3,0,0,'Données projet'!$E$16+1,1))-AVERAGE(OFFSET($H$3,0,0,'Données projet'!$E$16+1,1))</f>
        <v>399.92909819003523</v>
      </c>
      <c r="FK109" s="62">
        <f t="shared" si="102"/>
        <v>163.7053537268381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-5.6843418860808015E-14</v>
      </c>
      <c r="GA109" s="18">
        <f>FZ109*VLOOKUP('Données projet'!$B$17,Paramètres!$A$1:$I$89,3,0)*VLOOKUP('Données projet'!$B$17,Paramètres!$A$1:$I$89,5,0)</f>
        <v>-4.1677594708744434E-14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344.4426665022238</v>
      </c>
      <c r="GF109" s="62">
        <f t="shared" si="104"/>
        <v>376.41441893222185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6.8212102632969618E-13</v>
      </c>
      <c r="GV109" s="18">
        <f>GU109*VLOOKUP('Données projet'!$B$18,Paramètres!$A$1:$I$89,3,0)*VLOOKUP('Données projet'!$B$18,Paramètres!$A$1:$I$89,5,0)</f>
        <v>3.2810021366458383E-13</v>
      </c>
      <c r="GW109" s="14">
        <f t="shared" si="105"/>
        <v>4.2923528923937213E-12</v>
      </c>
      <c r="GX109" s="22">
        <f t="shared" si="82"/>
        <v>8.0472891597182151E-12</v>
      </c>
      <c r="GY109" s="62">
        <f t="shared" si="83"/>
        <v>293.33333333334139</v>
      </c>
      <c r="GZ109" s="62">
        <f ca="1">AVERAGE(OFFSET($GY$3,0,0,'Données projet'!$E$18+1,1))-AVERAGE(OFFSET($H$3,0,0,'Données projet'!$E$18+1,1))</f>
        <v>441.17479680509746</v>
      </c>
      <c r="HA109" s="62">
        <f t="shared" si="106"/>
        <v>198.56576128410069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projet'!$B$9,Paramètres!$A$1:$I$89,3,0)*VLOOKUP('Données projet'!$B$9,Paramètres!$A$1:$I$89,5,0)</f>
        <v>-1.9065282685915009E-13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374.79806286316051</v>
      </c>
      <c r="T110" s="62">
        <f t="shared" si="88"/>
        <v>350.01856672839466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0.87264165130380356</v>
      </c>
      <c r="AB110" s="23">
        <f>EXP(-LN(2)/2)*AB109+(1-EXP(-LN(2)/2))/(LN(2)/2)*V110*Y110*VLOOKUP('Données projet'!$B$9,Paramètres!$A$1:$I$89,3,0)*0.475*44/12</f>
        <v>2.3106793374181892E-11</v>
      </c>
      <c r="AC110" s="24">
        <f t="shared" si="57"/>
        <v>0.87264165132691029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-2.8421709430404007E-13</v>
      </c>
      <c r="AJ110" s="14">
        <f>AI110*VLOOKUP('Données projet'!$B$10,Paramètres!$A$1:$I$89,3,0)*VLOOKUP('Données projet'!$B$10,Paramètres!$A$1:$I$89,5,0)</f>
        <v>-2.4829205358400943E-13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401.89597032936751</v>
      </c>
      <c r="AO110" s="62">
        <f t="shared" si="90"/>
        <v>417.85733543972361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</v>
      </c>
      <c r="BD110" s="13">
        <f>IF('Données projet'!$A$88&gt;35,BD109+BC110-BL109,IF(A110&lt;'Données projet'!$A$88,$BA$205^A110,IF(A110='Données projet'!$A$88,'Données projet'!$B$88,BD109+BC110-BL109)))</f>
        <v>271.99999999999955</v>
      </c>
      <c r="BE110" s="14">
        <f>BD110*VLOOKUP('Données projet'!$B$11,Paramètres!$A$1:$I$89,3,0)*VLOOKUP('Données projet'!$B$11,Paramètres!$A$1:$I$89,5,0)</f>
        <v>246.10559999999958</v>
      </c>
      <c r="BF110" s="14">
        <f t="shared" si="91"/>
        <v>59.751253234371873</v>
      </c>
      <c r="BG110" s="22">
        <f t="shared" si="61"/>
        <v>532.70068604986363</v>
      </c>
      <c r="BH110" s="62">
        <f t="shared" si="62"/>
        <v>826.03401938319689</v>
      </c>
      <c r="BI110" s="62">
        <f ca="1">AVERAGE(OFFSET($BH$3,0,0,'Données projet'!$E$11+1,1))-AVERAGE(OFFSET($H$3,0,0,'Données projet'!$E$11+1,1))</f>
        <v>430.40491895612814</v>
      </c>
      <c r="BJ110" s="62">
        <f t="shared" si="92"/>
        <v>231.36959598460686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3.0769230769230802</v>
      </c>
      <c r="BY110" s="13">
        <f>IF('Données projet'!$A$114&gt;35,BY109+BX110-CG109,IF(A110&lt;'Données projet'!$A$114,$BV$205^A110,IF(A110='Données projet'!$A$114,'Données projet'!$B$114,BY109+BX110-CG109)))</f>
        <v>243.97435897435906</v>
      </c>
      <c r="BZ110" s="14">
        <f>BY110*VLOOKUP('Données projet'!$B$12,Paramètres!$A$1:$I$89,3,0)*VLOOKUP('Données projet'!$B$12,Paramètres!$A$1:$I$89,5,0)</f>
        <v>232.16600000000008</v>
      </c>
      <c r="CA110" s="14">
        <f t="shared" si="93"/>
        <v>56.750765573960223</v>
      </c>
      <c r="CB110" s="22">
        <f t="shared" si="64"/>
        <v>503.19670004131422</v>
      </c>
      <c r="CC110" s="62">
        <f t="shared" si="65"/>
        <v>796.53003337464747</v>
      </c>
      <c r="CD110" s="62">
        <f ca="1">AVERAGE(OFFSET($CC$3,0,0,'Données projet'!$E$12+1,1))-AVERAGE(OFFSET($H$3,0,0,'Données projet'!$E$12+1,1))</f>
        <v>367.11183928586667</v>
      </c>
      <c r="CE110" s="62">
        <f t="shared" si="94"/>
        <v>281.52963027844595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-3.4106051316484809E-13</v>
      </c>
      <c r="CU110" s="18">
        <f>CT110*VLOOKUP('Données projet'!$B$13,Paramètres!$A$1:$I$89,3,0)*VLOOKUP('Données projet'!$B$13,Paramètres!$A$1:$I$89,5,0)</f>
        <v>-2.0395418687257919E-13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308.47522272937135</v>
      </c>
      <c r="CZ110" s="62">
        <f t="shared" si="96"/>
        <v>302.54354650449721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0.4541298665643857</v>
      </c>
      <c r="DH110" s="23">
        <f>EXP(-LN(2)/2)*DH109+(1-EXP(-LN(2)/2))/(LN(2)/2)*DB110*DE110*VLOOKUP('Données projet'!$B$13,Paramètres!$A$1:$I$89,3,0)*0.475*44/12</f>
        <v>4.4435344527827533E-11</v>
      </c>
      <c r="DI110" s="24">
        <f t="shared" si="69"/>
        <v>0.45412986660882104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-5.6843418860808015E-14</v>
      </c>
      <c r="DP110" s="18">
        <f>DO110*VLOOKUP('Données projet'!$B$14,Paramètres!$A$1:$I$89,3,0)*VLOOKUP('Données projet'!$B$14,Paramètres!$A$1:$I$89,5,0)</f>
        <v>-4.5224624045658861E-14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370.58277541710277</v>
      </c>
      <c r="DU110" s="62">
        <f t="shared" si="98"/>
        <v>404.61777090709171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>
        <f>EJ110*VLOOKUP('Données projet'!$B$15,Paramètres!$A$1:$I$89,3,0)*VLOOKUP('Données projet'!$B$15,Paramètres!$A$1:$I$89,5,0)</f>
        <v>0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240.22884864766218</v>
      </c>
      <c r="EP110" s="62">
        <f t="shared" si="100"/>
        <v>343.23776884143166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1.217514000068735</v>
      </c>
      <c r="EX110" s="23">
        <f>EXP(-LN(2)/2)*EX109+(1-EXP(-LN(2)/2))/(LN(2)/2)*ER110*EU110*VLOOKUP('Données projet'!$B$15,Paramètres!$A$1:$I$89,3,0)*0.475*44/12</f>
        <v>4.249366449606556E-11</v>
      </c>
      <c r="EY110" s="24">
        <f t="shared" si="75"/>
        <v>1.2175140001112286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-1.1368683772161603E-13</v>
      </c>
      <c r="FF110" s="18">
        <f>FE110*VLOOKUP('Données projet'!$B$16,Paramètres!$A$1:$I$89,3,0)*VLOOKUP('Données projet'!$B$16,Paramètres!$A$1:$I$89,5,0)</f>
        <v>-5.3205440053716299E-14</v>
      </c>
      <c r="FG110" s="14" t="e">
        <f t="shared" si="101"/>
        <v>#NUM!</v>
      </c>
      <c r="FH110" s="22" t="e">
        <f t="shared" si="76"/>
        <v>#NUM!</v>
      </c>
      <c r="FI110" s="62" t="e">
        <f t="shared" si="77"/>
        <v>#NUM!</v>
      </c>
      <c r="FJ110" s="62">
        <f ca="1">AVERAGE(OFFSET($FI$3,0,0,'Données projet'!$E$16+1,1))-AVERAGE(OFFSET($H$3,0,0,'Données projet'!$E$16+1,1))</f>
        <v>399.92909819003523</v>
      </c>
      <c r="FK110" s="62">
        <f t="shared" si="102"/>
        <v>163.7053537268381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-5.6843418860808015E-14</v>
      </c>
      <c r="GA110" s="18">
        <f>FZ110*VLOOKUP('Données projet'!$B$17,Paramètres!$A$1:$I$89,3,0)*VLOOKUP('Données projet'!$B$17,Paramètres!$A$1:$I$89,5,0)</f>
        <v>-4.1677594708744434E-14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344.4426665022238</v>
      </c>
      <c r="GF110" s="62">
        <f t="shared" si="104"/>
        <v>376.41441893222185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6.8212102632969618E-13</v>
      </c>
      <c r="GV110" s="18">
        <f>GU110*VLOOKUP('Données projet'!$B$18,Paramètres!$A$1:$I$89,3,0)*VLOOKUP('Données projet'!$B$18,Paramètres!$A$1:$I$89,5,0)</f>
        <v>3.2810021366458383E-13</v>
      </c>
      <c r="GW110" s="14">
        <f t="shared" si="105"/>
        <v>4.2923528923937213E-12</v>
      </c>
      <c r="GX110" s="22">
        <f t="shared" si="82"/>
        <v>8.0472891597182151E-12</v>
      </c>
      <c r="GY110" s="62">
        <f t="shared" si="83"/>
        <v>293.33333333334139</v>
      </c>
      <c r="GZ110" s="62">
        <f ca="1">AVERAGE(OFFSET($GY$3,0,0,'Données projet'!$E$18+1,1))-AVERAGE(OFFSET($H$3,0,0,'Données projet'!$E$18+1,1))</f>
        <v>441.17479680509746</v>
      </c>
      <c r="HA110" s="62">
        <f t="shared" si="106"/>
        <v>198.56576128410069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projet'!$B$9,Paramètres!$A$1:$I$89,3,0)*VLOOKUP('Données projet'!$B$9,Paramètres!$A$1:$I$89,5,0)</f>
        <v>-1.9065282685915009E-13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374.79806286316051</v>
      </c>
      <c r="T111" s="62">
        <f t="shared" si="88"/>
        <v>350.01856672839466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0.84877921945867107</v>
      </c>
      <c r="AB111" s="23">
        <f>EXP(-LN(2)/2)*AB110+(1-EXP(-LN(2)/2))/(LN(2)/2)*V111*Y111*VLOOKUP('Données projet'!$B$9,Paramètres!$A$1:$I$89,3,0)*0.475*44/12</f>
        <v>1.6338970286360401E-11</v>
      </c>
      <c r="AC111" s="24">
        <f t="shared" si="57"/>
        <v>0.84877921947501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-2.8421709430404007E-13</v>
      </c>
      <c r="AJ111" s="14">
        <f>AI111*VLOOKUP('Données projet'!$B$10,Paramètres!$A$1:$I$89,3,0)*VLOOKUP('Données projet'!$B$10,Paramètres!$A$1:$I$89,5,0)</f>
        <v>-2.4829205358400943E-13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401.89597032936751</v>
      </c>
      <c r="AO111" s="62">
        <f t="shared" si="90"/>
        <v>417.85733543972361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</v>
      </c>
      <c r="BD111" s="13">
        <f>IF('Données projet'!$A$88&gt;35,BD110+BC111-BL110,IF(A111&lt;'Données projet'!$A$88,$BA$205^A111,IF(A111='Données projet'!$A$88,'Données projet'!$B$88,BD110+BC111-BL110)))</f>
        <v>275.99999999999955</v>
      </c>
      <c r="BE111" s="14">
        <f>BD111*VLOOKUP('Données projet'!$B$11,Paramètres!$A$1:$I$89,3,0)*VLOOKUP('Données projet'!$B$11,Paramètres!$A$1:$I$89,5,0)</f>
        <v>249.72479999999959</v>
      </c>
      <c r="BF111" s="14">
        <f t="shared" si="91"/>
        <v>60.527007137298092</v>
      </c>
      <c r="BG111" s="22">
        <f t="shared" si="61"/>
        <v>540.35523076412676</v>
      </c>
      <c r="BH111" s="62">
        <f t="shared" si="62"/>
        <v>833.68856409746013</v>
      </c>
      <c r="BI111" s="62">
        <f ca="1">AVERAGE(OFFSET($BH$3,0,0,'Données projet'!$E$11+1,1))-AVERAGE(OFFSET($H$3,0,0,'Données projet'!$E$11+1,1))</f>
        <v>430.40491895612814</v>
      </c>
      <c r="BJ111" s="62">
        <f t="shared" si="92"/>
        <v>231.36959598460686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3.0769230769230802</v>
      </c>
      <c r="BY111" s="13">
        <f>IF('Données projet'!$A$114&gt;35,BY110+BX111-CG110,IF(A111&lt;'Données projet'!$A$114,$BV$205^A111,IF(A111='Données projet'!$A$114,'Données projet'!$B$114,BY110+BX111-CG110)))</f>
        <v>247.05128205128216</v>
      </c>
      <c r="BZ111" s="14">
        <f>BY111*VLOOKUP('Données projet'!$B$12,Paramètres!$A$1:$I$89,3,0)*VLOOKUP('Données projet'!$B$12,Paramètres!$A$1:$I$89,5,0)</f>
        <v>235.09400000000011</v>
      </c>
      <c r="CA111" s="14">
        <f t="shared" si="93"/>
        <v>57.382715232787383</v>
      </c>
      <c r="CB111" s="22">
        <f t="shared" si="64"/>
        <v>509.39694569710491</v>
      </c>
      <c r="CC111" s="62">
        <f t="shared" si="65"/>
        <v>802.73027903043817</v>
      </c>
      <c r="CD111" s="62">
        <f ca="1">AVERAGE(OFFSET($CC$3,0,0,'Données projet'!$E$12+1,1))-AVERAGE(OFFSET($H$3,0,0,'Données projet'!$E$12+1,1))</f>
        <v>367.11183928586667</v>
      </c>
      <c r="CE111" s="62">
        <f t="shared" si="94"/>
        <v>281.52963027844595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-3.4106051316484809E-13</v>
      </c>
      <c r="CU111" s="18">
        <f>CT111*VLOOKUP('Données projet'!$B$13,Paramètres!$A$1:$I$89,3,0)*VLOOKUP('Données projet'!$B$13,Paramètres!$A$1:$I$89,5,0)</f>
        <v>-2.0395418687257919E-13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308.47522272937135</v>
      </c>
      <c r="CZ111" s="62">
        <f t="shared" si="96"/>
        <v>302.54354650449721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0.44171166148153079</v>
      </c>
      <c r="DH111" s="23">
        <f>EXP(-LN(2)/2)*DH110+(1-EXP(-LN(2)/2))/(LN(2)/2)*DB111*DE111*VLOOKUP('Données projet'!$B$13,Paramètres!$A$1:$I$89,3,0)*0.475*44/12</f>
        <v>3.1420533439987395E-11</v>
      </c>
      <c r="DI111" s="24">
        <f t="shared" si="69"/>
        <v>0.44171166151295133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-5.6843418860808015E-14</v>
      </c>
      <c r="DP111" s="18">
        <f>DO111*VLOOKUP('Données projet'!$B$14,Paramètres!$A$1:$I$89,3,0)*VLOOKUP('Données projet'!$B$14,Paramètres!$A$1:$I$89,5,0)</f>
        <v>-4.5224624045658861E-14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370.58277541710277</v>
      </c>
      <c r="DU111" s="62">
        <f t="shared" si="98"/>
        <v>404.61777090709171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>
        <f>EJ111*VLOOKUP('Données projet'!$B$15,Paramètres!$A$1:$I$89,3,0)*VLOOKUP('Données projet'!$B$15,Paramètres!$A$1:$I$89,5,0)</f>
        <v>0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240.22884864766218</v>
      </c>
      <c r="EP111" s="62">
        <f t="shared" si="100"/>
        <v>343.23776884143166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1.1842210157105768</v>
      </c>
      <c r="EX111" s="23">
        <f>EXP(-LN(2)/2)*EX110+(1-EXP(-LN(2)/2))/(LN(2)/2)*ER111*EU111*VLOOKUP('Données projet'!$B$15,Paramètres!$A$1:$I$89,3,0)*0.475*44/12</f>
        <v>3.0047558322633993E-11</v>
      </c>
      <c r="EY111" s="24">
        <f t="shared" si="75"/>
        <v>1.1842210157406243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-1.1368683772161603E-13</v>
      </c>
      <c r="FF111" s="18">
        <f>FE111*VLOOKUP('Données projet'!$B$16,Paramètres!$A$1:$I$89,3,0)*VLOOKUP('Données projet'!$B$16,Paramètres!$A$1:$I$89,5,0)</f>
        <v>-5.3205440053716299E-14</v>
      </c>
      <c r="FG111" s="14" t="e">
        <f t="shared" si="101"/>
        <v>#NUM!</v>
      </c>
      <c r="FH111" s="22" t="e">
        <f t="shared" si="76"/>
        <v>#NUM!</v>
      </c>
      <c r="FI111" s="62" t="e">
        <f t="shared" si="77"/>
        <v>#NUM!</v>
      </c>
      <c r="FJ111" s="62">
        <f ca="1">AVERAGE(OFFSET($FI$3,0,0,'Données projet'!$E$16+1,1))-AVERAGE(OFFSET($H$3,0,0,'Données projet'!$E$16+1,1))</f>
        <v>399.92909819003523</v>
      </c>
      <c r="FK111" s="62">
        <f t="shared" si="102"/>
        <v>163.7053537268381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-5.6843418860808015E-14</v>
      </c>
      <c r="GA111" s="18">
        <f>FZ111*VLOOKUP('Données projet'!$B$17,Paramètres!$A$1:$I$89,3,0)*VLOOKUP('Données projet'!$B$17,Paramètres!$A$1:$I$89,5,0)</f>
        <v>-4.1677594708744434E-14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344.4426665022238</v>
      </c>
      <c r="GF111" s="62">
        <f t="shared" si="104"/>
        <v>376.41441893222185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6.8212102632969618E-13</v>
      </c>
      <c r="GV111" s="18">
        <f>GU111*VLOOKUP('Données projet'!$B$18,Paramètres!$A$1:$I$89,3,0)*VLOOKUP('Données projet'!$B$18,Paramètres!$A$1:$I$89,5,0)</f>
        <v>3.2810021366458383E-13</v>
      </c>
      <c r="GW111" s="14">
        <f t="shared" si="105"/>
        <v>4.2923528923937213E-12</v>
      </c>
      <c r="GX111" s="22">
        <f t="shared" si="82"/>
        <v>8.0472891597182151E-12</v>
      </c>
      <c r="GY111" s="62">
        <f t="shared" si="83"/>
        <v>293.33333333334139</v>
      </c>
      <c r="GZ111" s="62">
        <f ca="1">AVERAGE(OFFSET($GY$3,0,0,'Données projet'!$E$18+1,1))-AVERAGE(OFFSET($H$3,0,0,'Données projet'!$E$18+1,1))</f>
        <v>441.17479680509746</v>
      </c>
      <c r="HA111" s="62">
        <f t="shared" si="106"/>
        <v>198.56576128410069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projet'!$B$9,Paramètres!$A$1:$I$89,3,0)*VLOOKUP('Données projet'!$B$9,Paramètres!$A$1:$I$89,5,0)</f>
        <v>-1.9065282685915009E-13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374.79806286316051</v>
      </c>
      <c r="T112" s="62">
        <f t="shared" si="88"/>
        <v>350.01856672839466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0.82556930706721443</v>
      </c>
      <c r="AB112" s="23">
        <f>EXP(-LN(2)/2)*AB111+(1-EXP(-LN(2)/2))/(LN(2)/2)*V112*Y112*VLOOKUP('Données projet'!$B$9,Paramètres!$A$1:$I$89,3,0)*0.475*44/12</f>
        <v>1.1553396687090946E-11</v>
      </c>
      <c r="AC112" s="24">
        <f t="shared" si="57"/>
        <v>0.82556930707876786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-2.8421709430404007E-13</v>
      </c>
      <c r="AJ112" s="14">
        <f>AI112*VLOOKUP('Données projet'!$B$10,Paramètres!$A$1:$I$89,3,0)*VLOOKUP('Données projet'!$B$10,Paramètres!$A$1:$I$89,5,0)</f>
        <v>-2.4829205358400943E-13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401.89597032936751</v>
      </c>
      <c r="AO112" s="62">
        <f t="shared" si="90"/>
        <v>417.85733543972361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</v>
      </c>
      <c r="BD112" s="13">
        <f>IF('Données projet'!$A$88&gt;35,BD111+BC112-BL111,IF(A112&lt;'Données projet'!$A$88,$BA$205^A112,IF(A112='Données projet'!$A$88,'Données projet'!$B$88,BD111+BC112-BL111)))</f>
        <v>279.99999999999955</v>
      </c>
      <c r="BE112" s="14">
        <f>BD112*VLOOKUP('Données projet'!$B$11,Paramètres!$A$1:$I$89,3,0)*VLOOKUP('Données projet'!$B$11,Paramètres!$A$1:$I$89,5,0)</f>
        <v>253.34399999999957</v>
      </c>
      <c r="BF112" s="14">
        <f t="shared" si="91"/>
        <v>61.301453431926198</v>
      </c>
      <c r="BG112" s="22">
        <f t="shared" si="61"/>
        <v>548.00749806060401</v>
      </c>
      <c r="BH112" s="62">
        <f t="shared" si="62"/>
        <v>841.34083139393738</v>
      </c>
      <c r="BI112" s="62">
        <f ca="1">AVERAGE(OFFSET($BH$3,0,0,'Données projet'!$E$11+1,1))-AVERAGE(OFFSET($H$3,0,0,'Données projet'!$E$11+1,1))</f>
        <v>430.40491895612814</v>
      </c>
      <c r="BJ112" s="62">
        <f t="shared" si="92"/>
        <v>231.36959598460686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3.0769230769230802</v>
      </c>
      <c r="BY112" s="13">
        <f>IF('Données projet'!$A$114&gt;35,BY111+BX112-CG111,IF(A112&lt;'Données projet'!$A$114,$BV$205^A112,IF(A112='Données projet'!$A$114,'Données projet'!$B$114,BY111+BX112-CG111)))</f>
        <v>250.12820512820525</v>
      </c>
      <c r="BZ112" s="14">
        <f>BY112*VLOOKUP('Données projet'!$B$12,Paramètres!$A$1:$I$89,3,0)*VLOOKUP('Données projet'!$B$12,Paramètres!$A$1:$I$89,5,0)</f>
        <v>238.02200000000013</v>
      </c>
      <c r="CA112" s="14">
        <f t="shared" si="93"/>
        <v>58.013749383704898</v>
      </c>
      <c r="CB112" s="22">
        <f t="shared" si="64"/>
        <v>515.59559684328622</v>
      </c>
      <c r="CC112" s="62">
        <f t="shared" si="65"/>
        <v>808.92893017661959</v>
      </c>
      <c r="CD112" s="62">
        <f ca="1">AVERAGE(OFFSET($CC$3,0,0,'Données projet'!$E$12+1,1))-AVERAGE(OFFSET($H$3,0,0,'Données projet'!$E$12+1,1))</f>
        <v>367.11183928586667</v>
      </c>
      <c r="CE112" s="62">
        <f t="shared" si="94"/>
        <v>281.52963027844595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-3.4106051316484809E-13</v>
      </c>
      <c r="CU112" s="18">
        <f>CT112*VLOOKUP('Données projet'!$B$13,Paramètres!$A$1:$I$89,3,0)*VLOOKUP('Données projet'!$B$13,Paramètres!$A$1:$I$89,5,0)</f>
        <v>-2.0395418687257919E-13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308.47522272937135</v>
      </c>
      <c r="CZ112" s="62">
        <f t="shared" si="96"/>
        <v>302.54354650449721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0.42963303286971161</v>
      </c>
      <c r="DH112" s="23">
        <f>EXP(-LN(2)/2)*DH111+(1-EXP(-LN(2)/2))/(LN(2)/2)*DB112*DE112*VLOOKUP('Données projet'!$B$13,Paramètres!$A$1:$I$89,3,0)*0.475*44/12</f>
        <v>2.2217672263913767E-11</v>
      </c>
      <c r="DI112" s="24">
        <f t="shared" si="69"/>
        <v>0.42963303289192928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-5.6843418860808015E-14</v>
      </c>
      <c r="DP112" s="18">
        <f>DO112*VLOOKUP('Données projet'!$B$14,Paramètres!$A$1:$I$89,3,0)*VLOOKUP('Données projet'!$B$14,Paramètres!$A$1:$I$89,5,0)</f>
        <v>-4.5224624045658861E-14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370.58277541710277</v>
      </c>
      <c r="DU112" s="62">
        <f t="shared" si="98"/>
        <v>404.61777090709171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>
        <f>EJ112*VLOOKUP('Données projet'!$B$15,Paramètres!$A$1:$I$89,3,0)*VLOOKUP('Données projet'!$B$15,Paramètres!$A$1:$I$89,5,0)</f>
        <v>0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240.22884864766218</v>
      </c>
      <c r="EP112" s="62">
        <f t="shared" si="100"/>
        <v>343.23776884143166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1.1518384297604944</v>
      </c>
      <c r="EX112" s="23">
        <f>EXP(-LN(2)/2)*EX111+(1-EXP(-LN(2)/2))/(LN(2)/2)*ER112*EU112*VLOOKUP('Données projet'!$B$15,Paramètres!$A$1:$I$89,3,0)*0.475*44/12</f>
        <v>2.124683224803278E-11</v>
      </c>
      <c r="EY112" s="24">
        <f t="shared" si="75"/>
        <v>1.1518384297817412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-1.1368683772161603E-13</v>
      </c>
      <c r="FF112" s="18">
        <f>FE112*VLOOKUP('Données projet'!$B$16,Paramètres!$A$1:$I$89,3,0)*VLOOKUP('Données projet'!$B$16,Paramètres!$A$1:$I$89,5,0)</f>
        <v>-5.3205440053716299E-14</v>
      </c>
      <c r="FG112" s="14" t="e">
        <f t="shared" si="101"/>
        <v>#NUM!</v>
      </c>
      <c r="FH112" s="22" t="e">
        <f t="shared" si="76"/>
        <v>#NUM!</v>
      </c>
      <c r="FI112" s="62" t="e">
        <f t="shared" si="77"/>
        <v>#NUM!</v>
      </c>
      <c r="FJ112" s="62">
        <f ca="1">AVERAGE(OFFSET($FI$3,0,0,'Données projet'!$E$16+1,1))-AVERAGE(OFFSET($H$3,0,0,'Données projet'!$E$16+1,1))</f>
        <v>399.92909819003523</v>
      </c>
      <c r="FK112" s="62">
        <f t="shared" si="102"/>
        <v>163.7053537268381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-5.6843418860808015E-14</v>
      </c>
      <c r="GA112" s="18">
        <f>FZ112*VLOOKUP('Données projet'!$B$17,Paramètres!$A$1:$I$89,3,0)*VLOOKUP('Données projet'!$B$17,Paramètres!$A$1:$I$89,5,0)</f>
        <v>-4.1677594708744434E-14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344.4426665022238</v>
      </c>
      <c r="GF112" s="62">
        <f t="shared" si="104"/>
        <v>376.41441893222185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6.8212102632969618E-13</v>
      </c>
      <c r="GV112" s="18">
        <f>GU112*VLOOKUP('Données projet'!$B$18,Paramètres!$A$1:$I$89,3,0)*VLOOKUP('Données projet'!$B$18,Paramètres!$A$1:$I$89,5,0)</f>
        <v>3.2810021366458383E-13</v>
      </c>
      <c r="GW112" s="14">
        <f t="shared" si="105"/>
        <v>4.2923528923937213E-12</v>
      </c>
      <c r="GX112" s="22">
        <f t="shared" si="82"/>
        <v>8.0472891597182151E-12</v>
      </c>
      <c r="GY112" s="62">
        <f t="shared" si="83"/>
        <v>293.33333333334139</v>
      </c>
      <c r="GZ112" s="62">
        <f ca="1">AVERAGE(OFFSET($GY$3,0,0,'Données projet'!$E$18+1,1))-AVERAGE(OFFSET($H$3,0,0,'Données projet'!$E$18+1,1))</f>
        <v>441.17479680509746</v>
      </c>
      <c r="HA112" s="62">
        <f t="shared" si="106"/>
        <v>198.56576128410069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projet'!$B$9,Paramètres!$A$1:$I$89,3,0)*VLOOKUP('Données projet'!$B$9,Paramètres!$A$1:$I$89,5,0)</f>
        <v>-1.9065282685915009E-13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374.79806286316051</v>
      </c>
      <c r="T113" s="62">
        <f t="shared" si="88"/>
        <v>350.01856672839466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0.80299407095065845</v>
      </c>
      <c r="AB113" s="23">
        <f>EXP(-LN(2)/2)*AB112+(1-EXP(-LN(2)/2))/(LN(2)/2)*V113*Y113*VLOOKUP('Données projet'!$B$9,Paramètres!$A$1:$I$89,3,0)*0.475*44/12</f>
        <v>8.1694851431802006E-12</v>
      </c>
      <c r="AC113" s="24">
        <f t="shared" si="57"/>
        <v>0.80299407095882791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-2.8421709430404007E-13</v>
      </c>
      <c r="AJ113" s="14">
        <f>AI113*VLOOKUP('Données projet'!$B$10,Paramètres!$A$1:$I$89,3,0)*VLOOKUP('Données projet'!$B$10,Paramètres!$A$1:$I$89,5,0)</f>
        <v>-2.4829205358400943E-13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401.89597032936751</v>
      </c>
      <c r="AO113" s="62">
        <f t="shared" si="90"/>
        <v>417.85733543972361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</v>
      </c>
      <c r="BD113" s="13">
        <f>IF('Données projet'!$A$88&gt;35,BD112+BC113-BL112,IF(A113&lt;'Données projet'!$A$88,$BA$205^A113,IF(A113='Données projet'!$A$88,'Données projet'!$B$88,BD112+BC113-BL112)))</f>
        <v>283.99999999999955</v>
      </c>
      <c r="BE113" s="14">
        <f>BD113*VLOOKUP('Données projet'!$B$11,Paramètres!$A$1:$I$89,3,0)*VLOOKUP('Données projet'!$B$11,Paramètres!$A$1:$I$89,5,0)</f>
        <v>256.96319999999957</v>
      </c>
      <c r="BF113" s="14">
        <f t="shared" si="91"/>
        <v>62.07461295683791</v>
      </c>
      <c r="BG113" s="22">
        <f t="shared" si="61"/>
        <v>555.6575242331586</v>
      </c>
      <c r="BH113" s="62">
        <f t="shared" si="62"/>
        <v>848.99085756649197</v>
      </c>
      <c r="BI113" s="62">
        <f ca="1">AVERAGE(OFFSET($BH$3,0,0,'Données projet'!$E$11+1,1))-AVERAGE(OFFSET($H$3,0,0,'Données projet'!$E$11+1,1))</f>
        <v>430.40491895612814</v>
      </c>
      <c r="BJ113" s="62">
        <f t="shared" si="92"/>
        <v>231.36959598460686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253.2051282051282</v>
      </c>
      <c r="BW113" s="13">
        <f>VLOOKUP(A113,'Données projet'!$A$113:$I$133,9,0)</f>
        <v>3.0769230769230802</v>
      </c>
      <c r="BX113" s="13">
        <f t="array" ref="BX113">INDEX(BW:BW,MIN(IF(ISNUMBER(BW113:BW309),ROW(BW113:BW309),"")))</f>
        <v>3.0769230769230802</v>
      </c>
      <c r="BY113" s="13">
        <f>IF('Données projet'!$A$114&gt;35,BY112+BX113-CG112,IF(A113&lt;'Données projet'!$A$114,$BV$205^A113,IF(A113='Données projet'!$A$114,'Données projet'!$B$114,BY112+BX113-CG112)))</f>
        <v>253.20512820512835</v>
      </c>
      <c r="BZ113" s="14">
        <f>BY113*VLOOKUP('Données projet'!$B$12,Paramètres!$A$1:$I$89,3,0)*VLOOKUP('Données projet'!$B$12,Paramètres!$A$1:$I$89,5,0)</f>
        <v>240.95000000000013</v>
      </c>
      <c r="CA113" s="14">
        <f t="shared" si="93"/>
        <v>58.643880591265685</v>
      </c>
      <c r="CB113" s="22">
        <f t="shared" si="64"/>
        <v>521.79267536312125</v>
      </c>
      <c r="CC113" s="62">
        <f t="shared" si="65"/>
        <v>815.12600869645462</v>
      </c>
      <c r="CD113" s="62">
        <f ca="1">AVERAGE(OFFSET($CC$3,0,0,'Données projet'!$E$12+1,1))-AVERAGE(OFFSET($H$3,0,0,'Données projet'!$E$12+1,1))</f>
        <v>367.11183928586667</v>
      </c>
      <c r="CE113" s="62">
        <f t="shared" si="94"/>
        <v>281.52963027844595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-3.4106051316484809E-13</v>
      </c>
      <c r="CU113" s="18">
        <f>CT113*VLOOKUP('Données projet'!$B$13,Paramètres!$A$1:$I$89,3,0)*VLOOKUP('Données projet'!$B$13,Paramètres!$A$1:$I$89,5,0)</f>
        <v>-2.0395418687257919E-13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308.47522272937135</v>
      </c>
      <c r="CZ113" s="62">
        <f t="shared" si="96"/>
        <v>302.54354650449721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0.41788469499247011</v>
      </c>
      <c r="DH113" s="23">
        <f>EXP(-LN(2)/2)*DH112+(1-EXP(-LN(2)/2))/(LN(2)/2)*DB113*DE113*VLOOKUP('Données projet'!$B$13,Paramètres!$A$1:$I$89,3,0)*0.475*44/12</f>
        <v>1.5710266719993697E-11</v>
      </c>
      <c r="DI113" s="24">
        <f t="shared" si="69"/>
        <v>0.41788469500818037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-5.6843418860808015E-14</v>
      </c>
      <c r="DP113" s="18">
        <f>DO113*VLOOKUP('Données projet'!$B$14,Paramètres!$A$1:$I$89,3,0)*VLOOKUP('Données projet'!$B$14,Paramètres!$A$1:$I$89,5,0)</f>
        <v>-4.5224624045658861E-14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370.58277541710277</v>
      </c>
      <c r="DU113" s="62">
        <f t="shared" si="98"/>
        <v>404.61777090709171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>
        <f>EJ113*VLOOKUP('Données projet'!$B$15,Paramètres!$A$1:$I$89,3,0)*VLOOKUP('Données projet'!$B$15,Paramètres!$A$1:$I$89,5,0)</f>
        <v>0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240.22884864766218</v>
      </c>
      <c r="EP113" s="62">
        <f t="shared" si="100"/>
        <v>343.23776884143166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1.1203413473261432</v>
      </c>
      <c r="EX113" s="23">
        <f>EXP(-LN(2)/2)*EX112+(1-EXP(-LN(2)/2))/(LN(2)/2)*ER113*EU113*VLOOKUP('Données projet'!$B$15,Paramètres!$A$1:$I$89,3,0)*0.475*44/12</f>
        <v>1.5023779161316996E-11</v>
      </c>
      <c r="EY113" s="24">
        <f t="shared" si="75"/>
        <v>1.120341347341167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-1.1368683772161603E-13</v>
      </c>
      <c r="FF113" s="18">
        <f>FE113*VLOOKUP('Données projet'!$B$16,Paramètres!$A$1:$I$89,3,0)*VLOOKUP('Données projet'!$B$16,Paramètres!$A$1:$I$89,5,0)</f>
        <v>-5.3205440053716299E-14</v>
      </c>
      <c r="FG113" s="14" t="e">
        <f t="shared" si="101"/>
        <v>#NUM!</v>
      </c>
      <c r="FH113" s="22" t="e">
        <f t="shared" si="76"/>
        <v>#NUM!</v>
      </c>
      <c r="FI113" s="62" t="e">
        <f t="shared" si="77"/>
        <v>#NUM!</v>
      </c>
      <c r="FJ113" s="62">
        <f ca="1">AVERAGE(OFFSET($FI$3,0,0,'Données projet'!$E$16+1,1))-AVERAGE(OFFSET($H$3,0,0,'Données projet'!$E$16+1,1))</f>
        <v>399.92909819003523</v>
      </c>
      <c r="FK113" s="62">
        <f t="shared" si="102"/>
        <v>163.7053537268381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-5.6843418860808015E-14</v>
      </c>
      <c r="GA113" s="18">
        <f>FZ113*VLOOKUP('Données projet'!$B$17,Paramètres!$A$1:$I$89,3,0)*VLOOKUP('Données projet'!$B$17,Paramètres!$A$1:$I$89,5,0)</f>
        <v>-4.1677594708744434E-14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344.4426665022238</v>
      </c>
      <c r="GF113" s="62">
        <f t="shared" si="104"/>
        <v>376.41441893222185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6.8212102632969618E-13</v>
      </c>
      <c r="GV113" s="18">
        <f>GU113*VLOOKUP('Données projet'!$B$18,Paramètres!$A$1:$I$89,3,0)*VLOOKUP('Données projet'!$B$18,Paramètres!$A$1:$I$89,5,0)</f>
        <v>3.2810021366458383E-13</v>
      </c>
      <c r="GW113" s="14">
        <f t="shared" si="105"/>
        <v>4.2923528923937213E-12</v>
      </c>
      <c r="GX113" s="22">
        <f t="shared" si="82"/>
        <v>8.0472891597182151E-12</v>
      </c>
      <c r="GY113" s="62">
        <f t="shared" si="83"/>
        <v>293.33333333334139</v>
      </c>
      <c r="GZ113" s="62">
        <f ca="1">AVERAGE(OFFSET($GY$3,0,0,'Données projet'!$E$18+1,1))-AVERAGE(OFFSET($H$3,0,0,'Données projet'!$E$18+1,1))</f>
        <v>441.17479680509746</v>
      </c>
      <c r="HA113" s="62">
        <f t="shared" si="106"/>
        <v>198.56576128410069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projet'!$B$9,Paramètres!$A$1:$I$89,3,0)*VLOOKUP('Données projet'!$B$9,Paramètres!$A$1:$I$89,5,0)</f>
        <v>-1.9065282685915009E-13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374.79806286316051</v>
      </c>
      <c r="T114" s="62">
        <f t="shared" si="88"/>
        <v>350.01856672839466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0.78103615585288977</v>
      </c>
      <c r="AB114" s="23">
        <f>EXP(-LN(2)/2)*AB113+(1-EXP(-LN(2)/2))/(LN(2)/2)*V114*Y114*VLOOKUP('Données projet'!$B$9,Paramètres!$A$1:$I$89,3,0)*0.475*44/12</f>
        <v>5.776698343545473E-12</v>
      </c>
      <c r="AC114" s="24">
        <f t="shared" si="57"/>
        <v>0.78103615585866648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-2.8421709430404007E-13</v>
      </c>
      <c r="AJ114" s="14">
        <f>AI114*VLOOKUP('Données projet'!$B$10,Paramètres!$A$1:$I$89,3,0)*VLOOKUP('Données projet'!$B$10,Paramètres!$A$1:$I$89,5,0)</f>
        <v>-2.4829205358400943E-13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401.89597032936751</v>
      </c>
      <c r="AO114" s="62">
        <f t="shared" si="90"/>
        <v>417.85733543972361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</v>
      </c>
      <c r="BD114" s="13">
        <f>IF('Données projet'!$A$88&gt;35,BD113+BC114-BL113,IF(A114&lt;'Données projet'!$A$88,$BA$205^A114,IF(A114='Données projet'!$A$88,'Données projet'!$B$88,BD113+BC114-BL113)))</f>
        <v>287.99999999999955</v>
      </c>
      <c r="BE114" s="14">
        <f>BD114*VLOOKUP('Données projet'!$B$11,Paramètres!$A$1:$I$89,3,0)*VLOOKUP('Données projet'!$B$11,Paramètres!$A$1:$I$89,5,0)</f>
        <v>260.58239999999961</v>
      </c>
      <c r="BF114" s="14">
        <f t="shared" si="91"/>
        <v>62.846505929896793</v>
      </c>
      <c r="BG114" s="22">
        <f t="shared" si="61"/>
        <v>563.30534449456957</v>
      </c>
      <c r="BH114" s="62">
        <f t="shared" si="62"/>
        <v>856.63867782790294</v>
      </c>
      <c r="BI114" s="62">
        <f ca="1">AVERAGE(OFFSET($BH$3,0,0,'Données projet'!$E$11+1,1))-AVERAGE(OFFSET($H$3,0,0,'Données projet'!$E$11+1,1))</f>
        <v>430.40491895612814</v>
      </c>
      <c r="BJ114" s="62">
        <f t="shared" si="92"/>
        <v>231.36959598460686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2.8846153846153841</v>
      </c>
      <c r="BY114" s="13">
        <f>IF('Données projet'!$A$114&gt;35,BY113+BX114-CG113,IF(A114&lt;'Données projet'!$A$114,$BV$205^A114,IF(A114='Données projet'!$A$114,'Données projet'!$B$114,BY113+BX114-CG113)))</f>
        <v>256.0897435897437</v>
      </c>
      <c r="BZ114" s="14">
        <f>BY114*VLOOKUP('Données projet'!$B$12,Paramètres!$A$1:$I$89,3,0)*VLOOKUP('Données projet'!$B$12,Paramètres!$A$1:$I$89,5,0)</f>
        <v>243.69500000000011</v>
      </c>
      <c r="CA114" s="14">
        <f t="shared" si="93"/>
        <v>59.233819432983545</v>
      </c>
      <c r="CB114" s="22">
        <f t="shared" si="64"/>
        <v>527.60102717911309</v>
      </c>
      <c r="CC114" s="62">
        <f t="shared" si="65"/>
        <v>820.93436051244635</v>
      </c>
      <c r="CD114" s="62">
        <f ca="1">AVERAGE(OFFSET($CC$3,0,0,'Données projet'!$E$12+1,1))-AVERAGE(OFFSET($H$3,0,0,'Données projet'!$E$12+1,1))</f>
        <v>367.11183928586667</v>
      </c>
      <c r="CE114" s="62">
        <f t="shared" si="94"/>
        <v>281.52963027844595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-3.4106051316484809E-13</v>
      </c>
      <c r="CU114" s="18">
        <f>CT114*VLOOKUP('Données projet'!$B$13,Paramètres!$A$1:$I$89,3,0)*VLOOKUP('Données projet'!$B$13,Paramètres!$A$1:$I$89,5,0)</f>
        <v>-2.0395418687257919E-13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308.47522272937135</v>
      </c>
      <c r="CZ114" s="62">
        <f t="shared" si="96"/>
        <v>302.54354650449721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0.40645761603230002</v>
      </c>
      <c r="DH114" s="23">
        <f>EXP(-LN(2)/2)*DH113+(1-EXP(-LN(2)/2))/(LN(2)/2)*DB114*DE114*VLOOKUP('Données projet'!$B$13,Paramètres!$A$1:$I$89,3,0)*0.475*44/12</f>
        <v>1.1108836131956883E-11</v>
      </c>
      <c r="DI114" s="24">
        <f t="shared" si="69"/>
        <v>0.40645761604340885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-5.6843418860808015E-14</v>
      </c>
      <c r="DP114" s="18">
        <f>DO114*VLOOKUP('Données projet'!$B$14,Paramètres!$A$1:$I$89,3,0)*VLOOKUP('Données projet'!$B$14,Paramètres!$A$1:$I$89,5,0)</f>
        <v>-4.5224624045658861E-14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370.58277541710277</v>
      </c>
      <c r="DU114" s="62">
        <f t="shared" si="98"/>
        <v>404.61777090709171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>
        <f>EJ114*VLOOKUP('Données projet'!$B$15,Paramètres!$A$1:$I$89,3,0)*VLOOKUP('Données projet'!$B$15,Paramètres!$A$1:$I$89,5,0)</f>
        <v>0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240.22884864766218</v>
      </c>
      <c r="EP114" s="62">
        <f t="shared" si="100"/>
        <v>343.23776884143166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1.0897055542673189</v>
      </c>
      <c r="EX114" s="23">
        <f>EXP(-LN(2)/2)*EX113+(1-EXP(-LN(2)/2))/(LN(2)/2)*ER114*EU114*VLOOKUP('Données projet'!$B$15,Paramètres!$A$1:$I$89,3,0)*0.475*44/12</f>
        <v>1.062341612401639E-11</v>
      </c>
      <c r="EY114" s="24">
        <f t="shared" si="75"/>
        <v>1.0897055542779424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-1.1368683772161603E-13</v>
      </c>
      <c r="FF114" s="18">
        <f>FE114*VLOOKUP('Données projet'!$B$16,Paramètres!$A$1:$I$89,3,0)*VLOOKUP('Données projet'!$B$16,Paramètres!$A$1:$I$89,5,0)</f>
        <v>-5.3205440053716299E-14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399.92909819003523</v>
      </c>
      <c r="FK114" s="62">
        <f t="shared" si="102"/>
        <v>163.7053537268381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-5.6843418860808015E-14</v>
      </c>
      <c r="GA114" s="18">
        <f>FZ114*VLOOKUP('Données projet'!$B$17,Paramètres!$A$1:$I$89,3,0)*VLOOKUP('Données projet'!$B$17,Paramètres!$A$1:$I$89,5,0)</f>
        <v>-4.1677594708744434E-14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344.4426665022238</v>
      </c>
      <c r="GF114" s="62">
        <f t="shared" si="104"/>
        <v>376.41441893222185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6.8212102632969618E-13</v>
      </c>
      <c r="GV114" s="18">
        <f>GU114*VLOOKUP('Données projet'!$B$18,Paramètres!$A$1:$I$89,3,0)*VLOOKUP('Données projet'!$B$18,Paramètres!$A$1:$I$89,5,0)</f>
        <v>3.2810021366458383E-13</v>
      </c>
      <c r="GW114" s="14">
        <f t="shared" si="105"/>
        <v>4.2923528923937213E-12</v>
      </c>
      <c r="GX114" s="22">
        <f t="shared" si="82"/>
        <v>8.0472891597182151E-12</v>
      </c>
      <c r="GY114" s="62">
        <f t="shared" si="83"/>
        <v>293.33333333334139</v>
      </c>
      <c r="GZ114" s="62">
        <f ca="1">AVERAGE(OFFSET($GY$3,0,0,'Données projet'!$E$18+1,1))-AVERAGE(OFFSET($H$3,0,0,'Données projet'!$E$18+1,1))</f>
        <v>441.17479680509746</v>
      </c>
      <c r="HA114" s="62">
        <f t="shared" si="106"/>
        <v>198.56576128410069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projet'!$B$9,Paramètres!$A$1:$I$89,3,0)*VLOOKUP('Données projet'!$B$9,Paramètres!$A$1:$I$89,5,0)</f>
        <v>-1.9065282685915009E-13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374.79806286316051</v>
      </c>
      <c r="T115" s="62">
        <f t="shared" si="88"/>
        <v>350.01856672839466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0.75967868109818615</v>
      </c>
      <c r="AB115" s="23">
        <f>EXP(-LN(2)/2)*AB114+(1-EXP(-LN(2)/2))/(LN(2)/2)*V115*Y115*VLOOKUP('Données projet'!$B$9,Paramètres!$A$1:$I$89,3,0)*0.475*44/12</f>
        <v>4.0847425715901003E-12</v>
      </c>
      <c r="AC115" s="24">
        <f t="shared" si="57"/>
        <v>0.75967868110227088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-2.8421709430404007E-13</v>
      </c>
      <c r="AJ115" s="14">
        <f>AI115*VLOOKUP('Données projet'!$B$10,Paramètres!$A$1:$I$89,3,0)*VLOOKUP('Données projet'!$B$10,Paramètres!$A$1:$I$89,5,0)</f>
        <v>-2.4829205358400943E-13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401.89597032936751</v>
      </c>
      <c r="AO115" s="62">
        <f t="shared" si="90"/>
        <v>417.85733543972361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</v>
      </c>
      <c r="BD115" s="13">
        <f>IF('Données projet'!$A$88&gt;35,BD114+BC115-BL114,IF(A115&lt;'Données projet'!$A$88,$BA$205^A115,IF(A115='Données projet'!$A$88,'Données projet'!$B$88,BD114+BC115-BL114)))</f>
        <v>291.99999999999955</v>
      </c>
      <c r="BE115" s="14">
        <f>BD115*VLOOKUP('Données projet'!$B$11,Paramètres!$A$1:$I$89,3,0)*VLOOKUP('Données projet'!$B$11,Paramètres!$A$1:$I$89,5,0)</f>
        <v>264.20159999999959</v>
      </c>
      <c r="BF115" s="14">
        <f t="shared" si="91"/>
        <v>63.617151975096654</v>
      </c>
      <c r="BG115" s="22">
        <f t="shared" si="61"/>
        <v>570.95099302329265</v>
      </c>
      <c r="BH115" s="62">
        <f t="shared" si="62"/>
        <v>864.28432635662602</v>
      </c>
      <c r="BI115" s="62">
        <f ca="1">AVERAGE(OFFSET($BH$3,0,0,'Données projet'!$E$11+1,1))-AVERAGE(OFFSET($H$3,0,0,'Données projet'!$E$11+1,1))</f>
        <v>430.40491895612814</v>
      </c>
      <c r="BJ115" s="62">
        <f t="shared" si="92"/>
        <v>231.36959598460686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2.8846153846153841</v>
      </c>
      <c r="BY115" s="13">
        <f>IF('Données projet'!$A$114&gt;35,BY114+BX115-CG114,IF(A115&lt;'Données projet'!$A$114,$BV$205^A115,IF(A115='Données projet'!$A$114,'Données projet'!$B$114,BY114+BX115-CG114)))</f>
        <v>258.97435897435906</v>
      </c>
      <c r="BZ115" s="14">
        <f>BY115*VLOOKUP('Données projet'!$B$12,Paramètres!$A$1:$I$89,3,0)*VLOOKUP('Données projet'!$B$12,Paramètres!$A$1:$I$89,5,0)</f>
        <v>246.44000000000011</v>
      </c>
      <c r="CA115" s="14">
        <f t="shared" si="93"/>
        <v>59.822985272492645</v>
      </c>
      <c r="CB115" s="22">
        <f t="shared" si="64"/>
        <v>533.40803268292484</v>
      </c>
      <c r="CC115" s="62">
        <f t="shared" si="65"/>
        <v>826.7413660162581</v>
      </c>
      <c r="CD115" s="62">
        <f ca="1">AVERAGE(OFFSET($CC$3,0,0,'Données projet'!$E$12+1,1))-AVERAGE(OFFSET($H$3,0,0,'Données projet'!$E$12+1,1))</f>
        <v>367.11183928586667</v>
      </c>
      <c r="CE115" s="62">
        <f t="shared" si="94"/>
        <v>281.52963027844595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-3.4106051316484809E-13</v>
      </c>
      <c r="CU115" s="18">
        <f>CT115*VLOOKUP('Données projet'!$B$13,Paramètres!$A$1:$I$89,3,0)*VLOOKUP('Données projet'!$B$13,Paramètres!$A$1:$I$89,5,0)</f>
        <v>-2.0395418687257919E-13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308.47522272937135</v>
      </c>
      <c r="CZ115" s="62">
        <f t="shared" si="96"/>
        <v>302.54354650449721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0.3953430111472197</v>
      </c>
      <c r="DH115" s="23">
        <f>EXP(-LN(2)/2)*DH114+(1-EXP(-LN(2)/2))/(LN(2)/2)*DB115*DE115*VLOOKUP('Données projet'!$B$13,Paramètres!$A$1:$I$89,3,0)*0.475*44/12</f>
        <v>7.8551333599968487E-12</v>
      </c>
      <c r="DI115" s="24">
        <f t="shared" si="69"/>
        <v>0.39534301115507486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-5.6843418860808015E-14</v>
      </c>
      <c r="DP115" s="18">
        <f>DO115*VLOOKUP('Données projet'!$B$14,Paramètres!$A$1:$I$89,3,0)*VLOOKUP('Données projet'!$B$14,Paramètres!$A$1:$I$89,5,0)</f>
        <v>-4.5224624045658861E-14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370.58277541710277</v>
      </c>
      <c r="DU115" s="62">
        <f t="shared" si="98"/>
        <v>404.61777090709171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>
        <f>EJ115*VLOOKUP('Données projet'!$B$15,Paramètres!$A$1:$I$89,3,0)*VLOOKUP('Données projet'!$B$15,Paramètres!$A$1:$I$89,5,0)</f>
        <v>0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240.22884864766218</v>
      </c>
      <c r="EP115" s="62">
        <f t="shared" si="100"/>
        <v>343.23776884143166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1.0599074985807544</v>
      </c>
      <c r="EX115" s="23">
        <f>EXP(-LN(2)/2)*EX114+(1-EXP(-LN(2)/2))/(LN(2)/2)*ER115*EU115*VLOOKUP('Données projet'!$B$15,Paramètres!$A$1:$I$89,3,0)*0.475*44/12</f>
        <v>7.5118895806584982E-12</v>
      </c>
      <c r="EY115" s="24">
        <f t="shared" si="75"/>
        <v>1.0599074985882664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-1.1368683772161603E-13</v>
      </c>
      <c r="FF115" s="18">
        <f>FE115*VLOOKUP('Données projet'!$B$16,Paramètres!$A$1:$I$89,3,0)*VLOOKUP('Données projet'!$B$16,Paramètres!$A$1:$I$89,5,0)</f>
        <v>-5.3205440053716299E-14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399.92909819003523</v>
      </c>
      <c r="FK115" s="62">
        <f t="shared" si="102"/>
        <v>163.7053537268381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-5.6843418860808015E-14</v>
      </c>
      <c r="GA115" s="18">
        <f>FZ115*VLOOKUP('Données projet'!$B$17,Paramètres!$A$1:$I$89,3,0)*VLOOKUP('Données projet'!$B$17,Paramètres!$A$1:$I$89,5,0)</f>
        <v>-4.1677594708744434E-14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344.4426665022238</v>
      </c>
      <c r="GF115" s="62">
        <f t="shared" si="104"/>
        <v>376.41441893222185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6.8212102632969618E-13</v>
      </c>
      <c r="GV115" s="18">
        <f>GU115*VLOOKUP('Données projet'!$B$18,Paramètres!$A$1:$I$89,3,0)*VLOOKUP('Données projet'!$B$18,Paramètres!$A$1:$I$89,5,0)</f>
        <v>3.2810021366458383E-13</v>
      </c>
      <c r="GW115" s="14">
        <f t="shared" si="105"/>
        <v>4.2923528923937213E-12</v>
      </c>
      <c r="GX115" s="22">
        <f t="shared" si="82"/>
        <v>8.0472891597182151E-12</v>
      </c>
      <c r="GY115" s="62">
        <f t="shared" si="83"/>
        <v>293.33333333334139</v>
      </c>
      <c r="GZ115" s="62">
        <f ca="1">AVERAGE(OFFSET($GY$3,0,0,'Données projet'!$E$18+1,1))-AVERAGE(OFFSET($H$3,0,0,'Données projet'!$E$18+1,1))</f>
        <v>441.17479680509746</v>
      </c>
      <c r="HA115" s="62">
        <f t="shared" si="106"/>
        <v>198.56576128410069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projet'!$B$9,Paramètres!$A$1:$I$89,3,0)*VLOOKUP('Données projet'!$B$9,Paramètres!$A$1:$I$89,5,0)</f>
        <v>-1.9065282685915009E-13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374.79806286316051</v>
      </c>
      <c r="T116" s="62">
        <f t="shared" si="88"/>
        <v>350.01856672839466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0.73890522761379063</v>
      </c>
      <c r="AB116" s="23">
        <f>EXP(-LN(2)/2)*AB115+(1-EXP(-LN(2)/2))/(LN(2)/2)*V116*Y116*VLOOKUP('Données projet'!$B$9,Paramètres!$A$1:$I$89,3,0)*0.475*44/12</f>
        <v>2.8883491717727365E-12</v>
      </c>
      <c r="AC116" s="24">
        <f t="shared" si="57"/>
        <v>0.73890522761667898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-2.8421709430404007E-13</v>
      </c>
      <c r="AJ116" s="14">
        <f>AI116*VLOOKUP('Données projet'!$B$10,Paramètres!$A$1:$I$89,3,0)*VLOOKUP('Données projet'!$B$10,Paramètres!$A$1:$I$89,5,0)</f>
        <v>-2.4829205358400943E-13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401.89597032936751</v>
      </c>
      <c r="AO116" s="62">
        <f t="shared" si="90"/>
        <v>417.85733543972361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</v>
      </c>
      <c r="BD116" s="13">
        <f>IF('Données projet'!$A$88&gt;35,BD115+BC116-BL115,IF(A116&lt;'Données projet'!$A$88,$BA$205^A116,IF(A116='Données projet'!$A$88,'Données projet'!$B$88,BD115+BC116-BL115)))</f>
        <v>295.99999999999955</v>
      </c>
      <c r="BE116" s="14">
        <f>BD116*VLOOKUP('Données projet'!$B$11,Paramètres!$A$1:$I$89,3,0)*VLOOKUP('Données projet'!$B$11,Paramètres!$A$1:$I$89,5,0)</f>
        <v>267.82079999999956</v>
      </c>
      <c r="BF116" s="14">
        <f t="shared" si="91"/>
        <v>64.386570147897245</v>
      </c>
      <c r="BG116" s="22">
        <f t="shared" si="61"/>
        <v>578.59450300758692</v>
      </c>
      <c r="BH116" s="62">
        <f t="shared" si="62"/>
        <v>871.92783634092029</v>
      </c>
      <c r="BI116" s="62">
        <f ca="1">AVERAGE(OFFSET($BH$3,0,0,'Données projet'!$E$11+1,1))-AVERAGE(OFFSET($H$3,0,0,'Données projet'!$E$11+1,1))</f>
        <v>430.40491895612814</v>
      </c>
      <c r="BJ116" s="62">
        <f t="shared" si="92"/>
        <v>231.36959598460686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2.8846153846153841</v>
      </c>
      <c r="BY116" s="13">
        <f>IF('Données projet'!$A$114&gt;35,BY115+BX116-CG115,IF(A116&lt;'Données projet'!$A$114,$BV$205^A116,IF(A116='Données projet'!$A$114,'Données projet'!$B$114,BY115+BX116-CG115)))</f>
        <v>261.85897435897442</v>
      </c>
      <c r="BZ116" s="14">
        <f>BY116*VLOOKUP('Données projet'!$B$12,Paramètres!$A$1:$I$89,3,0)*VLOOKUP('Données projet'!$B$12,Paramètres!$A$1:$I$89,5,0)</f>
        <v>249.18500000000006</v>
      </c>
      <c r="CA116" s="14">
        <f t="shared" si="93"/>
        <v>60.411387716360778</v>
      </c>
      <c r="CB116" s="22">
        <f t="shared" si="64"/>
        <v>539.21370860599507</v>
      </c>
      <c r="CC116" s="62">
        <f t="shared" si="65"/>
        <v>832.54704193932844</v>
      </c>
      <c r="CD116" s="62">
        <f ca="1">AVERAGE(OFFSET($CC$3,0,0,'Données projet'!$E$12+1,1))-AVERAGE(OFFSET($H$3,0,0,'Données projet'!$E$12+1,1))</f>
        <v>367.11183928586667</v>
      </c>
      <c r="CE116" s="62">
        <f t="shared" si="94"/>
        <v>281.52963027844595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-3.4106051316484809E-13</v>
      </c>
      <c r="CU116" s="18">
        <f>CT116*VLOOKUP('Données projet'!$B$13,Paramètres!$A$1:$I$89,3,0)*VLOOKUP('Données projet'!$B$13,Paramètres!$A$1:$I$89,5,0)</f>
        <v>-2.0395418687257919E-13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308.47522272937135</v>
      </c>
      <c r="CZ116" s="62">
        <f t="shared" si="96"/>
        <v>302.54354650449721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0.38453233571721357</v>
      </c>
      <c r="DH116" s="23">
        <f>EXP(-LN(2)/2)*DH115+(1-EXP(-LN(2)/2))/(LN(2)/2)*DB116*DE116*VLOOKUP('Données projet'!$B$13,Paramètres!$A$1:$I$89,3,0)*0.475*44/12</f>
        <v>5.5544180659784417E-12</v>
      </c>
      <c r="DI116" s="24">
        <f t="shared" si="69"/>
        <v>0.38453233572276801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-5.6843418860808015E-14</v>
      </c>
      <c r="DP116" s="18">
        <f>DO116*VLOOKUP('Données projet'!$B$14,Paramètres!$A$1:$I$89,3,0)*VLOOKUP('Données projet'!$B$14,Paramètres!$A$1:$I$89,5,0)</f>
        <v>-4.5224624045658861E-14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370.58277541710277</v>
      </c>
      <c r="DU116" s="62">
        <f t="shared" si="98"/>
        <v>404.61777090709171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>
        <f>EJ116*VLOOKUP('Données projet'!$B$15,Paramètres!$A$1:$I$89,3,0)*VLOOKUP('Données projet'!$B$15,Paramètres!$A$1:$I$89,5,0)</f>
        <v>0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240.22884864766218</v>
      </c>
      <c r="EP116" s="62">
        <f t="shared" si="100"/>
        <v>343.23776884143166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1.0309242722939507</v>
      </c>
      <c r="EX116" s="23">
        <f>EXP(-LN(2)/2)*EX115+(1-EXP(-LN(2)/2))/(LN(2)/2)*ER116*EU116*VLOOKUP('Données projet'!$B$15,Paramètres!$A$1:$I$89,3,0)*0.475*44/12</f>
        <v>5.311708062008195E-12</v>
      </c>
      <c r="EY116" s="24">
        <f t="shared" si="75"/>
        <v>1.0309242722992624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-1.1368683772161603E-13</v>
      </c>
      <c r="FF116" s="18">
        <f>FE116*VLOOKUP('Données projet'!$B$16,Paramètres!$A$1:$I$89,3,0)*VLOOKUP('Données projet'!$B$16,Paramètres!$A$1:$I$89,5,0)</f>
        <v>-5.3205440053716299E-14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399.92909819003523</v>
      </c>
      <c r="FK116" s="62">
        <f t="shared" si="102"/>
        <v>163.7053537268381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-5.6843418860808015E-14</v>
      </c>
      <c r="GA116" s="18">
        <f>FZ116*VLOOKUP('Données projet'!$B$17,Paramètres!$A$1:$I$89,3,0)*VLOOKUP('Données projet'!$B$17,Paramètres!$A$1:$I$89,5,0)</f>
        <v>-4.1677594708744434E-14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344.4426665022238</v>
      </c>
      <c r="GF116" s="62">
        <f t="shared" si="104"/>
        <v>376.41441893222185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6.8212102632969618E-13</v>
      </c>
      <c r="GV116" s="18">
        <f>GU116*VLOOKUP('Données projet'!$B$18,Paramètres!$A$1:$I$89,3,0)*VLOOKUP('Données projet'!$B$18,Paramètres!$A$1:$I$89,5,0)</f>
        <v>3.2810021366458383E-13</v>
      </c>
      <c r="GW116" s="14">
        <f t="shared" si="105"/>
        <v>4.2923528923937213E-12</v>
      </c>
      <c r="GX116" s="22">
        <f t="shared" si="82"/>
        <v>8.0472891597182151E-12</v>
      </c>
      <c r="GY116" s="62">
        <f t="shared" si="83"/>
        <v>293.33333333334139</v>
      </c>
      <c r="GZ116" s="62">
        <f ca="1">AVERAGE(OFFSET($GY$3,0,0,'Données projet'!$E$18+1,1))-AVERAGE(OFFSET($H$3,0,0,'Données projet'!$E$18+1,1))</f>
        <v>441.17479680509746</v>
      </c>
      <c r="HA116" s="62">
        <f t="shared" si="106"/>
        <v>198.56576128410069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projet'!$B$9,Paramètres!$A$1:$I$89,3,0)*VLOOKUP('Données projet'!$B$9,Paramètres!$A$1:$I$89,5,0)</f>
        <v>-1.9065282685915009E-13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374.79806286316051</v>
      </c>
      <c r="T117" s="62">
        <f t="shared" si="88"/>
        <v>350.01856672839466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0.71869982530735443</v>
      </c>
      <c r="AB117" s="23">
        <f>EXP(-LN(2)/2)*AB116+(1-EXP(-LN(2)/2))/(LN(2)/2)*V117*Y117*VLOOKUP('Données projet'!$B$9,Paramètres!$A$1:$I$89,3,0)*0.475*44/12</f>
        <v>2.0423712857950501E-12</v>
      </c>
      <c r="AC117" s="24">
        <f t="shared" si="57"/>
        <v>0.7186998253093968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-2.8421709430404007E-13</v>
      </c>
      <c r="AJ117" s="14">
        <f>AI117*VLOOKUP('Données projet'!$B$10,Paramètres!$A$1:$I$89,3,0)*VLOOKUP('Données projet'!$B$10,Paramètres!$A$1:$I$89,5,0)</f>
        <v>-2.4829205358400943E-13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401.89597032936751</v>
      </c>
      <c r="AO117" s="62">
        <f t="shared" si="90"/>
        <v>417.85733543972361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</v>
      </c>
      <c r="BD117" s="13">
        <f>IF('Données projet'!$A$88&gt;35,BD116+BC117-BL116,IF(A117&lt;'Données projet'!$A$88,$BA$205^A117,IF(A117='Données projet'!$A$88,'Données projet'!$B$88,BD116+BC117-BL116)))</f>
        <v>299.99999999999955</v>
      </c>
      <c r="BE117" s="14">
        <f>BD117*VLOOKUP('Données projet'!$B$11,Paramètres!$A$1:$I$89,3,0)*VLOOKUP('Données projet'!$B$11,Paramètres!$A$1:$I$89,5,0)</f>
        <v>271.43999999999954</v>
      </c>
      <c r="BF117" s="14">
        <f t="shared" si="91"/>
        <v>65.154778959151116</v>
      </c>
      <c r="BG117" s="22">
        <f t="shared" si="61"/>
        <v>586.23590668718737</v>
      </c>
      <c r="BH117" s="62">
        <f t="shared" si="62"/>
        <v>879.56924002052074</v>
      </c>
      <c r="BI117" s="62">
        <f ca="1">AVERAGE(OFFSET($BH$3,0,0,'Données projet'!$E$11+1,1))-AVERAGE(OFFSET($H$3,0,0,'Données projet'!$E$11+1,1))</f>
        <v>430.40491895612814</v>
      </c>
      <c r="BJ117" s="62">
        <f t="shared" si="92"/>
        <v>231.36959598460686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2.8846153846153841</v>
      </c>
      <c r="BY117" s="13">
        <f>IF('Données projet'!$A$114&gt;35,BY116+BX117-CG116,IF(A117&lt;'Données projet'!$A$114,$BV$205^A117,IF(A117='Données projet'!$A$114,'Données projet'!$B$114,BY116+BX117-CG116)))</f>
        <v>264.74358974358978</v>
      </c>
      <c r="BZ117" s="14">
        <f>BY117*VLOOKUP('Données projet'!$B$12,Paramètres!$A$1:$I$89,3,0)*VLOOKUP('Données projet'!$B$12,Paramètres!$A$1:$I$89,5,0)</f>
        <v>251.93000000000004</v>
      </c>
      <c r="CA117" s="14">
        <f t="shared" si="93"/>
        <v>60.999036147317533</v>
      </c>
      <c r="CB117" s="22">
        <f t="shared" si="64"/>
        <v>545.0180712899114</v>
      </c>
      <c r="CC117" s="62">
        <f t="shared" si="65"/>
        <v>838.35140462324466</v>
      </c>
      <c r="CD117" s="62">
        <f ca="1">AVERAGE(OFFSET($CC$3,0,0,'Données projet'!$E$12+1,1))-AVERAGE(OFFSET($H$3,0,0,'Données projet'!$E$12+1,1))</f>
        <v>367.11183928586667</v>
      </c>
      <c r="CE117" s="62">
        <f t="shared" si="94"/>
        <v>281.52963027844595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-3.4106051316484809E-13</v>
      </c>
      <c r="CU117" s="18">
        <f>CT117*VLOOKUP('Données projet'!$B$13,Paramètres!$A$1:$I$89,3,0)*VLOOKUP('Données projet'!$B$13,Paramètres!$A$1:$I$89,5,0)</f>
        <v>-2.0395418687257919E-13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308.47522272937135</v>
      </c>
      <c r="CZ117" s="62">
        <f t="shared" si="96"/>
        <v>302.54354650449721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0.37401727877534968</v>
      </c>
      <c r="DH117" s="23">
        <f>EXP(-LN(2)/2)*DH116+(1-EXP(-LN(2)/2))/(LN(2)/2)*DB117*DE117*VLOOKUP('Données projet'!$B$13,Paramètres!$A$1:$I$89,3,0)*0.475*44/12</f>
        <v>3.9275666799984243E-12</v>
      </c>
      <c r="DI117" s="24">
        <f t="shared" si="69"/>
        <v>0.37401727877927726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-5.6843418860808015E-14</v>
      </c>
      <c r="DP117" s="18">
        <f>DO117*VLOOKUP('Données projet'!$B$14,Paramètres!$A$1:$I$89,3,0)*VLOOKUP('Données projet'!$B$14,Paramètres!$A$1:$I$89,5,0)</f>
        <v>-4.5224624045658861E-14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370.58277541710277</v>
      </c>
      <c r="DU117" s="62">
        <f t="shared" si="98"/>
        <v>404.61777090709171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>
        <f>EJ117*VLOOKUP('Données projet'!$B$15,Paramètres!$A$1:$I$89,3,0)*VLOOKUP('Données projet'!$B$15,Paramètres!$A$1:$I$89,5,0)</f>
        <v>0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240.22884864766218</v>
      </c>
      <c r="EP117" s="62">
        <f t="shared" si="100"/>
        <v>343.23776884143166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1.0027335938541213</v>
      </c>
      <c r="EX117" s="23">
        <f>EXP(-LN(2)/2)*EX116+(1-EXP(-LN(2)/2))/(LN(2)/2)*ER117*EU117*VLOOKUP('Données projet'!$B$15,Paramètres!$A$1:$I$89,3,0)*0.475*44/12</f>
        <v>3.7559447903292491E-12</v>
      </c>
      <c r="EY117" s="24">
        <f t="shared" si="75"/>
        <v>1.0027335938578772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-1.1368683772161603E-13</v>
      </c>
      <c r="FF117" s="18">
        <f>FE117*VLOOKUP('Données projet'!$B$16,Paramètres!$A$1:$I$89,3,0)*VLOOKUP('Données projet'!$B$16,Paramètres!$A$1:$I$89,5,0)</f>
        <v>-5.3205440053716299E-14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399.92909819003523</v>
      </c>
      <c r="FK117" s="62">
        <f t="shared" si="102"/>
        <v>163.7053537268381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-5.6843418860808015E-14</v>
      </c>
      <c r="GA117" s="18">
        <f>FZ117*VLOOKUP('Données projet'!$B$17,Paramètres!$A$1:$I$89,3,0)*VLOOKUP('Données projet'!$B$17,Paramètres!$A$1:$I$89,5,0)</f>
        <v>-4.1677594708744434E-14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344.4426665022238</v>
      </c>
      <c r="GF117" s="62">
        <f t="shared" si="104"/>
        <v>376.41441893222185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6.8212102632969618E-13</v>
      </c>
      <c r="GV117" s="18">
        <f>GU117*VLOOKUP('Données projet'!$B$18,Paramètres!$A$1:$I$89,3,0)*VLOOKUP('Données projet'!$B$18,Paramètres!$A$1:$I$89,5,0)</f>
        <v>3.2810021366458383E-13</v>
      </c>
      <c r="GW117" s="14">
        <f t="shared" si="105"/>
        <v>4.2923528923937213E-12</v>
      </c>
      <c r="GX117" s="22">
        <f t="shared" si="82"/>
        <v>8.0472891597182151E-12</v>
      </c>
      <c r="GY117" s="62">
        <f t="shared" si="83"/>
        <v>293.33333333334139</v>
      </c>
      <c r="GZ117" s="62">
        <f ca="1">AVERAGE(OFFSET($GY$3,0,0,'Données projet'!$E$18+1,1))-AVERAGE(OFFSET($H$3,0,0,'Données projet'!$E$18+1,1))</f>
        <v>441.17479680509746</v>
      </c>
      <c r="HA117" s="62">
        <f t="shared" si="106"/>
        <v>198.56576128410069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projet'!$B$9,Paramètres!$A$1:$I$89,3,0)*VLOOKUP('Données projet'!$B$9,Paramètres!$A$1:$I$89,5,0)</f>
        <v>-1.9065282685915009E-13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374.79806286316051</v>
      </c>
      <c r="T118" s="62">
        <f t="shared" si="88"/>
        <v>350.01856672839466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0.69904694078954366</v>
      </c>
      <c r="AB118" s="23">
        <f>EXP(-LN(2)/2)*AB117+(1-EXP(-LN(2)/2))/(LN(2)/2)*V118*Y118*VLOOKUP('Données projet'!$B$9,Paramètres!$A$1:$I$89,3,0)*0.475*44/12</f>
        <v>1.4441745858863682E-12</v>
      </c>
      <c r="AC118" s="24">
        <f t="shared" si="57"/>
        <v>0.69904694079098784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-2.8421709430404007E-13</v>
      </c>
      <c r="AJ118" s="14">
        <f>AI118*VLOOKUP('Données projet'!$B$10,Paramètres!$A$1:$I$89,3,0)*VLOOKUP('Données projet'!$B$10,Paramètres!$A$1:$I$89,5,0)</f>
        <v>-2.4829205358400943E-13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401.89597032936751</v>
      </c>
      <c r="AO118" s="62">
        <f t="shared" si="90"/>
        <v>417.85733543972361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304</v>
      </c>
      <c r="BB118" s="13">
        <f>VLOOKUP(A118,'Données projet'!$A$87:$I$107,9,0)</f>
        <v>4</v>
      </c>
      <c r="BC118" s="13">
        <f t="array" ref="BC118">INDEX(BB:BB,MIN(IF(ISNUMBER(BB118:BB314),ROW(BB118:BB314),"")))</f>
        <v>4</v>
      </c>
      <c r="BD118" s="13">
        <f>IF('Données projet'!$A$88&gt;35,BD117+BC118-BL117,IF(A118&lt;'Données projet'!$A$88,$BA$205^A118,IF(A118='Données projet'!$A$88,'Données projet'!$B$88,BD117+BC118-BL117)))</f>
        <v>303.99999999999955</v>
      </c>
      <c r="BE118" s="14">
        <f>BD118*VLOOKUP('Données projet'!$B$11,Paramètres!$A$1:$I$89,3,0)*VLOOKUP('Données projet'!$B$11,Paramètres!$A$1:$I$89,5,0)</f>
        <v>275.05919999999958</v>
      </c>
      <c r="BF118" s="14">
        <f t="shared" si="91"/>
        <v>65.921796397718268</v>
      </c>
      <c r="BG118" s="22">
        <f t="shared" si="61"/>
        <v>593.87523539269193</v>
      </c>
      <c r="BH118" s="62">
        <f t="shared" si="62"/>
        <v>887.20856872602531</v>
      </c>
      <c r="BI118" s="62">
        <f ca="1">AVERAGE(OFFSET($BH$3,0,0,'Données projet'!$E$11+1,1))-AVERAGE(OFFSET($H$3,0,0,'Données projet'!$E$11+1,1))</f>
        <v>430.40491895612814</v>
      </c>
      <c r="BJ118" s="62">
        <f t="shared" si="92"/>
        <v>231.36959598460686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37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2.8846153846153841</v>
      </c>
      <c r="BY118" s="13">
        <f>IF('Données projet'!$A$114&gt;35,BY117+BX118-CG117,IF(A118&lt;'Données projet'!$A$114,$BV$205^A118,IF(A118='Données projet'!$A$114,'Données projet'!$B$114,BY117+BX118-CG117)))</f>
        <v>267.62820512820514</v>
      </c>
      <c r="BZ118" s="14">
        <f>BY118*VLOOKUP('Données projet'!$B$12,Paramètres!$A$1:$I$89,3,0)*VLOOKUP('Données projet'!$B$12,Paramètres!$A$1:$I$89,5,0)</f>
        <v>254.67500000000001</v>
      </c>
      <c r="CA118" s="14">
        <f t="shared" si="93"/>
        <v>61.585939731850885</v>
      </c>
      <c r="CB118" s="22">
        <f t="shared" si="64"/>
        <v>550.82113669964031</v>
      </c>
      <c r="CC118" s="62">
        <f t="shared" si="65"/>
        <v>844.15447003297368</v>
      </c>
      <c r="CD118" s="62">
        <f ca="1">AVERAGE(OFFSET($CC$3,0,0,'Données projet'!$E$12+1,1))-AVERAGE(OFFSET($H$3,0,0,'Données projet'!$E$12+1,1))</f>
        <v>367.11183928586667</v>
      </c>
      <c r="CE118" s="62">
        <f t="shared" si="94"/>
        <v>281.52963027844595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-3.4106051316484809E-13</v>
      </c>
      <c r="CU118" s="18">
        <f>CT118*VLOOKUP('Données projet'!$B$13,Paramètres!$A$1:$I$89,3,0)*VLOOKUP('Données projet'!$B$13,Paramètres!$A$1:$I$89,5,0)</f>
        <v>-2.0395418687257919E-13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308.47522272937135</v>
      </c>
      <c r="CZ118" s="62">
        <f t="shared" si="96"/>
        <v>302.54354650449721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0.36378975661852386</v>
      </c>
      <c r="DH118" s="23">
        <f>EXP(-LN(2)/2)*DH117+(1-EXP(-LN(2)/2))/(LN(2)/2)*DB118*DE118*VLOOKUP('Données projet'!$B$13,Paramètres!$A$1:$I$89,3,0)*0.475*44/12</f>
        <v>2.7772090329892208E-12</v>
      </c>
      <c r="DI118" s="24">
        <f t="shared" si="69"/>
        <v>0.36378975662130109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-5.6843418860808015E-14</v>
      </c>
      <c r="DP118" s="18">
        <f>DO118*VLOOKUP('Données projet'!$B$14,Paramètres!$A$1:$I$89,3,0)*VLOOKUP('Données projet'!$B$14,Paramètres!$A$1:$I$89,5,0)</f>
        <v>-4.5224624045658861E-14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370.58277541710277</v>
      </c>
      <c r="DU118" s="62">
        <f t="shared" si="98"/>
        <v>404.61777090709171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>
        <f>EJ118*VLOOKUP('Données projet'!$B$15,Paramètres!$A$1:$I$89,3,0)*VLOOKUP('Données projet'!$B$15,Paramètres!$A$1:$I$89,5,0)</f>
        <v>0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240.22884864766218</v>
      </c>
      <c r="EP118" s="62">
        <f t="shared" si="100"/>
        <v>343.23776884143166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0.9753137909987124</v>
      </c>
      <c r="EX118" s="23">
        <f>EXP(-LN(2)/2)*EX117+(1-EXP(-LN(2)/2))/(LN(2)/2)*ER118*EU118*VLOOKUP('Données projet'!$B$15,Paramètres!$A$1:$I$89,3,0)*0.475*44/12</f>
        <v>2.6558540310040975E-12</v>
      </c>
      <c r="EY118" s="24">
        <f t="shared" si="75"/>
        <v>0.97531379100136828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-1.1368683772161603E-13</v>
      </c>
      <c r="FF118" s="18">
        <f>FE118*VLOOKUP('Données projet'!$B$16,Paramètres!$A$1:$I$89,3,0)*VLOOKUP('Données projet'!$B$16,Paramètres!$A$1:$I$89,5,0)</f>
        <v>-5.3205440053716299E-14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399.92909819003523</v>
      </c>
      <c r="FK118" s="62">
        <f t="shared" si="102"/>
        <v>163.7053537268381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-5.6843418860808015E-14</v>
      </c>
      <c r="GA118" s="18">
        <f>FZ118*VLOOKUP('Données projet'!$B$17,Paramètres!$A$1:$I$89,3,0)*VLOOKUP('Données projet'!$B$17,Paramètres!$A$1:$I$89,5,0)</f>
        <v>-4.1677594708744434E-14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344.4426665022238</v>
      </c>
      <c r="GF118" s="62">
        <f t="shared" si="104"/>
        <v>376.41441893222185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6.8212102632969618E-13</v>
      </c>
      <c r="GV118" s="18">
        <f>GU118*VLOOKUP('Données projet'!$B$18,Paramètres!$A$1:$I$89,3,0)*VLOOKUP('Données projet'!$B$18,Paramètres!$A$1:$I$89,5,0)</f>
        <v>3.2810021366458383E-13</v>
      </c>
      <c r="GW118" s="14">
        <f t="shared" si="105"/>
        <v>4.2923528923937213E-12</v>
      </c>
      <c r="GX118" s="22">
        <f t="shared" si="82"/>
        <v>8.0472891597182151E-12</v>
      </c>
      <c r="GY118" s="62">
        <f t="shared" si="83"/>
        <v>293.33333333334139</v>
      </c>
      <c r="GZ118" s="62">
        <f ca="1">AVERAGE(OFFSET($GY$3,0,0,'Données projet'!$E$18+1,1))-AVERAGE(OFFSET($H$3,0,0,'Données projet'!$E$18+1,1))</f>
        <v>441.17479680509746</v>
      </c>
      <c r="HA118" s="62">
        <f t="shared" si="106"/>
        <v>198.56576128410069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projet'!$B$9,Paramètres!$A$1:$I$89,3,0)*VLOOKUP('Données projet'!$B$9,Paramètres!$A$1:$I$89,5,0)</f>
        <v>-1.9065282685915009E-13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374.79806286316051</v>
      </c>
      <c r="T119" s="62">
        <f t="shared" si="88"/>
        <v>350.01856672839466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0.67993146543237271</v>
      </c>
      <c r="AB119" s="23">
        <f>EXP(-LN(2)/2)*AB118+(1-EXP(-LN(2)/2))/(LN(2)/2)*V119*Y119*VLOOKUP('Données projet'!$B$9,Paramètres!$A$1:$I$89,3,0)*0.475*44/12</f>
        <v>1.0211856428975251E-12</v>
      </c>
      <c r="AC119" s="24">
        <f t="shared" si="57"/>
        <v>0.67993146543339389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-2.8421709430404007E-13</v>
      </c>
      <c r="AJ119" s="14">
        <f>AI119*VLOOKUP('Données projet'!$B$10,Paramètres!$A$1:$I$89,3,0)*VLOOKUP('Données projet'!$B$10,Paramètres!$A$1:$I$89,5,0)</f>
        <v>-2.4829205358400943E-13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401.89597032936751</v>
      </c>
      <c r="AO119" s="62">
        <f t="shared" si="90"/>
        <v>417.85733543972361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3.4</v>
      </c>
      <c r="BD119" s="13">
        <f>IF('Données projet'!$A$88&gt;35,BD118+BC119-BL118,IF(A119&lt;'Données projet'!$A$88,$BA$205^A119,IF(A119='Données projet'!$A$88,'Données projet'!$B$88,BD118+BC119-BL118)))</f>
        <v>270.39999999999952</v>
      </c>
      <c r="BE119" s="14">
        <f>BD119*VLOOKUP('Données projet'!$B$11,Paramètres!$A$1:$I$89,3,0)*VLOOKUP('Données projet'!$B$11,Paramètres!$A$1:$I$89,5,0)</f>
        <v>244.65791999999956</v>
      </c>
      <c r="BF119" s="14">
        <f t="shared" si="91"/>
        <v>59.44058075210858</v>
      </c>
      <c r="BG119" s="22">
        <f t="shared" si="61"/>
        <v>529.63822214325501</v>
      </c>
      <c r="BH119" s="62">
        <f t="shared" si="62"/>
        <v>822.97155547658826</v>
      </c>
      <c r="BI119" s="62">
        <f ca="1">AVERAGE(OFFSET($BH$3,0,0,'Données projet'!$E$11+1,1))-AVERAGE(OFFSET($H$3,0,0,'Données projet'!$E$11+1,1))</f>
        <v>430.40491895612814</v>
      </c>
      <c r="BJ119" s="62">
        <f t="shared" si="92"/>
        <v>231.36959598460686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2.8846153846153841</v>
      </c>
      <c r="BY119" s="13">
        <f>IF('Données projet'!$A$114&gt;35,BY118+BX119-CG118,IF(A119&lt;'Données projet'!$A$114,$BV$205^A119,IF(A119='Données projet'!$A$114,'Données projet'!$B$114,BY118+BX119-CG118)))</f>
        <v>270.5128205128205</v>
      </c>
      <c r="BZ119" s="14">
        <f>BY119*VLOOKUP('Données projet'!$B$12,Paramètres!$A$1:$I$89,3,0)*VLOOKUP('Données projet'!$B$12,Paramètres!$A$1:$I$89,5,0)</f>
        <v>257.41999999999996</v>
      </c>
      <c r="CA119" s="14">
        <f t="shared" si="93"/>
        <v>62.172107427466436</v>
      </c>
      <c r="CB119" s="22">
        <f t="shared" si="64"/>
        <v>556.6229204361706</v>
      </c>
      <c r="CC119" s="62">
        <f t="shared" si="65"/>
        <v>849.95625376950397</v>
      </c>
      <c r="CD119" s="62">
        <f ca="1">AVERAGE(OFFSET($CC$3,0,0,'Données projet'!$E$12+1,1))-AVERAGE(OFFSET($H$3,0,0,'Données projet'!$E$12+1,1))</f>
        <v>367.11183928586667</v>
      </c>
      <c r="CE119" s="62">
        <f t="shared" si="94"/>
        <v>281.52963027844595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-3.4106051316484809E-13</v>
      </c>
      <c r="CU119" s="18">
        <f>CT119*VLOOKUP('Données projet'!$B$13,Paramètres!$A$1:$I$89,3,0)*VLOOKUP('Données projet'!$B$13,Paramètres!$A$1:$I$89,5,0)</f>
        <v>-2.0395418687257919E-13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308.47522272937135</v>
      </c>
      <c r="CZ119" s="62">
        <f t="shared" si="96"/>
        <v>302.54354650449721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0.35384190659291848</v>
      </c>
      <c r="DH119" s="23">
        <f>EXP(-LN(2)/2)*DH118+(1-EXP(-LN(2)/2))/(LN(2)/2)*DB119*DE119*VLOOKUP('Données projet'!$B$13,Paramètres!$A$1:$I$89,3,0)*0.475*44/12</f>
        <v>1.9637833399992122E-12</v>
      </c>
      <c r="DI119" s="24">
        <f t="shared" si="69"/>
        <v>0.35384190659488224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-5.6843418860808015E-14</v>
      </c>
      <c r="DP119" s="18">
        <f>DO119*VLOOKUP('Données projet'!$B$14,Paramètres!$A$1:$I$89,3,0)*VLOOKUP('Données projet'!$B$14,Paramètres!$A$1:$I$89,5,0)</f>
        <v>-4.5224624045658861E-14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370.58277541710277</v>
      </c>
      <c r="DU119" s="62">
        <f t="shared" si="98"/>
        <v>404.61777090709171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240.22884864766218</v>
      </c>
      <c r="EP119" s="62">
        <f t="shared" si="100"/>
        <v>343.23776884143166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0.94864378409432948</v>
      </c>
      <c r="EX119" s="23">
        <f>EXP(-LN(2)/2)*EX118+(1-EXP(-LN(2)/2))/(LN(2)/2)*ER119*EU119*VLOOKUP('Données projet'!$B$15,Paramètres!$A$1:$I$89,3,0)*0.475*44/12</f>
        <v>1.8779723951646245E-12</v>
      </c>
      <c r="EY119" s="24">
        <f t="shared" si="75"/>
        <v>0.94864378409620742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-1.1368683772161603E-13</v>
      </c>
      <c r="FF119" s="18">
        <f>FE119*VLOOKUP('Données projet'!$B$16,Paramètres!$A$1:$I$89,3,0)*VLOOKUP('Données projet'!$B$16,Paramètres!$A$1:$I$89,5,0)</f>
        <v>-5.3205440053716299E-14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399.92909819003523</v>
      </c>
      <c r="FK119" s="62">
        <f t="shared" si="102"/>
        <v>163.7053537268381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-5.6843418860808015E-14</v>
      </c>
      <c r="GA119" s="18">
        <f>FZ119*VLOOKUP('Données projet'!$B$17,Paramètres!$A$1:$I$89,3,0)*VLOOKUP('Données projet'!$B$17,Paramètres!$A$1:$I$89,5,0)</f>
        <v>-4.1677594708744434E-14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344.4426665022238</v>
      </c>
      <c r="GF119" s="62">
        <f t="shared" si="104"/>
        <v>376.41441893222185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6.8212102632969618E-13</v>
      </c>
      <c r="GV119" s="18">
        <f>GU119*VLOOKUP('Données projet'!$B$18,Paramètres!$A$1:$I$89,3,0)*VLOOKUP('Données projet'!$B$18,Paramètres!$A$1:$I$89,5,0)</f>
        <v>3.2810021366458383E-13</v>
      </c>
      <c r="GW119" s="14">
        <f t="shared" si="105"/>
        <v>4.2923528923937213E-12</v>
      </c>
      <c r="GX119" s="22">
        <f t="shared" si="82"/>
        <v>8.0472891597182151E-12</v>
      </c>
      <c r="GY119" s="62">
        <f t="shared" si="83"/>
        <v>293.33333333334139</v>
      </c>
      <c r="GZ119" s="62">
        <f ca="1">AVERAGE(OFFSET($GY$3,0,0,'Données projet'!$E$18+1,1))-AVERAGE(OFFSET($H$3,0,0,'Données projet'!$E$18+1,1))</f>
        <v>441.17479680509746</v>
      </c>
      <c r="HA119" s="62">
        <f t="shared" si="106"/>
        <v>198.56576128410069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projet'!$B$9,Paramètres!$A$1:$I$89,3,0)*VLOOKUP('Données projet'!$B$9,Paramètres!$A$1:$I$89,5,0)</f>
        <v>-1.9065282685915009E-13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374.79806286316051</v>
      </c>
      <c r="T120" s="62">
        <f t="shared" si="88"/>
        <v>350.01856672839466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0.66133870375408266</v>
      </c>
      <c r="AB120" s="23">
        <f>EXP(-LN(2)/2)*AB119+(1-EXP(-LN(2)/2))/(LN(2)/2)*V120*Y120*VLOOKUP('Données projet'!$B$9,Paramètres!$A$1:$I$89,3,0)*0.475*44/12</f>
        <v>7.2208729294318412E-13</v>
      </c>
      <c r="AC120" s="24">
        <f t="shared" si="57"/>
        <v>0.66133870375480475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-2.8421709430404007E-13</v>
      </c>
      <c r="AJ120" s="14">
        <f>AI120*VLOOKUP('Données projet'!$B$10,Paramètres!$A$1:$I$89,3,0)*VLOOKUP('Données projet'!$B$10,Paramètres!$A$1:$I$89,5,0)</f>
        <v>-2.4829205358400943E-13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401.89597032936751</v>
      </c>
      <c r="AO120" s="62">
        <f t="shared" si="90"/>
        <v>417.85733543972361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3.4</v>
      </c>
      <c r="BD120" s="13">
        <f>IF('Données projet'!$A$88&gt;35,BD119+BC120-BL119,IF(A120&lt;'Données projet'!$A$88,$BA$205^A120,IF(A120='Données projet'!$A$88,'Données projet'!$B$88,BD119+BC120-BL119)))</f>
        <v>273.7999999999995</v>
      </c>
      <c r="BE120" s="14">
        <f>BD120*VLOOKUP('Données projet'!$B$11,Paramètres!$A$1:$I$89,3,0)*VLOOKUP('Données projet'!$B$11,Paramètres!$A$1:$I$89,5,0)</f>
        <v>247.73423999999952</v>
      </c>
      <c r="BF120" s="14">
        <f t="shared" si="91"/>
        <v>60.100505665695003</v>
      </c>
      <c r="BG120" s="22">
        <f t="shared" si="61"/>
        <v>536.14551536775127</v>
      </c>
      <c r="BH120" s="62">
        <f t="shared" si="62"/>
        <v>829.47884870108464</v>
      </c>
      <c r="BI120" s="62">
        <f ca="1">AVERAGE(OFFSET($BH$3,0,0,'Données projet'!$E$11+1,1))-AVERAGE(OFFSET($H$3,0,0,'Données projet'!$E$11+1,1))</f>
        <v>430.40491895612814</v>
      </c>
      <c r="BJ120" s="62">
        <f t="shared" si="92"/>
        <v>231.36959598460686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2.8846153846153841</v>
      </c>
      <c r="BY120" s="13">
        <f>IF('Données projet'!$A$114&gt;35,BY119+BX120-CG119,IF(A120&lt;'Données projet'!$A$114,$BV$205^A120,IF(A120='Données projet'!$A$114,'Données projet'!$B$114,BY119+BX120-CG119)))</f>
        <v>273.39743589743586</v>
      </c>
      <c r="BZ120" s="14">
        <f>BY120*VLOOKUP('Données projet'!$B$12,Paramètres!$A$1:$I$89,3,0)*VLOOKUP('Données projet'!$B$12,Paramètres!$A$1:$I$89,5,0)</f>
        <v>260.16499999999996</v>
      </c>
      <c r="CA120" s="14">
        <f t="shared" si="93"/>
        <v>62.757547989628748</v>
      </c>
      <c r="CB120" s="22">
        <f t="shared" si="64"/>
        <v>562.42343774860331</v>
      </c>
      <c r="CC120" s="62">
        <f t="shared" si="65"/>
        <v>855.75677108193668</v>
      </c>
      <c r="CD120" s="62">
        <f ca="1">AVERAGE(OFFSET($CC$3,0,0,'Données projet'!$E$12+1,1))-AVERAGE(OFFSET($H$3,0,0,'Données projet'!$E$12+1,1))</f>
        <v>367.11183928586667</v>
      </c>
      <c r="CE120" s="62">
        <f t="shared" si="94"/>
        <v>281.52963027844595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-3.4106051316484809E-13</v>
      </c>
      <c r="CU120" s="18">
        <f>CT120*VLOOKUP('Données projet'!$B$13,Paramètres!$A$1:$I$89,3,0)*VLOOKUP('Données projet'!$B$13,Paramètres!$A$1:$I$89,5,0)</f>
        <v>-2.0395418687257919E-13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308.47522272937135</v>
      </c>
      <c r="CZ120" s="62">
        <f t="shared" si="96"/>
        <v>302.54354650449721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0.34416608104939794</v>
      </c>
      <c r="DH120" s="23">
        <f>EXP(-LN(2)/2)*DH119+(1-EXP(-LN(2)/2))/(LN(2)/2)*DB120*DE120*VLOOKUP('Données projet'!$B$13,Paramètres!$A$1:$I$89,3,0)*0.475*44/12</f>
        <v>1.3886045164946104E-12</v>
      </c>
      <c r="DI120" s="24">
        <f t="shared" si="69"/>
        <v>0.34416608105078655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-5.6843418860808015E-14</v>
      </c>
      <c r="DP120" s="18">
        <f>DO120*VLOOKUP('Données projet'!$B$14,Paramètres!$A$1:$I$89,3,0)*VLOOKUP('Données projet'!$B$14,Paramètres!$A$1:$I$89,5,0)</f>
        <v>-4.5224624045658861E-14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370.58277541710277</v>
      </c>
      <c r="DU120" s="62">
        <f t="shared" si="98"/>
        <v>404.61777090709171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240.22884864766218</v>
      </c>
      <c r="EP120" s="62">
        <f t="shared" si="100"/>
        <v>343.23776884143166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0.92270306993126161</v>
      </c>
      <c r="EX120" s="23">
        <f>EXP(-LN(2)/2)*EX119+(1-EXP(-LN(2)/2))/(LN(2)/2)*ER120*EU120*VLOOKUP('Données projet'!$B$15,Paramètres!$A$1:$I$89,3,0)*0.475*44/12</f>
        <v>1.3279270155020487E-12</v>
      </c>
      <c r="EY120" s="24">
        <f t="shared" si="75"/>
        <v>0.92270306993258955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-1.1368683772161603E-13</v>
      </c>
      <c r="FF120" s="18">
        <f>FE120*VLOOKUP('Données projet'!$B$16,Paramètres!$A$1:$I$89,3,0)*VLOOKUP('Données projet'!$B$16,Paramètres!$A$1:$I$89,5,0)</f>
        <v>-5.3205440053716299E-14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399.92909819003523</v>
      </c>
      <c r="FK120" s="62">
        <f t="shared" si="102"/>
        <v>163.7053537268381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-5.6843418860808015E-14</v>
      </c>
      <c r="GA120" s="18">
        <f>FZ120*VLOOKUP('Données projet'!$B$17,Paramètres!$A$1:$I$89,3,0)*VLOOKUP('Données projet'!$B$17,Paramètres!$A$1:$I$89,5,0)</f>
        <v>-4.1677594708744434E-14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344.4426665022238</v>
      </c>
      <c r="GF120" s="62">
        <f t="shared" si="104"/>
        <v>376.41441893222185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6.8212102632969618E-13</v>
      </c>
      <c r="GV120" s="18">
        <f>GU120*VLOOKUP('Données projet'!$B$18,Paramètres!$A$1:$I$89,3,0)*VLOOKUP('Données projet'!$B$18,Paramètres!$A$1:$I$89,5,0)</f>
        <v>3.2810021366458383E-13</v>
      </c>
      <c r="GW120" s="14">
        <f t="shared" si="105"/>
        <v>4.2923528923937213E-12</v>
      </c>
      <c r="GX120" s="22">
        <f t="shared" si="82"/>
        <v>8.0472891597182151E-12</v>
      </c>
      <c r="GY120" s="62">
        <f t="shared" si="83"/>
        <v>293.33333333334139</v>
      </c>
      <c r="GZ120" s="62">
        <f ca="1">AVERAGE(OFFSET($GY$3,0,0,'Données projet'!$E$18+1,1))-AVERAGE(OFFSET($H$3,0,0,'Données projet'!$E$18+1,1))</f>
        <v>441.17479680509746</v>
      </c>
      <c r="HA120" s="62">
        <f t="shared" si="106"/>
        <v>198.56576128410069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projet'!$B$9,Paramètres!$A$1:$I$89,3,0)*VLOOKUP('Données projet'!$B$9,Paramètres!$A$1:$I$89,5,0)</f>
        <v>-1.9065282685915009E-13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374.79806286316051</v>
      </c>
      <c r="T121" s="62">
        <f t="shared" si="88"/>
        <v>350.01856672839466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0.64325436212163634</v>
      </c>
      <c r="AB121" s="23">
        <f>EXP(-LN(2)/2)*AB120+(1-EXP(-LN(2)/2))/(LN(2)/2)*V121*Y121*VLOOKUP('Données projet'!$B$9,Paramètres!$A$1:$I$89,3,0)*0.475*44/12</f>
        <v>5.1059282144876254E-13</v>
      </c>
      <c r="AC121" s="24">
        <f t="shared" si="57"/>
        <v>0.64325436212214693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-2.8421709430404007E-13</v>
      </c>
      <c r="AJ121" s="14">
        <f>AI121*VLOOKUP('Données projet'!$B$10,Paramètres!$A$1:$I$89,3,0)*VLOOKUP('Données projet'!$B$10,Paramètres!$A$1:$I$89,5,0)</f>
        <v>-2.4829205358400943E-13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401.89597032936751</v>
      </c>
      <c r="AO121" s="62">
        <f t="shared" si="90"/>
        <v>417.85733543972361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3.4</v>
      </c>
      <c r="BD121" s="13">
        <f>IF('Données projet'!$A$88&gt;35,BD120+BC121-BL120,IF(A121&lt;'Données projet'!$A$88,$BA$205^A121,IF(A121='Données projet'!$A$88,'Données projet'!$B$88,BD120+BC121-BL120)))</f>
        <v>277.19999999999948</v>
      </c>
      <c r="BE121" s="14">
        <f>BD121*VLOOKUP('Données projet'!$B$11,Paramètres!$A$1:$I$89,3,0)*VLOOKUP('Données projet'!$B$11,Paramètres!$A$1:$I$89,5,0)</f>
        <v>250.81055999999953</v>
      </c>
      <c r="BF121" s="14">
        <f t="shared" si="91"/>
        <v>60.759477364108577</v>
      </c>
      <c r="BG121" s="22">
        <f t="shared" si="61"/>
        <v>542.65114840915487</v>
      </c>
      <c r="BH121" s="62">
        <f t="shared" si="62"/>
        <v>835.98448174248824</v>
      </c>
      <c r="BI121" s="62">
        <f ca="1">AVERAGE(OFFSET($BH$3,0,0,'Données projet'!$E$11+1,1))-AVERAGE(OFFSET($H$3,0,0,'Données projet'!$E$11+1,1))</f>
        <v>430.40491895612814</v>
      </c>
      <c r="BJ121" s="62">
        <f t="shared" si="92"/>
        <v>231.36959598460686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2.8846153846153841</v>
      </c>
      <c r="BY121" s="13">
        <f>IF('Données projet'!$A$114&gt;35,BY120+BX121-CG120,IF(A121&lt;'Données projet'!$A$114,$BV$205^A121,IF(A121='Données projet'!$A$114,'Données projet'!$B$114,BY120+BX121-CG120)))</f>
        <v>276.28205128205121</v>
      </c>
      <c r="BZ121" s="14">
        <f>BY121*VLOOKUP('Données projet'!$B$12,Paramètres!$A$1:$I$89,3,0)*VLOOKUP('Données projet'!$B$12,Paramètres!$A$1:$I$89,5,0)</f>
        <v>262.90999999999997</v>
      </c>
      <c r="CA121" s="14">
        <f t="shared" si="93"/>
        <v>63.342269978400836</v>
      </c>
      <c r="CB121" s="22">
        <f t="shared" si="64"/>
        <v>568.22270354571481</v>
      </c>
      <c r="CC121" s="62">
        <f t="shared" si="65"/>
        <v>861.55603687904818</v>
      </c>
      <c r="CD121" s="62">
        <f ca="1">AVERAGE(OFFSET($CC$3,0,0,'Données projet'!$E$12+1,1))-AVERAGE(OFFSET($H$3,0,0,'Données projet'!$E$12+1,1))</f>
        <v>367.11183928586667</v>
      </c>
      <c r="CE121" s="62">
        <f t="shared" si="94"/>
        <v>281.52963027844595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-3.4106051316484809E-13</v>
      </c>
      <c r="CU121" s="18">
        <f>CT121*VLOOKUP('Données projet'!$B$13,Paramètres!$A$1:$I$89,3,0)*VLOOKUP('Données projet'!$B$13,Paramètres!$A$1:$I$89,5,0)</f>
        <v>-2.0395418687257919E-13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308.47522272937135</v>
      </c>
      <c r="CZ121" s="62">
        <f t="shared" si="96"/>
        <v>302.54354650449721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0.33475484146419454</v>
      </c>
      <c r="DH121" s="23">
        <f>EXP(-LN(2)/2)*DH120+(1-EXP(-LN(2)/2))/(LN(2)/2)*DB121*DE121*VLOOKUP('Données projet'!$B$13,Paramètres!$A$1:$I$89,3,0)*0.475*44/12</f>
        <v>9.8189166999960608E-13</v>
      </c>
      <c r="DI121" s="24">
        <f t="shared" si="69"/>
        <v>0.33475484146517642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-5.6843418860808015E-14</v>
      </c>
      <c r="DP121" s="18">
        <f>DO121*VLOOKUP('Données projet'!$B$14,Paramètres!$A$1:$I$89,3,0)*VLOOKUP('Données projet'!$B$14,Paramètres!$A$1:$I$89,5,0)</f>
        <v>-4.5224624045658861E-14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370.58277541710277</v>
      </c>
      <c r="DU121" s="62">
        <f t="shared" si="98"/>
        <v>404.61777090709171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240.22884864766218</v>
      </c>
      <c r="EP121" s="62">
        <f t="shared" si="100"/>
        <v>343.23776884143166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0.89747170596114567</v>
      </c>
      <c r="EX121" s="23">
        <f>EXP(-LN(2)/2)*EX120+(1-EXP(-LN(2)/2))/(LN(2)/2)*ER121*EU121*VLOOKUP('Données projet'!$B$15,Paramètres!$A$1:$I$89,3,0)*0.475*44/12</f>
        <v>9.3898619758231227E-13</v>
      </c>
      <c r="EY121" s="24">
        <f t="shared" si="75"/>
        <v>0.8974717059620847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-1.1368683772161603E-13</v>
      </c>
      <c r="FF121" s="18">
        <f>FE121*VLOOKUP('Données projet'!$B$16,Paramètres!$A$1:$I$89,3,0)*VLOOKUP('Données projet'!$B$16,Paramètres!$A$1:$I$89,5,0)</f>
        <v>-5.3205440053716299E-14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399.92909819003523</v>
      </c>
      <c r="FK121" s="62">
        <f t="shared" si="102"/>
        <v>163.7053537268381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-5.6843418860808015E-14</v>
      </c>
      <c r="GA121" s="18">
        <f>FZ121*VLOOKUP('Données projet'!$B$17,Paramètres!$A$1:$I$89,3,0)*VLOOKUP('Données projet'!$B$17,Paramètres!$A$1:$I$89,5,0)</f>
        <v>-4.1677594708744434E-14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344.4426665022238</v>
      </c>
      <c r="GF121" s="62">
        <f t="shared" si="104"/>
        <v>376.41441893222185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6.8212102632969618E-13</v>
      </c>
      <c r="GV121" s="18">
        <f>GU121*VLOOKUP('Données projet'!$B$18,Paramètres!$A$1:$I$89,3,0)*VLOOKUP('Données projet'!$B$18,Paramètres!$A$1:$I$89,5,0)</f>
        <v>3.2810021366458383E-13</v>
      </c>
      <c r="GW121" s="14">
        <f t="shared" si="105"/>
        <v>4.2923528923937213E-12</v>
      </c>
      <c r="GX121" s="22">
        <f t="shared" si="82"/>
        <v>8.0472891597182151E-12</v>
      </c>
      <c r="GY121" s="62">
        <f t="shared" si="83"/>
        <v>293.33333333334139</v>
      </c>
      <c r="GZ121" s="62">
        <f ca="1">AVERAGE(OFFSET($GY$3,0,0,'Données projet'!$E$18+1,1))-AVERAGE(OFFSET($H$3,0,0,'Données projet'!$E$18+1,1))</f>
        <v>441.17479680509746</v>
      </c>
      <c r="HA121" s="62">
        <f t="shared" si="106"/>
        <v>198.56576128410069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projet'!$B$9,Paramètres!$A$1:$I$89,3,0)*VLOOKUP('Données projet'!$B$9,Paramètres!$A$1:$I$89,5,0)</f>
        <v>-1.9065282685915009E-13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374.79806286316051</v>
      </c>
      <c r="T122" s="62">
        <f t="shared" si="88"/>
        <v>350.01856672839466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0.62566453776214348</v>
      </c>
      <c r="AB122" s="23">
        <f>EXP(-LN(2)/2)*AB121+(1-EXP(-LN(2)/2))/(LN(2)/2)*V122*Y122*VLOOKUP('Données projet'!$B$9,Paramètres!$A$1:$I$89,3,0)*0.475*44/12</f>
        <v>3.6104364647159206E-13</v>
      </c>
      <c r="AC122" s="24">
        <f t="shared" si="57"/>
        <v>0.62566453776250452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-2.8421709430404007E-13</v>
      </c>
      <c r="AJ122" s="14">
        <f>AI122*VLOOKUP('Données projet'!$B$10,Paramètres!$A$1:$I$89,3,0)*VLOOKUP('Données projet'!$B$10,Paramètres!$A$1:$I$89,5,0)</f>
        <v>-2.4829205358400943E-13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401.89597032936751</v>
      </c>
      <c r="AO122" s="62">
        <f t="shared" si="90"/>
        <v>417.85733543972361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3.4</v>
      </c>
      <c r="BD122" s="13">
        <f>IF('Données projet'!$A$88&gt;35,BD121+BC122-BL121,IF(A122&lt;'Données projet'!$A$88,$BA$205^A122,IF(A122='Données projet'!$A$88,'Données projet'!$B$88,BD121+BC122-BL121)))</f>
        <v>280.59999999999945</v>
      </c>
      <c r="BE122" s="14">
        <f>BD122*VLOOKUP('Données projet'!$B$11,Paramètres!$A$1:$I$89,3,0)*VLOOKUP('Données projet'!$B$11,Paramètres!$A$1:$I$89,5,0)</f>
        <v>253.88687999999951</v>
      </c>
      <c r="BF122" s="14">
        <f t="shared" si="91"/>
        <v>61.41750889127686</v>
      </c>
      <c r="BG122" s="22">
        <f t="shared" si="61"/>
        <v>549.1551439856396</v>
      </c>
      <c r="BH122" s="62">
        <f t="shared" si="62"/>
        <v>842.48847731897285</v>
      </c>
      <c r="BI122" s="62">
        <f ca="1">AVERAGE(OFFSET($BH$3,0,0,'Données projet'!$E$11+1,1))-AVERAGE(OFFSET($H$3,0,0,'Données projet'!$E$11+1,1))</f>
        <v>430.40491895612814</v>
      </c>
      <c r="BJ122" s="62">
        <f t="shared" si="92"/>
        <v>231.36959598460686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2.8846153846153841</v>
      </c>
      <c r="BY122" s="13">
        <f>IF('Données projet'!$A$114&gt;35,BY121+BX122-CG121,IF(A122&lt;'Données projet'!$A$114,$BV$205^A122,IF(A122='Données projet'!$A$114,'Données projet'!$B$114,BY121+BX122-CG121)))</f>
        <v>279.16666666666657</v>
      </c>
      <c r="BZ122" s="14">
        <f>BY122*VLOOKUP('Données projet'!$B$12,Paramètres!$A$1:$I$89,3,0)*VLOOKUP('Données projet'!$B$12,Paramètres!$A$1:$I$89,5,0)</f>
        <v>265.65499999999992</v>
      </c>
      <c r="CA122" s="14">
        <f t="shared" si="93"/>
        <v>63.926281764798937</v>
      </c>
      <c r="CB122" s="22">
        <f t="shared" si="64"/>
        <v>574.02073240702464</v>
      </c>
      <c r="CC122" s="62">
        <f t="shared" si="65"/>
        <v>867.35406574035801</v>
      </c>
      <c r="CD122" s="62">
        <f ca="1">AVERAGE(OFFSET($CC$3,0,0,'Données projet'!$E$12+1,1))-AVERAGE(OFFSET($H$3,0,0,'Données projet'!$E$12+1,1))</f>
        <v>367.11183928586667</v>
      </c>
      <c r="CE122" s="62">
        <f t="shared" si="94"/>
        <v>281.52963027844595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-3.4106051316484809E-13</v>
      </c>
      <c r="CU122" s="18">
        <f>CT122*VLOOKUP('Données projet'!$B$13,Paramètres!$A$1:$I$89,3,0)*VLOOKUP('Données projet'!$B$13,Paramètres!$A$1:$I$89,5,0)</f>
        <v>-2.0395418687257919E-13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308.47522272937135</v>
      </c>
      <c r="CZ122" s="62">
        <f t="shared" si="96"/>
        <v>302.54354650449721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0.3256009527203641</v>
      </c>
      <c r="DH122" s="23">
        <f>EXP(-LN(2)/2)*DH121+(1-EXP(-LN(2)/2))/(LN(2)/2)*DB122*DE122*VLOOKUP('Données projet'!$B$13,Paramètres!$A$1:$I$89,3,0)*0.475*44/12</f>
        <v>6.9430225824730521E-13</v>
      </c>
      <c r="DI122" s="24">
        <f t="shared" si="69"/>
        <v>0.32560095272105838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-5.6843418860808015E-14</v>
      </c>
      <c r="DP122" s="18">
        <f>DO122*VLOOKUP('Données projet'!$B$14,Paramètres!$A$1:$I$89,3,0)*VLOOKUP('Données projet'!$B$14,Paramètres!$A$1:$I$89,5,0)</f>
        <v>-4.5224624045658861E-14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370.58277541710277</v>
      </c>
      <c r="DU122" s="62">
        <f t="shared" si="98"/>
        <v>404.61777090709171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240.22884864766218</v>
      </c>
      <c r="EP122" s="62">
        <f t="shared" si="100"/>
        <v>343.23776884143166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0.87293029496565233</v>
      </c>
      <c r="EX122" s="23">
        <f>EXP(-LN(2)/2)*EX121+(1-EXP(-LN(2)/2))/(LN(2)/2)*ER122*EU122*VLOOKUP('Données projet'!$B$15,Paramètres!$A$1:$I$89,3,0)*0.475*44/12</f>
        <v>6.6396350775102437E-13</v>
      </c>
      <c r="EY122" s="24">
        <f t="shared" si="75"/>
        <v>0.87293029496631624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-1.1368683772161603E-13</v>
      </c>
      <c r="FF122" s="18">
        <f>FE122*VLOOKUP('Données projet'!$B$16,Paramètres!$A$1:$I$89,3,0)*VLOOKUP('Données projet'!$B$16,Paramètres!$A$1:$I$89,5,0)</f>
        <v>-5.3205440053716299E-14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399.92909819003523</v>
      </c>
      <c r="FK122" s="62">
        <f t="shared" si="102"/>
        <v>163.7053537268381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-5.6843418860808015E-14</v>
      </c>
      <c r="GA122" s="18">
        <f>FZ122*VLOOKUP('Données projet'!$B$17,Paramètres!$A$1:$I$89,3,0)*VLOOKUP('Données projet'!$B$17,Paramètres!$A$1:$I$89,5,0)</f>
        <v>-4.1677594708744434E-14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344.4426665022238</v>
      </c>
      <c r="GF122" s="62">
        <f t="shared" si="104"/>
        <v>376.41441893222185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6.8212102632969618E-13</v>
      </c>
      <c r="GV122" s="18">
        <f>GU122*VLOOKUP('Données projet'!$B$18,Paramètres!$A$1:$I$89,3,0)*VLOOKUP('Données projet'!$B$18,Paramètres!$A$1:$I$89,5,0)</f>
        <v>3.2810021366458383E-13</v>
      </c>
      <c r="GW122" s="14">
        <f t="shared" si="105"/>
        <v>4.2923528923937213E-12</v>
      </c>
      <c r="GX122" s="22">
        <f t="shared" si="82"/>
        <v>8.0472891597182151E-12</v>
      </c>
      <c r="GY122" s="62">
        <f t="shared" si="83"/>
        <v>293.33333333334139</v>
      </c>
      <c r="GZ122" s="62">
        <f ca="1">AVERAGE(OFFSET($GY$3,0,0,'Données projet'!$E$18+1,1))-AVERAGE(OFFSET($H$3,0,0,'Données projet'!$E$18+1,1))</f>
        <v>441.17479680509746</v>
      </c>
      <c r="HA122" s="62">
        <f t="shared" si="106"/>
        <v>198.56576128410069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projet'!$B$9,Paramètres!$A$1:$I$89,3,0)*VLOOKUP('Données projet'!$B$9,Paramètres!$A$1:$I$89,5,0)</f>
        <v>-1.9065282685915009E-13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374.79806286316051</v>
      </c>
      <c r="T123" s="62">
        <f t="shared" si="88"/>
        <v>350.01856672839466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0.60855570807476955</v>
      </c>
      <c r="AB123" s="23">
        <f>EXP(-LN(2)/2)*AB122+(1-EXP(-LN(2)/2))/(LN(2)/2)*V123*Y123*VLOOKUP('Données projet'!$B$9,Paramètres!$A$1:$I$89,3,0)*0.475*44/12</f>
        <v>2.5529641072438127E-13</v>
      </c>
      <c r="AC123" s="24">
        <f t="shared" si="57"/>
        <v>0.6085557080750249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-2.8421709430404007E-13</v>
      </c>
      <c r="AJ123" s="14">
        <f>AI123*VLOOKUP('Données projet'!$B$10,Paramètres!$A$1:$I$89,3,0)*VLOOKUP('Données projet'!$B$10,Paramètres!$A$1:$I$89,5,0)</f>
        <v>-2.4829205358400943E-13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401.89597032936751</v>
      </c>
      <c r="AO123" s="62">
        <f t="shared" si="90"/>
        <v>417.85733543972361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3.4</v>
      </c>
      <c r="BD123" s="13">
        <f>IF('Données projet'!$A$88&gt;35,BD122+BC123-BL122,IF(A123&lt;'Données projet'!$A$88,$BA$205^A123,IF(A123='Données projet'!$A$88,'Données projet'!$B$88,BD122+BC123-BL122)))</f>
        <v>283.99999999999943</v>
      </c>
      <c r="BE123" s="14">
        <f>BD123*VLOOKUP('Données projet'!$B$11,Paramètres!$A$1:$I$89,3,0)*VLOOKUP('Données projet'!$B$11,Paramètres!$A$1:$I$89,5,0)</f>
        <v>256.96319999999946</v>
      </c>
      <c r="BF123" s="14">
        <f t="shared" si="91"/>
        <v>62.07461295683791</v>
      </c>
      <c r="BG123" s="22">
        <f t="shared" si="61"/>
        <v>555.65752423315837</v>
      </c>
      <c r="BH123" s="62">
        <f t="shared" si="62"/>
        <v>848.99085756649174</v>
      </c>
      <c r="BI123" s="62">
        <f ca="1">AVERAGE(OFFSET($BH$3,0,0,'Données projet'!$E$11+1,1))-AVERAGE(OFFSET($H$3,0,0,'Données projet'!$E$11+1,1))</f>
        <v>430.40491895612814</v>
      </c>
      <c r="BJ123" s="62">
        <f t="shared" si="92"/>
        <v>231.36959598460686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282.05128205128204</v>
      </c>
      <c r="BW123" s="13">
        <f>VLOOKUP(A123,'Données projet'!$A$113:$I$133,9,0)</f>
        <v>2.8846153846153841</v>
      </c>
      <c r="BX123" s="13">
        <f t="array" ref="BX123">INDEX(BW:BW,MIN(IF(ISNUMBER(BW123:BW319),ROW(BW123:BW319),"")))</f>
        <v>2.8846153846153841</v>
      </c>
      <c r="BY123" s="13">
        <f>IF('Données projet'!$A$114&gt;35,BY122+BX123-CG122,IF(A123&lt;'Données projet'!$A$114,$BV$205^A123,IF(A123='Données projet'!$A$114,'Données projet'!$B$114,BY122+BX123-CG122)))</f>
        <v>282.05128205128193</v>
      </c>
      <c r="BZ123" s="14">
        <f>BY123*VLOOKUP('Données projet'!$B$12,Paramètres!$A$1:$I$89,3,0)*VLOOKUP('Données projet'!$B$12,Paramètres!$A$1:$I$89,5,0)</f>
        <v>268.39999999999992</v>
      </c>
      <c r="CA123" s="14">
        <f t="shared" si="93"/>
        <v>64.509591536876712</v>
      </c>
      <c r="CB123" s="22">
        <f t="shared" si="64"/>
        <v>579.81753859339335</v>
      </c>
      <c r="CC123" s="62">
        <f t="shared" si="65"/>
        <v>873.15087192672672</v>
      </c>
      <c r="CD123" s="62">
        <f ca="1">AVERAGE(OFFSET($CC$3,0,0,'Données projet'!$E$12+1,1))-AVERAGE(OFFSET($H$3,0,0,'Données projet'!$E$12+1,1))</f>
        <v>367.11183928586667</v>
      </c>
      <c r="CE123" s="62">
        <f t="shared" si="94"/>
        <v>281.52963027844595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282.05128205128204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-3.4106051316484809E-13</v>
      </c>
      <c r="CU123" s="18">
        <f>CT123*VLOOKUP('Données projet'!$B$13,Paramètres!$A$1:$I$89,3,0)*VLOOKUP('Données projet'!$B$13,Paramètres!$A$1:$I$89,5,0)</f>
        <v>-2.0395418687257919E-13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308.47522272937135</v>
      </c>
      <c r="CZ123" s="62">
        <f t="shared" si="96"/>
        <v>302.54354650449721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0.31669737754561583</v>
      </c>
      <c r="DH123" s="23">
        <f>EXP(-LN(2)/2)*DH122+(1-EXP(-LN(2)/2))/(LN(2)/2)*DB123*DE123*VLOOKUP('Données projet'!$B$13,Paramètres!$A$1:$I$89,3,0)*0.475*44/12</f>
        <v>4.9094583499980304E-13</v>
      </c>
      <c r="DI123" s="24">
        <f t="shared" si="69"/>
        <v>0.31669737754610677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-5.6843418860808015E-14</v>
      </c>
      <c r="DP123" s="18">
        <f>DO123*VLOOKUP('Données projet'!$B$14,Paramètres!$A$1:$I$89,3,0)*VLOOKUP('Données projet'!$B$14,Paramètres!$A$1:$I$89,5,0)</f>
        <v>-4.5224624045658861E-14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370.58277541710277</v>
      </c>
      <c r="DU123" s="62">
        <f t="shared" si="98"/>
        <v>404.61777090709171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240.22884864766218</v>
      </c>
      <c r="EP123" s="62">
        <f t="shared" si="100"/>
        <v>343.23776884143166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0.84905997014440748</v>
      </c>
      <c r="EX123" s="23">
        <f>EXP(-LN(2)/2)*EX122+(1-EXP(-LN(2)/2))/(LN(2)/2)*ER123*EU123*VLOOKUP('Données projet'!$B$15,Paramètres!$A$1:$I$89,3,0)*0.475*44/12</f>
        <v>4.6949309879115614E-13</v>
      </c>
      <c r="EY123" s="24">
        <f t="shared" si="75"/>
        <v>0.849059970144877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-1.1368683772161603E-13</v>
      </c>
      <c r="FF123" s="18">
        <f>FE123*VLOOKUP('Données projet'!$B$16,Paramètres!$A$1:$I$89,3,0)*VLOOKUP('Données projet'!$B$16,Paramètres!$A$1:$I$89,5,0)</f>
        <v>-5.3205440053716299E-14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399.92909819003523</v>
      </c>
      <c r="FK123" s="62">
        <f t="shared" si="102"/>
        <v>163.7053537268381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-5.6843418860808015E-14</v>
      </c>
      <c r="GA123" s="18">
        <f>FZ123*VLOOKUP('Données projet'!$B$17,Paramètres!$A$1:$I$89,3,0)*VLOOKUP('Données projet'!$B$17,Paramètres!$A$1:$I$89,5,0)</f>
        <v>-4.1677594708744434E-14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344.4426665022238</v>
      </c>
      <c r="GF123" s="62">
        <f t="shared" si="104"/>
        <v>376.41441893222185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6.8212102632969618E-13</v>
      </c>
      <c r="GV123" s="18">
        <f>GU123*VLOOKUP('Données projet'!$B$18,Paramètres!$A$1:$I$89,3,0)*VLOOKUP('Données projet'!$B$18,Paramètres!$A$1:$I$89,5,0)</f>
        <v>3.2810021366458383E-13</v>
      </c>
      <c r="GW123" s="14">
        <f t="shared" si="105"/>
        <v>4.2923528923937213E-12</v>
      </c>
      <c r="GX123" s="22">
        <f t="shared" si="82"/>
        <v>8.0472891597182151E-12</v>
      </c>
      <c r="GY123" s="62">
        <f t="shared" si="83"/>
        <v>293.33333333334139</v>
      </c>
      <c r="GZ123" s="62">
        <f ca="1">AVERAGE(OFFSET($GY$3,0,0,'Données projet'!$E$18+1,1))-AVERAGE(OFFSET($H$3,0,0,'Données projet'!$E$18+1,1))</f>
        <v>441.17479680509746</v>
      </c>
      <c r="HA123" s="62">
        <f t="shared" si="106"/>
        <v>198.56576128410069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projet'!$B$9,Paramètres!$A$1:$I$89,3,0)*VLOOKUP('Données projet'!$B$9,Paramètres!$A$1:$I$89,5,0)</f>
        <v>-1.9065282685915009E-13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374.79806286316051</v>
      </c>
      <c r="T124" s="62">
        <f t="shared" si="88"/>
        <v>350.01856672839466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0.59191472023491121</v>
      </c>
      <c r="AB124" s="23">
        <f>EXP(-LN(2)/2)*AB123+(1-EXP(-LN(2)/2))/(LN(2)/2)*V124*Y124*VLOOKUP('Données projet'!$B$9,Paramètres!$A$1:$I$89,3,0)*0.475*44/12</f>
        <v>1.8052182323579603E-13</v>
      </c>
      <c r="AC124" s="24">
        <f t="shared" si="57"/>
        <v>0.59191472023509173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-2.8421709430404007E-13</v>
      </c>
      <c r="AJ124" s="14">
        <f>AI124*VLOOKUP('Données projet'!$B$10,Paramètres!$A$1:$I$89,3,0)*VLOOKUP('Données projet'!$B$10,Paramètres!$A$1:$I$89,5,0)</f>
        <v>-2.4829205358400943E-13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401.89597032936751</v>
      </c>
      <c r="AO124" s="62">
        <f t="shared" si="90"/>
        <v>417.85733543972361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3.4</v>
      </c>
      <c r="BD124" s="13">
        <f>IF('Données projet'!$A$88&gt;35,BD123+BC124-BL123,IF(A124&lt;'Données projet'!$A$88,$BA$205^A124,IF(A124='Données projet'!$A$88,'Données projet'!$B$88,BD123+BC124-BL123)))</f>
        <v>287.39999999999941</v>
      </c>
      <c r="BE124" s="14">
        <f>BD124*VLOOKUP('Données projet'!$B$11,Paramètres!$A$1:$I$89,3,0)*VLOOKUP('Données projet'!$B$11,Paramètres!$A$1:$I$89,5,0)</f>
        <v>260.03951999999947</v>
      </c>
      <c r="BF124" s="14">
        <f t="shared" si="91"/>
        <v>62.730801948604764</v>
      </c>
      <c r="BG124" s="22">
        <f t="shared" si="61"/>
        <v>562.1583107271523</v>
      </c>
      <c r="BH124" s="62">
        <f t="shared" si="62"/>
        <v>855.49164406048567</v>
      </c>
      <c r="BI124" s="62">
        <f ca="1">AVERAGE(OFFSET($BH$3,0,0,'Données projet'!$E$11+1,1))-AVERAGE(OFFSET($H$3,0,0,'Données projet'!$E$11+1,1))</f>
        <v>430.40491895612814</v>
      </c>
      <c r="BJ124" s="62">
        <f t="shared" si="92"/>
        <v>231.36959598460686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-1.0818439477588981E-13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367.11183928586667</v>
      </c>
      <c r="CE124" s="62">
        <f t="shared" si="94"/>
        <v>281.52963027844595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-3.4106051316484809E-13</v>
      </c>
      <c r="CU124" s="18">
        <f>CT124*VLOOKUP('Données projet'!$B$13,Paramètres!$A$1:$I$89,3,0)*VLOOKUP('Données projet'!$B$13,Paramètres!$A$1:$I$89,5,0)</f>
        <v>-2.0395418687257919E-13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308.47522272937135</v>
      </c>
      <c r="CZ124" s="62">
        <f t="shared" si="96"/>
        <v>302.54354650449721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0.30803727110223972</v>
      </c>
      <c r="DH124" s="23">
        <f>EXP(-LN(2)/2)*DH123+(1-EXP(-LN(2)/2))/(LN(2)/2)*DB124*DE124*VLOOKUP('Données projet'!$B$13,Paramètres!$A$1:$I$89,3,0)*0.475*44/12</f>
        <v>3.471511291236526E-13</v>
      </c>
      <c r="DI124" s="24">
        <f t="shared" si="69"/>
        <v>0.30803727110258688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-5.6843418860808015E-14</v>
      </c>
      <c r="DP124" s="18">
        <f>DO124*VLOOKUP('Données projet'!$B$14,Paramètres!$A$1:$I$89,3,0)*VLOOKUP('Données projet'!$B$14,Paramètres!$A$1:$I$89,5,0)</f>
        <v>-4.5224624045658861E-14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370.58277541710277</v>
      </c>
      <c r="DU124" s="62">
        <f t="shared" si="98"/>
        <v>404.61777090709171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240.22884864766218</v>
      </c>
      <c r="EP124" s="62">
        <f t="shared" si="100"/>
        <v>343.23776884143166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0.82584238061068538</v>
      </c>
      <c r="EX124" s="23">
        <f>EXP(-LN(2)/2)*EX123+(1-EXP(-LN(2)/2))/(LN(2)/2)*ER124*EU124*VLOOKUP('Données projet'!$B$15,Paramètres!$A$1:$I$89,3,0)*0.475*44/12</f>
        <v>3.3198175387551219E-13</v>
      </c>
      <c r="EY124" s="24">
        <f t="shared" si="75"/>
        <v>0.82584238061101733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-1.1368683772161603E-13</v>
      </c>
      <c r="FF124" s="18">
        <f>FE124*VLOOKUP('Données projet'!$B$16,Paramètres!$A$1:$I$89,3,0)*VLOOKUP('Données projet'!$B$16,Paramètres!$A$1:$I$89,5,0)</f>
        <v>-5.3205440053716299E-14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399.92909819003523</v>
      </c>
      <c r="FK124" s="62">
        <f t="shared" si="102"/>
        <v>163.7053537268381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-5.6843418860808015E-14</v>
      </c>
      <c r="GA124" s="18">
        <f>FZ124*VLOOKUP('Données projet'!$B$17,Paramètres!$A$1:$I$89,3,0)*VLOOKUP('Données projet'!$B$17,Paramètres!$A$1:$I$89,5,0)</f>
        <v>-4.1677594708744434E-14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344.4426665022238</v>
      </c>
      <c r="GF124" s="62">
        <f t="shared" si="104"/>
        <v>376.41441893222185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6.8212102632969618E-13</v>
      </c>
      <c r="GV124" s="18">
        <f>GU124*VLOOKUP('Données projet'!$B$18,Paramètres!$A$1:$I$89,3,0)*VLOOKUP('Données projet'!$B$18,Paramètres!$A$1:$I$89,5,0)</f>
        <v>3.2810021366458383E-13</v>
      </c>
      <c r="GW124" s="14">
        <f t="shared" si="105"/>
        <v>4.2923528923937213E-12</v>
      </c>
      <c r="GX124" s="22">
        <f t="shared" si="82"/>
        <v>8.0472891597182151E-12</v>
      </c>
      <c r="GY124" s="62">
        <f t="shared" si="83"/>
        <v>293.33333333334139</v>
      </c>
      <c r="GZ124" s="62">
        <f ca="1">AVERAGE(OFFSET($GY$3,0,0,'Données projet'!$E$18+1,1))-AVERAGE(OFFSET($H$3,0,0,'Données projet'!$E$18+1,1))</f>
        <v>441.17479680509746</v>
      </c>
      <c r="HA124" s="62">
        <f t="shared" si="106"/>
        <v>198.56576128410069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projet'!$B$9,Paramètres!$A$1:$I$89,3,0)*VLOOKUP('Données projet'!$B$9,Paramètres!$A$1:$I$89,5,0)</f>
        <v>-1.9065282685915009E-13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374.79806286316051</v>
      </c>
      <c r="T125" s="62">
        <f t="shared" si="88"/>
        <v>350.01856672839466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0.57572878108264525</v>
      </c>
      <c r="AB125" s="23">
        <f>EXP(-LN(2)/2)*AB124+(1-EXP(-LN(2)/2))/(LN(2)/2)*V125*Y125*VLOOKUP('Données projet'!$B$9,Paramètres!$A$1:$I$89,3,0)*0.475*44/12</f>
        <v>1.2764820536219063E-13</v>
      </c>
      <c r="AC125" s="24">
        <f t="shared" si="57"/>
        <v>0.57572878108277292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-2.8421709430404007E-13</v>
      </c>
      <c r="AJ125" s="14">
        <f>AI125*VLOOKUP('Données projet'!$B$10,Paramètres!$A$1:$I$89,3,0)*VLOOKUP('Données projet'!$B$10,Paramètres!$A$1:$I$89,5,0)</f>
        <v>-2.4829205358400943E-13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401.89597032936751</v>
      </c>
      <c r="AO125" s="62">
        <f t="shared" si="90"/>
        <v>417.85733543972361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3.4</v>
      </c>
      <c r="BD125" s="13">
        <f>IF('Données projet'!$A$88&gt;35,BD124+BC125-BL124,IF(A125&lt;'Données projet'!$A$88,$BA$205^A125,IF(A125='Données projet'!$A$88,'Données projet'!$B$88,BD124+BC125-BL124)))</f>
        <v>290.79999999999939</v>
      </c>
      <c r="BE125" s="14">
        <f>BD125*VLOOKUP('Données projet'!$B$11,Paramètres!$A$1:$I$89,3,0)*VLOOKUP('Données projet'!$B$11,Paramètres!$A$1:$I$89,5,0)</f>
        <v>263.11583999999948</v>
      </c>
      <c r="BF125" s="14">
        <f t="shared" si="91"/>
        <v>63.386087944423274</v>
      </c>
      <c r="BG125" s="22">
        <f t="shared" si="61"/>
        <v>568.65752450320281</v>
      </c>
      <c r="BH125" s="62">
        <f t="shared" si="62"/>
        <v>861.99085783653618</v>
      </c>
      <c r="BI125" s="62">
        <f ca="1">AVERAGE(OFFSET($BH$3,0,0,'Données projet'!$E$11+1,1))-AVERAGE(OFFSET($H$3,0,0,'Données projet'!$E$11+1,1))</f>
        <v>430.40491895612814</v>
      </c>
      <c r="BJ125" s="62">
        <f t="shared" si="92"/>
        <v>231.36959598460686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-1.0818439477588981E-13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367.11183928586667</v>
      </c>
      <c r="CE125" s="62">
        <f t="shared" si="94"/>
        <v>281.52963027844595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-3.4106051316484809E-13</v>
      </c>
      <c r="CU125" s="18">
        <f>CT125*VLOOKUP('Données projet'!$B$13,Paramètres!$A$1:$I$89,3,0)*VLOOKUP('Données projet'!$B$13,Paramètres!$A$1:$I$89,5,0)</f>
        <v>-2.0395418687257919E-13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308.47522272937135</v>
      </c>
      <c r="CZ125" s="62">
        <f t="shared" si="96"/>
        <v>302.54354650449721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0.29961397572497289</v>
      </c>
      <c r="DH125" s="23">
        <f>EXP(-LN(2)/2)*DH124+(1-EXP(-LN(2)/2))/(LN(2)/2)*DB125*DE125*VLOOKUP('Données projet'!$B$13,Paramètres!$A$1:$I$89,3,0)*0.475*44/12</f>
        <v>2.4547291749990152E-13</v>
      </c>
      <c r="DI125" s="24">
        <f t="shared" si="69"/>
        <v>0.29961397572521836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-5.6843418860808015E-14</v>
      </c>
      <c r="DP125" s="18">
        <f>DO125*VLOOKUP('Données projet'!$B$14,Paramètres!$A$1:$I$89,3,0)*VLOOKUP('Données projet'!$B$14,Paramètres!$A$1:$I$89,5,0)</f>
        <v>-4.5224624045658861E-14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370.58277541710277</v>
      </c>
      <c r="DU125" s="62">
        <f t="shared" si="98"/>
        <v>404.61777090709171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240.22884864766218</v>
      </c>
      <c r="EP125" s="62">
        <f t="shared" si="100"/>
        <v>343.23776884143166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0.80325967728372283</v>
      </c>
      <c r="EX125" s="23">
        <f>EXP(-LN(2)/2)*EX124+(1-EXP(-LN(2)/2))/(LN(2)/2)*ER125*EU125*VLOOKUP('Données projet'!$B$15,Paramètres!$A$1:$I$89,3,0)*0.475*44/12</f>
        <v>2.3474654939557807E-13</v>
      </c>
      <c r="EY125" s="24">
        <f t="shared" si="75"/>
        <v>0.80325967728395753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-1.1368683772161603E-13</v>
      </c>
      <c r="FF125" s="18">
        <f>FE125*VLOOKUP('Données projet'!$B$16,Paramètres!$A$1:$I$89,3,0)*VLOOKUP('Données projet'!$B$16,Paramètres!$A$1:$I$89,5,0)</f>
        <v>-5.3205440053716299E-14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399.92909819003523</v>
      </c>
      <c r="FK125" s="62">
        <f t="shared" si="102"/>
        <v>163.7053537268381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-5.6843418860808015E-14</v>
      </c>
      <c r="GA125" s="18">
        <f>FZ125*VLOOKUP('Données projet'!$B$17,Paramètres!$A$1:$I$89,3,0)*VLOOKUP('Données projet'!$B$17,Paramètres!$A$1:$I$89,5,0)</f>
        <v>-4.1677594708744434E-14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344.4426665022238</v>
      </c>
      <c r="GF125" s="62">
        <f t="shared" si="104"/>
        <v>376.41441893222185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6.8212102632969618E-13</v>
      </c>
      <c r="GV125" s="18">
        <f>GU125*VLOOKUP('Données projet'!$B$18,Paramètres!$A$1:$I$89,3,0)*VLOOKUP('Données projet'!$B$18,Paramètres!$A$1:$I$89,5,0)</f>
        <v>3.2810021366458383E-13</v>
      </c>
      <c r="GW125" s="14">
        <f t="shared" si="105"/>
        <v>4.2923528923937213E-12</v>
      </c>
      <c r="GX125" s="22">
        <f t="shared" si="82"/>
        <v>8.0472891597182151E-12</v>
      </c>
      <c r="GY125" s="62">
        <f t="shared" si="83"/>
        <v>293.33333333334139</v>
      </c>
      <c r="GZ125" s="62">
        <f ca="1">AVERAGE(OFFSET($GY$3,0,0,'Données projet'!$E$18+1,1))-AVERAGE(OFFSET($H$3,0,0,'Données projet'!$E$18+1,1))</f>
        <v>441.17479680509746</v>
      </c>
      <c r="HA125" s="62">
        <f t="shared" si="106"/>
        <v>198.56576128410069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projet'!$B$9,Paramètres!$A$1:$I$89,3,0)*VLOOKUP('Données projet'!$B$9,Paramètres!$A$1:$I$89,5,0)</f>
        <v>-1.9065282685915009E-13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374.79806286316051</v>
      </c>
      <c r="T126" s="62">
        <f t="shared" si="88"/>
        <v>350.01856672839466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0.55998544728767952</v>
      </c>
      <c r="AB126" s="23">
        <f>EXP(-LN(2)/2)*AB125+(1-EXP(-LN(2)/2))/(LN(2)/2)*V126*Y126*VLOOKUP('Données projet'!$B$9,Paramètres!$A$1:$I$89,3,0)*0.475*44/12</f>
        <v>9.0260911617898016E-14</v>
      </c>
      <c r="AC126" s="24">
        <f t="shared" si="57"/>
        <v>0.55998544728776978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-2.8421709430404007E-13</v>
      </c>
      <c r="AJ126" s="14">
        <f>AI126*VLOOKUP('Données projet'!$B$10,Paramètres!$A$1:$I$89,3,0)*VLOOKUP('Données projet'!$B$10,Paramètres!$A$1:$I$89,5,0)</f>
        <v>-2.4829205358400943E-13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401.89597032936751</v>
      </c>
      <c r="AO126" s="62">
        <f t="shared" si="90"/>
        <v>417.85733543972361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3.4</v>
      </c>
      <c r="BD126" s="13">
        <f>IF('Données projet'!$A$88&gt;35,BD125+BC126-BL125,IF(A126&lt;'Données projet'!$A$88,$BA$205^A126,IF(A126='Données projet'!$A$88,'Données projet'!$B$88,BD125+BC126-BL125)))</f>
        <v>294.19999999999936</v>
      </c>
      <c r="BE126" s="14">
        <f>BD126*VLOOKUP('Données projet'!$B$11,Paramètres!$A$1:$I$89,3,0)*VLOOKUP('Données projet'!$B$11,Paramètres!$A$1:$I$89,5,0)</f>
        <v>266.19215999999943</v>
      </c>
      <c r="BF126" s="14">
        <f t="shared" si="91"/>
        <v>64.04048272345959</v>
      </c>
      <c r="BG126" s="22">
        <f t="shared" si="61"/>
        <v>575.15518607669117</v>
      </c>
      <c r="BH126" s="62">
        <f t="shared" si="62"/>
        <v>868.48851941002454</v>
      </c>
      <c r="BI126" s="62">
        <f ca="1">AVERAGE(OFFSET($BH$3,0,0,'Données projet'!$E$11+1,1))-AVERAGE(OFFSET($H$3,0,0,'Données projet'!$E$11+1,1))</f>
        <v>430.40491895612814</v>
      </c>
      <c r="BJ126" s="62">
        <f t="shared" si="92"/>
        <v>231.36959598460686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-1.0818439477588981E-13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367.11183928586667</v>
      </c>
      <c r="CE126" s="62">
        <f t="shared" si="94"/>
        <v>281.52963027844595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-3.4106051316484809E-13</v>
      </c>
      <c r="CU126" s="18">
        <f>CT126*VLOOKUP('Données projet'!$B$13,Paramètres!$A$1:$I$89,3,0)*VLOOKUP('Données projet'!$B$13,Paramètres!$A$1:$I$89,5,0)</f>
        <v>-2.0395418687257919E-13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308.47522272937135</v>
      </c>
      <c r="CZ126" s="62">
        <f t="shared" si="96"/>
        <v>302.54354650449721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0.29142101580275931</v>
      </c>
      <c r="DH126" s="23">
        <f>EXP(-LN(2)/2)*DH125+(1-EXP(-LN(2)/2))/(LN(2)/2)*DB126*DE126*VLOOKUP('Données projet'!$B$13,Paramètres!$A$1:$I$89,3,0)*0.475*44/12</f>
        <v>1.735755645618263E-13</v>
      </c>
      <c r="DI126" s="24">
        <f t="shared" si="69"/>
        <v>0.29142101580293289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-5.6843418860808015E-14</v>
      </c>
      <c r="DP126" s="18">
        <f>DO126*VLOOKUP('Données projet'!$B$14,Paramètres!$A$1:$I$89,3,0)*VLOOKUP('Données projet'!$B$14,Paramètres!$A$1:$I$89,5,0)</f>
        <v>-4.5224624045658861E-14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370.58277541710277</v>
      </c>
      <c r="DU126" s="62">
        <f t="shared" si="98"/>
        <v>404.61777090709171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240.22884864766218</v>
      </c>
      <c r="EP126" s="62">
        <f t="shared" si="100"/>
        <v>343.23776884143166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0.78129449916680882</v>
      </c>
      <c r="EX126" s="23">
        <f>EXP(-LN(2)/2)*EX125+(1-EXP(-LN(2)/2))/(LN(2)/2)*ER126*EU126*VLOOKUP('Données projet'!$B$15,Paramètres!$A$1:$I$89,3,0)*0.475*44/12</f>
        <v>1.6599087693775609E-13</v>
      </c>
      <c r="EY126" s="24">
        <f t="shared" si="75"/>
        <v>0.7812944991669748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-1.1368683772161603E-13</v>
      </c>
      <c r="FF126" s="18">
        <f>FE126*VLOOKUP('Données projet'!$B$16,Paramètres!$A$1:$I$89,3,0)*VLOOKUP('Données projet'!$B$16,Paramètres!$A$1:$I$89,5,0)</f>
        <v>-5.3205440053716299E-14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399.92909819003523</v>
      </c>
      <c r="FK126" s="62">
        <f t="shared" si="102"/>
        <v>163.7053537268381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-5.6843418860808015E-14</v>
      </c>
      <c r="GA126" s="18">
        <f>FZ126*VLOOKUP('Données projet'!$B$17,Paramètres!$A$1:$I$89,3,0)*VLOOKUP('Données projet'!$B$17,Paramètres!$A$1:$I$89,5,0)</f>
        <v>-4.1677594708744434E-14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344.4426665022238</v>
      </c>
      <c r="GF126" s="62">
        <f t="shared" si="104"/>
        <v>376.41441893222185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6.8212102632969618E-13</v>
      </c>
      <c r="GV126" s="18">
        <f>GU126*VLOOKUP('Données projet'!$B$18,Paramètres!$A$1:$I$89,3,0)*VLOOKUP('Données projet'!$B$18,Paramètres!$A$1:$I$89,5,0)</f>
        <v>3.2810021366458383E-13</v>
      </c>
      <c r="GW126" s="14">
        <f t="shared" si="105"/>
        <v>4.2923528923937213E-12</v>
      </c>
      <c r="GX126" s="22">
        <f t="shared" si="82"/>
        <v>8.0472891597182151E-12</v>
      </c>
      <c r="GY126" s="62">
        <f t="shared" si="83"/>
        <v>293.33333333334139</v>
      </c>
      <c r="GZ126" s="62">
        <f ca="1">AVERAGE(OFFSET($GY$3,0,0,'Données projet'!$E$18+1,1))-AVERAGE(OFFSET($H$3,0,0,'Données projet'!$E$18+1,1))</f>
        <v>441.17479680509746</v>
      </c>
      <c r="HA126" s="62">
        <f t="shared" si="106"/>
        <v>198.56576128410069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projet'!$B$9,Paramètres!$A$1:$I$89,3,0)*VLOOKUP('Données projet'!$B$9,Paramètres!$A$1:$I$89,5,0)</f>
        <v>-1.9065282685915009E-13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374.79806286316051</v>
      </c>
      <c r="T127" s="62">
        <f t="shared" si="88"/>
        <v>350.01856672839466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0.54467261578324311</v>
      </c>
      <c r="AB127" s="23">
        <f>EXP(-LN(2)/2)*AB126+(1-EXP(-LN(2)/2))/(LN(2)/2)*V127*Y127*VLOOKUP('Données projet'!$B$9,Paramètres!$A$1:$I$89,3,0)*0.475*44/12</f>
        <v>6.3824102681095317E-14</v>
      </c>
      <c r="AC127" s="24">
        <f t="shared" si="57"/>
        <v>0.54467261578330695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-2.8421709430404007E-13</v>
      </c>
      <c r="AJ127" s="14">
        <f>AI127*VLOOKUP('Données projet'!$B$10,Paramètres!$A$1:$I$89,3,0)*VLOOKUP('Données projet'!$B$10,Paramètres!$A$1:$I$89,5,0)</f>
        <v>-2.4829205358400943E-13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401.89597032936751</v>
      </c>
      <c r="AO127" s="62">
        <f t="shared" si="90"/>
        <v>417.85733543972361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3.4</v>
      </c>
      <c r="BD127" s="13">
        <f>IF('Données projet'!$A$88&gt;35,BD126+BC127-BL126,IF(A127&lt;'Données projet'!$A$88,$BA$205^A127,IF(A127='Données projet'!$A$88,'Données projet'!$B$88,BD126+BC127-BL126)))</f>
        <v>297.59999999999934</v>
      </c>
      <c r="BE127" s="14">
        <f>BD127*VLOOKUP('Données projet'!$B$11,Paramètres!$A$1:$I$89,3,0)*VLOOKUP('Données projet'!$B$11,Paramètres!$A$1:$I$89,5,0)</f>
        <v>269.26847999999939</v>
      </c>
      <c r="BF127" s="14">
        <f t="shared" si="91"/>
        <v>64.693997776951065</v>
      </c>
      <c r="BG127" s="22">
        <f t="shared" si="61"/>
        <v>581.65131546152202</v>
      </c>
      <c r="BH127" s="62">
        <f t="shared" si="62"/>
        <v>874.98464879485527</v>
      </c>
      <c r="BI127" s="62">
        <f ca="1">AVERAGE(OFFSET($BH$3,0,0,'Données projet'!$E$11+1,1))-AVERAGE(OFFSET($H$3,0,0,'Données projet'!$E$11+1,1))</f>
        <v>430.40491895612814</v>
      </c>
      <c r="BJ127" s="62">
        <f t="shared" si="92"/>
        <v>231.36959598460686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-1.0818439477588981E-13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367.11183928586667</v>
      </c>
      <c r="CE127" s="62">
        <f t="shared" si="94"/>
        <v>281.52963027844595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-3.4106051316484809E-13</v>
      </c>
      <c r="CU127" s="18">
        <f>CT127*VLOOKUP('Données projet'!$B$13,Paramètres!$A$1:$I$89,3,0)*VLOOKUP('Données projet'!$B$13,Paramètres!$A$1:$I$89,5,0)</f>
        <v>-2.0395418687257919E-13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308.47522272937135</v>
      </c>
      <c r="CZ127" s="62">
        <f t="shared" si="96"/>
        <v>302.54354650449721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0.28345209280046768</v>
      </c>
      <c r="DH127" s="23">
        <f>EXP(-LN(2)/2)*DH126+(1-EXP(-LN(2)/2))/(LN(2)/2)*DB127*DE127*VLOOKUP('Données projet'!$B$13,Paramètres!$A$1:$I$89,3,0)*0.475*44/12</f>
        <v>1.2273645874995076E-13</v>
      </c>
      <c r="DI127" s="24">
        <f t="shared" si="69"/>
        <v>0.28345209280059042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-5.6843418860808015E-14</v>
      </c>
      <c r="DP127" s="18">
        <f>DO127*VLOOKUP('Données projet'!$B$14,Paramètres!$A$1:$I$89,3,0)*VLOOKUP('Données projet'!$B$14,Paramètres!$A$1:$I$89,5,0)</f>
        <v>-4.5224624045658861E-14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370.58277541710277</v>
      </c>
      <c r="DU127" s="62">
        <f t="shared" si="98"/>
        <v>404.61777090709171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240.22884864766218</v>
      </c>
      <c r="EP127" s="62">
        <f t="shared" si="100"/>
        <v>343.23776884143166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0.75992996000060042</v>
      </c>
      <c r="EX127" s="23">
        <f>EXP(-LN(2)/2)*EX126+(1-EXP(-LN(2)/2))/(LN(2)/2)*ER127*EU127*VLOOKUP('Données projet'!$B$15,Paramètres!$A$1:$I$89,3,0)*0.475*44/12</f>
        <v>1.1737327469778903E-13</v>
      </c>
      <c r="EY127" s="24">
        <f t="shared" si="75"/>
        <v>0.75992996000071777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-1.1368683772161603E-13</v>
      </c>
      <c r="FF127" s="18">
        <f>FE127*VLOOKUP('Données projet'!$B$16,Paramètres!$A$1:$I$89,3,0)*VLOOKUP('Données projet'!$B$16,Paramètres!$A$1:$I$89,5,0)</f>
        <v>-5.3205440053716299E-14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399.92909819003523</v>
      </c>
      <c r="FK127" s="62">
        <f t="shared" si="102"/>
        <v>163.7053537268381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-5.6843418860808015E-14</v>
      </c>
      <c r="GA127" s="18">
        <f>FZ127*VLOOKUP('Données projet'!$B$17,Paramètres!$A$1:$I$89,3,0)*VLOOKUP('Données projet'!$B$17,Paramètres!$A$1:$I$89,5,0)</f>
        <v>-4.1677594708744434E-14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344.4426665022238</v>
      </c>
      <c r="GF127" s="62">
        <f t="shared" si="104"/>
        <v>376.41441893222185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6.8212102632969618E-13</v>
      </c>
      <c r="GV127" s="18">
        <f>GU127*VLOOKUP('Données projet'!$B$18,Paramètres!$A$1:$I$89,3,0)*VLOOKUP('Données projet'!$B$18,Paramètres!$A$1:$I$89,5,0)</f>
        <v>3.2810021366458383E-13</v>
      </c>
      <c r="GW127" s="14">
        <f t="shared" si="105"/>
        <v>4.2923528923937213E-12</v>
      </c>
      <c r="GX127" s="22">
        <f t="shared" si="82"/>
        <v>8.0472891597182151E-12</v>
      </c>
      <c r="GY127" s="62">
        <f t="shared" si="83"/>
        <v>293.33333333334139</v>
      </c>
      <c r="GZ127" s="62">
        <f ca="1">AVERAGE(OFFSET($GY$3,0,0,'Données projet'!$E$18+1,1))-AVERAGE(OFFSET($H$3,0,0,'Données projet'!$E$18+1,1))</f>
        <v>441.17479680509746</v>
      </c>
      <c r="HA127" s="62">
        <f t="shared" si="106"/>
        <v>198.56576128410069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projet'!$B$9,Paramètres!$A$1:$I$89,3,0)*VLOOKUP('Données projet'!$B$9,Paramètres!$A$1:$I$89,5,0)</f>
        <v>-1.9065282685915009E-13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374.79806286316051</v>
      </c>
      <c r="T128" s="62">
        <f t="shared" si="88"/>
        <v>350.01856672839466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0.52977851446156232</v>
      </c>
      <c r="AB128" s="23">
        <f>EXP(-LN(2)/2)*AB127+(1-EXP(-LN(2)/2))/(LN(2)/2)*V128*Y128*VLOOKUP('Données projet'!$B$9,Paramètres!$A$1:$I$89,3,0)*0.475*44/12</f>
        <v>4.5130455808949008E-14</v>
      </c>
      <c r="AC128" s="24">
        <f t="shared" si="57"/>
        <v>0.5297785144616074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-2.8421709430404007E-13</v>
      </c>
      <c r="AJ128" s="14">
        <f>AI128*VLOOKUP('Données projet'!$B$10,Paramètres!$A$1:$I$89,3,0)*VLOOKUP('Données projet'!$B$10,Paramètres!$A$1:$I$89,5,0)</f>
        <v>-2.4829205358400943E-13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401.89597032936751</v>
      </c>
      <c r="AO128" s="62">
        <f t="shared" si="90"/>
        <v>417.85733543972361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301</v>
      </c>
      <c r="BB128" s="13">
        <f>VLOOKUP(A128,'Données projet'!$A$87:$I$107,9,0)</f>
        <v>3.4</v>
      </c>
      <c r="BC128" s="13">
        <f t="array" ref="BC128">INDEX(BB:BB,MIN(IF(ISNUMBER(BB128:BB324),ROW(BB128:BB324),"")))</f>
        <v>3.4</v>
      </c>
      <c r="BD128" s="13">
        <f>IF('Données projet'!$A$88&gt;35,BD127+BC128-BL127,IF(A128&lt;'Données projet'!$A$88,$BA$205^A128,IF(A128='Données projet'!$A$88,'Données projet'!$B$88,BD127+BC128-BL127)))</f>
        <v>300.99999999999932</v>
      </c>
      <c r="BE128" s="14">
        <f>BD128*VLOOKUP('Données projet'!$B$11,Paramètres!$A$1:$I$89,3,0)*VLOOKUP('Données projet'!$B$11,Paramètres!$A$1:$I$89,5,0)</f>
        <v>272.34479999999934</v>
      </c>
      <c r="BF128" s="14">
        <f t="shared" si="91"/>
        <v>65.346644318451595</v>
      </c>
      <c r="BG128" s="22">
        <f t="shared" si="61"/>
        <v>588.1459321879687</v>
      </c>
      <c r="BH128" s="62">
        <f t="shared" si="62"/>
        <v>881.47926552130207</v>
      </c>
      <c r="BI128" s="62">
        <f ca="1">AVERAGE(OFFSET($BH$3,0,0,'Données projet'!$E$11+1,1))-AVERAGE(OFFSET($H$3,0,0,'Données projet'!$E$11+1,1))</f>
        <v>430.40491895612814</v>
      </c>
      <c r="BJ128" s="62">
        <f t="shared" si="92"/>
        <v>231.36959598460686</v>
      </c>
      <c r="BK128" s="16">
        <f>IF(ISNA(VLOOKUP(A128,'Données projet'!$A$87:$I$107,3,0)),0,VLOOKUP(A128,'Données projet'!$A$87:$I$107,3,0))</f>
        <v>11</v>
      </c>
      <c r="BL128" s="16">
        <f>IF(ISNA(VLOOKUP(A128,'Données projet'!$A$87:$I$107,4,0)),0,VLOOKUP(A128,'Données projet'!$A$87:$I$107,4,0))</f>
        <v>33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-1.0818439477588981E-13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367.11183928586667</v>
      </c>
      <c r="CE128" s="62">
        <f t="shared" si="94"/>
        <v>281.52963027844595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-3.4106051316484809E-13</v>
      </c>
      <c r="CU128" s="18">
        <f>CT128*VLOOKUP('Données projet'!$B$13,Paramètres!$A$1:$I$89,3,0)*VLOOKUP('Données projet'!$B$13,Paramètres!$A$1:$I$89,5,0)</f>
        <v>-2.0395418687257919E-13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308.47522272937135</v>
      </c>
      <c r="CZ128" s="62">
        <f t="shared" si="96"/>
        <v>302.54354650449721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0.27570108041674118</v>
      </c>
      <c r="DH128" s="23">
        <f>EXP(-LN(2)/2)*DH127+(1-EXP(-LN(2)/2))/(LN(2)/2)*DB128*DE128*VLOOKUP('Données projet'!$B$13,Paramètres!$A$1:$I$89,3,0)*0.475*44/12</f>
        <v>8.6787782280913151E-14</v>
      </c>
      <c r="DI128" s="24">
        <f t="shared" si="69"/>
        <v>0.27570108041682795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-5.6843418860808015E-14</v>
      </c>
      <c r="DP128" s="18">
        <f>DO128*VLOOKUP('Données projet'!$B$14,Paramètres!$A$1:$I$89,3,0)*VLOOKUP('Données projet'!$B$14,Paramètres!$A$1:$I$89,5,0)</f>
        <v>-4.5224624045658861E-14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370.58277541710277</v>
      </c>
      <c r="DU128" s="62">
        <f t="shared" si="98"/>
        <v>404.61777090709171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240.22884864766218</v>
      </c>
      <c r="EP128" s="62">
        <f t="shared" si="100"/>
        <v>343.23776884143166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0.7391496352814042</v>
      </c>
      <c r="EX128" s="23">
        <f>EXP(-LN(2)/2)*EX127+(1-EXP(-LN(2)/2))/(LN(2)/2)*ER128*EU128*VLOOKUP('Données projet'!$B$15,Paramètres!$A$1:$I$89,3,0)*0.475*44/12</f>
        <v>8.2995438468878046E-14</v>
      </c>
      <c r="EY128" s="24">
        <f t="shared" si="75"/>
        <v>0.73914963528148725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-1.1368683772161603E-13</v>
      </c>
      <c r="FF128" s="18">
        <f>FE128*VLOOKUP('Données projet'!$B$16,Paramètres!$A$1:$I$89,3,0)*VLOOKUP('Données projet'!$B$16,Paramètres!$A$1:$I$89,5,0)</f>
        <v>-5.3205440053716299E-14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399.92909819003523</v>
      </c>
      <c r="FK128" s="62">
        <f t="shared" si="102"/>
        <v>163.7053537268381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-5.6843418860808015E-14</v>
      </c>
      <c r="GA128" s="18">
        <f>FZ128*VLOOKUP('Données projet'!$B$17,Paramètres!$A$1:$I$89,3,0)*VLOOKUP('Données projet'!$B$17,Paramètres!$A$1:$I$89,5,0)</f>
        <v>-4.1677594708744434E-14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344.4426665022238</v>
      </c>
      <c r="GF128" s="62">
        <f t="shared" si="104"/>
        <v>376.41441893222185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6.8212102632969618E-13</v>
      </c>
      <c r="GV128" s="18">
        <f>GU128*VLOOKUP('Données projet'!$B$18,Paramètres!$A$1:$I$89,3,0)*VLOOKUP('Données projet'!$B$18,Paramètres!$A$1:$I$89,5,0)</f>
        <v>3.2810021366458383E-13</v>
      </c>
      <c r="GW128" s="14">
        <f t="shared" si="105"/>
        <v>4.2923528923937213E-12</v>
      </c>
      <c r="GX128" s="22">
        <f t="shared" si="82"/>
        <v>8.0472891597182151E-12</v>
      </c>
      <c r="GY128" s="62">
        <f t="shared" si="83"/>
        <v>293.33333333334139</v>
      </c>
      <c r="GZ128" s="62">
        <f ca="1">AVERAGE(OFFSET($GY$3,0,0,'Données projet'!$E$18+1,1))-AVERAGE(OFFSET($H$3,0,0,'Données projet'!$E$18+1,1))</f>
        <v>441.17479680509746</v>
      </c>
      <c r="HA128" s="62">
        <f t="shared" si="106"/>
        <v>198.56576128410069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projet'!$B$9,Paramètres!$A$1:$I$89,3,0)*VLOOKUP('Données projet'!$B$9,Paramètres!$A$1:$I$89,5,0)</f>
        <v>-1.9065282685915009E-13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374.79806286316051</v>
      </c>
      <c r="T129" s="62">
        <f t="shared" si="88"/>
        <v>350.01856672839466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0.51529169312376966</v>
      </c>
      <c r="AB129" s="23">
        <f>EXP(-LN(2)/2)*AB128+(1-EXP(-LN(2)/2))/(LN(2)/2)*V129*Y129*VLOOKUP('Données projet'!$B$9,Paramètres!$A$1:$I$89,3,0)*0.475*44/12</f>
        <v>3.1912051340547658E-14</v>
      </c>
      <c r="AC129" s="24">
        <f t="shared" si="57"/>
        <v>0.51529169312380152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-2.8421709430404007E-13</v>
      </c>
      <c r="AJ129" s="14">
        <f>AI129*VLOOKUP('Données projet'!$B$10,Paramètres!$A$1:$I$89,3,0)*VLOOKUP('Données projet'!$B$10,Paramètres!$A$1:$I$89,5,0)</f>
        <v>-2.4829205358400943E-13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401.89597032936751</v>
      </c>
      <c r="AO129" s="62">
        <f t="shared" si="90"/>
        <v>417.85733543972361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</v>
      </c>
      <c r="BD129" s="13">
        <f>IF('Données projet'!$A$88&gt;35,BD128+BC129-BL128,IF(A129&lt;'Données projet'!$A$88,$BA$205^A129,IF(A129='Données projet'!$A$88,'Données projet'!$B$88,BD128+BC129-BL128)))</f>
        <v>270.99999999999932</v>
      </c>
      <c r="BE129" s="14">
        <f>BD129*VLOOKUP('Données projet'!$B$11,Paramètres!$A$1:$I$89,3,0)*VLOOKUP('Données projet'!$B$11,Paramètres!$A$1:$I$89,5,0)</f>
        <v>245.20079999999936</v>
      </c>
      <c r="BF129" s="14">
        <f t="shared" si="91"/>
        <v>59.557107941433571</v>
      </c>
      <c r="BG129" s="22">
        <f t="shared" si="61"/>
        <v>530.78668966466228</v>
      </c>
      <c r="BH129" s="62">
        <f t="shared" si="62"/>
        <v>824.12002299799565</v>
      </c>
      <c r="BI129" s="62">
        <f ca="1">AVERAGE(OFFSET($BH$3,0,0,'Données projet'!$E$11+1,1))-AVERAGE(OFFSET($H$3,0,0,'Données projet'!$E$11+1,1))</f>
        <v>430.40491895612814</v>
      </c>
      <c r="BJ129" s="62">
        <f t="shared" si="92"/>
        <v>231.36959598460686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-1.0818439477588981E-13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367.11183928586667</v>
      </c>
      <c r="CE129" s="62">
        <f t="shared" si="94"/>
        <v>281.52963027844595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-3.4106051316484809E-13</v>
      </c>
      <c r="CU129" s="18">
        <f>CT129*VLOOKUP('Données projet'!$B$13,Paramètres!$A$1:$I$89,3,0)*VLOOKUP('Données projet'!$B$13,Paramètres!$A$1:$I$89,5,0)</f>
        <v>-2.0395418687257919E-13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308.47522272937135</v>
      </c>
      <c r="CZ129" s="62">
        <f t="shared" si="96"/>
        <v>302.54354650449721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0.2681620198742557</v>
      </c>
      <c r="DH129" s="23">
        <f>EXP(-LN(2)/2)*DH128+(1-EXP(-LN(2)/2))/(LN(2)/2)*DB129*DE129*VLOOKUP('Données projet'!$B$13,Paramètres!$A$1:$I$89,3,0)*0.475*44/12</f>
        <v>6.136822937497538E-14</v>
      </c>
      <c r="DI129" s="24">
        <f t="shared" si="69"/>
        <v>0.26816201987431709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-5.6843418860808015E-14</v>
      </c>
      <c r="DP129" s="18">
        <f>DO129*VLOOKUP('Données projet'!$B$14,Paramètres!$A$1:$I$89,3,0)*VLOOKUP('Données projet'!$B$14,Paramètres!$A$1:$I$89,5,0)</f>
        <v>-4.5224624045658861E-14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370.58277541710277</v>
      </c>
      <c r="DU129" s="62">
        <f t="shared" si="98"/>
        <v>404.61777090709171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240.22884864766218</v>
      </c>
      <c r="EP129" s="62">
        <f t="shared" si="100"/>
        <v>343.23776884143166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0.71893754963444423</v>
      </c>
      <c r="EX129" s="23">
        <f>EXP(-LN(2)/2)*EX128+(1-EXP(-LN(2)/2))/(LN(2)/2)*ER129*EU129*VLOOKUP('Données projet'!$B$15,Paramètres!$A$1:$I$89,3,0)*0.475*44/12</f>
        <v>5.8686637348894517E-14</v>
      </c>
      <c r="EY129" s="24">
        <f t="shared" si="75"/>
        <v>0.71893754963450296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-1.1368683772161603E-13</v>
      </c>
      <c r="FF129" s="18">
        <f>FE129*VLOOKUP('Données projet'!$B$16,Paramètres!$A$1:$I$89,3,0)*VLOOKUP('Données projet'!$B$16,Paramètres!$A$1:$I$89,5,0)</f>
        <v>-5.3205440053716299E-14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399.92909819003523</v>
      </c>
      <c r="FK129" s="62">
        <f t="shared" si="102"/>
        <v>163.7053537268381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-5.6843418860808015E-14</v>
      </c>
      <c r="GA129" s="18">
        <f>FZ129*VLOOKUP('Données projet'!$B$17,Paramètres!$A$1:$I$89,3,0)*VLOOKUP('Données projet'!$B$17,Paramètres!$A$1:$I$89,5,0)</f>
        <v>-4.1677594708744434E-14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344.4426665022238</v>
      </c>
      <c r="GF129" s="62">
        <f t="shared" si="104"/>
        <v>376.41441893222185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6.8212102632969618E-13</v>
      </c>
      <c r="GV129" s="18">
        <f>GU129*VLOOKUP('Données projet'!$B$18,Paramètres!$A$1:$I$89,3,0)*VLOOKUP('Données projet'!$B$18,Paramètres!$A$1:$I$89,5,0)</f>
        <v>3.2810021366458383E-13</v>
      </c>
      <c r="GW129" s="14">
        <f t="shared" si="105"/>
        <v>4.2923528923937213E-12</v>
      </c>
      <c r="GX129" s="22">
        <f t="shared" si="82"/>
        <v>8.0472891597182151E-12</v>
      </c>
      <c r="GY129" s="62">
        <f t="shared" si="83"/>
        <v>293.33333333334139</v>
      </c>
      <c r="GZ129" s="62">
        <f ca="1">AVERAGE(OFFSET($GY$3,0,0,'Données projet'!$E$18+1,1))-AVERAGE(OFFSET($H$3,0,0,'Données projet'!$E$18+1,1))</f>
        <v>441.17479680509746</v>
      </c>
      <c r="HA129" s="62">
        <f t="shared" si="106"/>
        <v>198.56576128410069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projet'!$B$9,Paramètres!$A$1:$I$89,3,0)*VLOOKUP('Données projet'!$B$9,Paramètres!$A$1:$I$89,5,0)</f>
        <v>-1.9065282685915009E-13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374.79806286316051</v>
      </c>
      <c r="T130" s="62">
        <f t="shared" si="88"/>
        <v>350.01856672839466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0.50120101467728773</v>
      </c>
      <c r="AB130" s="23">
        <f>EXP(-LN(2)/2)*AB129+(1-EXP(-LN(2)/2))/(LN(2)/2)*V130*Y130*VLOOKUP('Données projet'!$B$9,Paramètres!$A$1:$I$89,3,0)*0.475*44/12</f>
        <v>2.2565227904474504E-14</v>
      </c>
      <c r="AC130" s="24">
        <f t="shared" si="57"/>
        <v>0.50120101467731026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-2.8421709430404007E-13</v>
      </c>
      <c r="AJ130" s="14">
        <f>AI130*VLOOKUP('Données projet'!$B$10,Paramètres!$A$1:$I$89,3,0)*VLOOKUP('Données projet'!$B$10,Paramètres!$A$1:$I$89,5,0)</f>
        <v>-2.4829205358400943E-13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401.89597032936751</v>
      </c>
      <c r="AO130" s="62">
        <f t="shared" si="90"/>
        <v>417.85733543972361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</v>
      </c>
      <c r="BD130" s="13">
        <f>IF('Données projet'!$A$88&gt;35,BD129+BC130-BL129,IF(A130&lt;'Données projet'!$A$88,$BA$205^A130,IF(A130='Données projet'!$A$88,'Données projet'!$B$88,BD129+BC130-BL129)))</f>
        <v>273.99999999999932</v>
      </c>
      <c r="BE130" s="14">
        <f>BD130*VLOOKUP('Données projet'!$B$11,Paramètres!$A$1:$I$89,3,0)*VLOOKUP('Données projet'!$B$11,Paramètres!$A$1:$I$89,5,0)</f>
        <v>247.91519999999937</v>
      </c>
      <c r="BF130" s="14">
        <f t="shared" si="91"/>
        <v>60.139294964297299</v>
      </c>
      <c r="BG130" s="22">
        <f t="shared" si="61"/>
        <v>536.52824539615006</v>
      </c>
      <c r="BH130" s="62">
        <f t="shared" si="62"/>
        <v>829.86157872948343</v>
      </c>
      <c r="BI130" s="62">
        <f ca="1">AVERAGE(OFFSET($BH$3,0,0,'Données projet'!$E$11+1,1))-AVERAGE(OFFSET($H$3,0,0,'Données projet'!$E$11+1,1))</f>
        <v>430.40491895612814</v>
      </c>
      <c r="BJ130" s="62">
        <f t="shared" si="92"/>
        <v>231.36959598460686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-1.0818439477588981E-13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367.11183928586667</v>
      </c>
      <c r="CE130" s="62">
        <f t="shared" si="94"/>
        <v>281.52963027844595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-3.4106051316484809E-13</v>
      </c>
      <c r="CU130" s="18">
        <f>CT130*VLOOKUP('Données projet'!$B$13,Paramètres!$A$1:$I$89,3,0)*VLOOKUP('Données projet'!$B$13,Paramètres!$A$1:$I$89,5,0)</f>
        <v>-2.0395418687257919E-13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308.47522272937135</v>
      </c>
      <c r="CZ130" s="62">
        <f t="shared" si="96"/>
        <v>302.54354650449721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0.26082911533876646</v>
      </c>
      <c r="DH130" s="23">
        <f>EXP(-LN(2)/2)*DH129+(1-EXP(-LN(2)/2))/(LN(2)/2)*DB130*DE130*VLOOKUP('Données projet'!$B$13,Paramètres!$A$1:$I$89,3,0)*0.475*44/12</f>
        <v>4.3393891140456575E-14</v>
      </c>
      <c r="DI130" s="24">
        <f t="shared" si="69"/>
        <v>0.26082911533880987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-5.6843418860808015E-14</v>
      </c>
      <c r="DP130" s="18">
        <f>DO130*VLOOKUP('Données projet'!$B$14,Paramètres!$A$1:$I$89,3,0)*VLOOKUP('Données projet'!$B$14,Paramètres!$A$1:$I$89,5,0)</f>
        <v>-4.5224624045658861E-14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370.58277541710277</v>
      </c>
      <c r="DU130" s="62">
        <f t="shared" si="98"/>
        <v>404.61777090709171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240.22884864766218</v>
      </c>
      <c r="EP130" s="62">
        <f t="shared" si="100"/>
        <v>343.23776884143166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0.69927816453240776</v>
      </c>
      <c r="EX130" s="23">
        <f>EXP(-LN(2)/2)*EX129+(1-EXP(-LN(2)/2))/(LN(2)/2)*ER130*EU130*VLOOKUP('Données projet'!$B$15,Paramètres!$A$1:$I$89,3,0)*0.475*44/12</f>
        <v>4.1497719234439023E-14</v>
      </c>
      <c r="EY130" s="24">
        <f t="shared" si="75"/>
        <v>0.69927816453244929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-1.1368683772161603E-13</v>
      </c>
      <c r="FF130" s="18">
        <f>FE130*VLOOKUP('Données projet'!$B$16,Paramètres!$A$1:$I$89,3,0)*VLOOKUP('Données projet'!$B$16,Paramètres!$A$1:$I$89,5,0)</f>
        <v>-5.3205440053716299E-14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399.92909819003523</v>
      </c>
      <c r="FK130" s="62">
        <f t="shared" si="102"/>
        <v>163.7053537268381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-5.6843418860808015E-14</v>
      </c>
      <c r="GA130" s="18">
        <f>FZ130*VLOOKUP('Données projet'!$B$17,Paramètres!$A$1:$I$89,3,0)*VLOOKUP('Données projet'!$B$17,Paramètres!$A$1:$I$89,5,0)</f>
        <v>-4.1677594708744434E-14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344.4426665022238</v>
      </c>
      <c r="GF130" s="62">
        <f t="shared" si="104"/>
        <v>376.41441893222185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6.8212102632969618E-13</v>
      </c>
      <c r="GV130" s="18">
        <f>GU130*VLOOKUP('Données projet'!$B$18,Paramètres!$A$1:$I$89,3,0)*VLOOKUP('Données projet'!$B$18,Paramètres!$A$1:$I$89,5,0)</f>
        <v>3.2810021366458383E-13</v>
      </c>
      <c r="GW130" s="14">
        <f t="shared" si="105"/>
        <v>4.2923528923937213E-12</v>
      </c>
      <c r="GX130" s="22">
        <f t="shared" si="82"/>
        <v>8.0472891597182151E-12</v>
      </c>
      <c r="GY130" s="62">
        <f t="shared" si="83"/>
        <v>293.33333333334139</v>
      </c>
      <c r="GZ130" s="62">
        <f ca="1">AVERAGE(OFFSET($GY$3,0,0,'Données projet'!$E$18+1,1))-AVERAGE(OFFSET($H$3,0,0,'Données projet'!$E$18+1,1))</f>
        <v>441.17479680509746</v>
      </c>
      <c r="HA130" s="62">
        <f t="shared" si="106"/>
        <v>198.56576128410069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projet'!$B$9,Paramètres!$A$1:$I$89,3,0)*VLOOKUP('Données projet'!$B$9,Paramètres!$A$1:$I$89,5,0)</f>
        <v>-1.9065282685915009E-13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374.79806286316051</v>
      </c>
      <c r="T131" s="62">
        <f t="shared" si="88"/>
        <v>350.01856672839466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0.48749564657392142</v>
      </c>
      <c r="AB131" s="23">
        <f>EXP(-LN(2)/2)*AB130+(1-EXP(-LN(2)/2))/(LN(2)/2)*V131*Y131*VLOOKUP('Données projet'!$B$9,Paramètres!$A$1:$I$89,3,0)*0.475*44/12</f>
        <v>1.5956025670273829E-14</v>
      </c>
      <c r="AC131" s="24">
        <f t="shared" si="57"/>
        <v>0.48749564657393735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-2.8421709430404007E-13</v>
      </c>
      <c r="AJ131" s="14">
        <f>AI131*VLOOKUP('Données projet'!$B$10,Paramètres!$A$1:$I$89,3,0)*VLOOKUP('Données projet'!$B$10,Paramètres!$A$1:$I$89,5,0)</f>
        <v>-2.4829205358400943E-13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401.89597032936751</v>
      </c>
      <c r="AO131" s="62">
        <f t="shared" si="90"/>
        <v>417.85733543972361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</v>
      </c>
      <c r="BD131" s="13">
        <f>IF('Données projet'!$A$88&gt;35,BD130+BC131-BL130,IF(A131&lt;'Données projet'!$A$88,$BA$205^A131,IF(A131='Données projet'!$A$88,'Données projet'!$B$88,BD130+BC131-BL130)))</f>
        <v>276.99999999999932</v>
      </c>
      <c r="BE131" s="14">
        <f>BD131*VLOOKUP('Données projet'!$B$11,Paramètres!$A$1:$I$89,3,0)*VLOOKUP('Données projet'!$B$11,Paramètres!$A$1:$I$89,5,0)</f>
        <v>250.62959999999939</v>
      </c>
      <c r="BF131" s="14">
        <f t="shared" si="91"/>
        <v>60.720740474356212</v>
      </c>
      <c r="BG131" s="22">
        <f t="shared" si="61"/>
        <v>542.26850965950268</v>
      </c>
      <c r="BH131" s="62">
        <f t="shared" si="62"/>
        <v>835.60184299283605</v>
      </c>
      <c r="BI131" s="62">
        <f ca="1">AVERAGE(OFFSET($BH$3,0,0,'Données projet'!$E$11+1,1))-AVERAGE(OFFSET($H$3,0,0,'Données projet'!$E$11+1,1))</f>
        <v>430.40491895612814</v>
      </c>
      <c r="BJ131" s="62">
        <f t="shared" si="92"/>
        <v>231.36959598460686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-1.0818439477588981E-13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367.11183928586667</v>
      </c>
      <c r="CE131" s="62">
        <f t="shared" si="94"/>
        <v>281.52963027844595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-3.4106051316484809E-13</v>
      </c>
      <c r="CU131" s="18">
        <f>CT131*VLOOKUP('Données projet'!$B$13,Paramètres!$A$1:$I$89,3,0)*VLOOKUP('Données projet'!$B$13,Paramètres!$A$1:$I$89,5,0)</f>
        <v>-2.0395418687257919E-13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308.47522272937135</v>
      </c>
      <c r="CZ131" s="62">
        <f t="shared" si="96"/>
        <v>302.54354650449721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0.25369672946342087</v>
      </c>
      <c r="DH131" s="23">
        <f>EXP(-LN(2)/2)*DH130+(1-EXP(-LN(2)/2))/(LN(2)/2)*DB131*DE131*VLOOKUP('Données projet'!$B$13,Paramètres!$A$1:$I$89,3,0)*0.475*44/12</f>
        <v>3.068411468748769E-14</v>
      </c>
      <c r="DI131" s="24">
        <f t="shared" si="69"/>
        <v>0.25369672946345156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-5.6843418860808015E-14</v>
      </c>
      <c r="DP131" s="18">
        <f>DO131*VLOOKUP('Données projet'!$B$14,Paramètres!$A$1:$I$89,3,0)*VLOOKUP('Données projet'!$B$14,Paramètres!$A$1:$I$89,5,0)</f>
        <v>-4.5224624045658861E-14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370.58277541710277</v>
      </c>
      <c r="DU131" s="62">
        <f t="shared" si="98"/>
        <v>404.61777090709171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240.22884864766218</v>
      </c>
      <c r="EP131" s="62">
        <f t="shared" si="100"/>
        <v>343.23776884143166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0.68015636634982868</v>
      </c>
      <c r="EX131" s="23">
        <f>EXP(-LN(2)/2)*EX130+(1-EXP(-LN(2)/2))/(LN(2)/2)*ER131*EU131*VLOOKUP('Données projet'!$B$15,Paramètres!$A$1:$I$89,3,0)*0.475*44/12</f>
        <v>2.9343318674447259E-14</v>
      </c>
      <c r="EY131" s="24">
        <f t="shared" si="75"/>
        <v>0.68015636634985799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-1.1368683772161603E-13</v>
      </c>
      <c r="FF131" s="18">
        <f>FE131*VLOOKUP('Données projet'!$B$16,Paramètres!$A$1:$I$89,3,0)*VLOOKUP('Données projet'!$B$16,Paramètres!$A$1:$I$89,5,0)</f>
        <v>-5.3205440053716299E-14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399.92909819003523</v>
      </c>
      <c r="FK131" s="62">
        <f t="shared" si="102"/>
        <v>163.7053537268381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-5.6843418860808015E-14</v>
      </c>
      <c r="GA131" s="18">
        <f>FZ131*VLOOKUP('Données projet'!$B$17,Paramètres!$A$1:$I$89,3,0)*VLOOKUP('Données projet'!$B$17,Paramètres!$A$1:$I$89,5,0)</f>
        <v>-4.1677594708744434E-14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344.4426665022238</v>
      </c>
      <c r="GF131" s="62">
        <f t="shared" si="104"/>
        <v>376.41441893222185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6.8212102632969618E-13</v>
      </c>
      <c r="GV131" s="18">
        <f>GU131*VLOOKUP('Données projet'!$B$18,Paramètres!$A$1:$I$89,3,0)*VLOOKUP('Données projet'!$B$18,Paramètres!$A$1:$I$89,5,0)</f>
        <v>3.2810021366458383E-13</v>
      </c>
      <c r="GW131" s="14">
        <f t="shared" si="105"/>
        <v>4.2923528923937213E-12</v>
      </c>
      <c r="GX131" s="22">
        <f t="shared" si="82"/>
        <v>8.0472891597182151E-12</v>
      </c>
      <c r="GY131" s="62">
        <f t="shared" si="83"/>
        <v>293.33333333334139</v>
      </c>
      <c r="GZ131" s="62">
        <f ca="1">AVERAGE(OFFSET($GY$3,0,0,'Données projet'!$E$18+1,1))-AVERAGE(OFFSET($H$3,0,0,'Données projet'!$E$18+1,1))</f>
        <v>441.17479680509746</v>
      </c>
      <c r="HA131" s="62">
        <f t="shared" si="106"/>
        <v>198.56576128410069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projet'!$B$9,Paramètres!$A$1:$I$89,3,0)*VLOOKUP('Données projet'!$B$9,Paramètres!$A$1:$I$89,5,0)</f>
        <v>-1.9065282685915009E-13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374.79806286316051</v>
      </c>
      <c r="T132" s="62">
        <f t="shared" si="88"/>
        <v>350.01856672839466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0.47416505248207569</v>
      </c>
      <c r="AB132" s="23">
        <f>EXP(-LN(2)/2)*AB131+(1-EXP(-LN(2)/2))/(LN(2)/2)*V132*Y132*VLOOKUP('Données projet'!$B$9,Paramètres!$A$1:$I$89,3,0)*0.475*44/12</f>
        <v>1.1282613952237252E-14</v>
      </c>
      <c r="AC132" s="24">
        <f t="shared" ref="AC132:AC153" si="111">SUM(Z132:AB132)</f>
        <v>0.47416505248208696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-2.8421709430404007E-13</v>
      </c>
      <c r="AJ132" s="14">
        <f>AI132*VLOOKUP('Données projet'!$B$10,Paramètres!$A$1:$I$89,3,0)*VLOOKUP('Données projet'!$B$10,Paramètres!$A$1:$I$89,5,0)</f>
        <v>-2.4829205358400943E-13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401.89597032936751</v>
      </c>
      <c r="AO132" s="62">
        <f t="shared" si="90"/>
        <v>417.85733543972361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</v>
      </c>
      <c r="BD132" s="13">
        <f>IF('Données projet'!$A$88&gt;35,BD131+BC132-BL131,IF(A132&lt;'Données projet'!$A$88,$BA$205^A132,IF(A132='Données projet'!$A$88,'Données projet'!$B$88,BD131+BC132-BL131)))</f>
        <v>279.99999999999932</v>
      </c>
      <c r="BE132" s="14">
        <f>BD132*VLOOKUP('Données projet'!$B$11,Paramètres!$A$1:$I$89,3,0)*VLOOKUP('Données projet'!$B$11,Paramètres!$A$1:$I$89,5,0)</f>
        <v>253.34399999999934</v>
      </c>
      <c r="BF132" s="14">
        <f t="shared" si="91"/>
        <v>61.301453431926141</v>
      </c>
      <c r="BG132" s="22">
        <f t="shared" ref="BG132:BG153" si="115">(BE132+BF132)*0.475*44/12</f>
        <v>548.00749806060355</v>
      </c>
      <c r="BH132" s="62">
        <f t="shared" ref="BH132:BH195" si="116">BG132+(AY132+AZ132)*44/12</f>
        <v>841.34083139393692</v>
      </c>
      <c r="BI132" s="62">
        <f ca="1">AVERAGE(OFFSET($BH$3,0,0,'Données projet'!$E$11+1,1))-AVERAGE(OFFSET($H$3,0,0,'Données projet'!$E$11+1,1))</f>
        <v>430.40491895612814</v>
      </c>
      <c r="BJ132" s="62">
        <f t="shared" si="92"/>
        <v>231.36959598460686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-1.0818439477588981E-13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367.11183928586667</v>
      </c>
      <c r="CE132" s="62">
        <f t="shared" si="94"/>
        <v>281.52963027844595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-3.4106051316484809E-13</v>
      </c>
      <c r="CU132" s="18">
        <f>CT132*VLOOKUP('Données projet'!$B$13,Paramètres!$A$1:$I$89,3,0)*VLOOKUP('Données projet'!$B$13,Paramètres!$A$1:$I$89,5,0)</f>
        <v>-2.0395418687257919E-13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308.47522272937135</v>
      </c>
      <c r="CZ132" s="62">
        <f t="shared" si="96"/>
        <v>302.54354650449721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0.24675937905491246</v>
      </c>
      <c r="DH132" s="23">
        <f>EXP(-LN(2)/2)*DH131+(1-EXP(-LN(2)/2))/(LN(2)/2)*DB132*DE132*VLOOKUP('Données projet'!$B$13,Paramètres!$A$1:$I$89,3,0)*0.475*44/12</f>
        <v>2.1696945570228288E-14</v>
      </c>
      <c r="DI132" s="24">
        <f t="shared" ref="DI132:DI153" si="123">SUM(DF132:DH132)</f>
        <v>0.24675937905493417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-5.6843418860808015E-14</v>
      </c>
      <c r="DP132" s="18">
        <f>DO132*VLOOKUP('Données projet'!$B$14,Paramètres!$A$1:$I$89,3,0)*VLOOKUP('Données projet'!$B$14,Paramètres!$A$1:$I$89,5,0)</f>
        <v>-4.5224624045658861E-14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370.58277541710277</v>
      </c>
      <c r="DU132" s="62">
        <f t="shared" si="98"/>
        <v>404.61777090709171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240.22884864766218</v>
      </c>
      <c r="EP132" s="62">
        <f t="shared" si="100"/>
        <v>343.23776884143166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0.66155745474412386</v>
      </c>
      <c r="EX132" s="23">
        <f>EXP(-LN(2)/2)*EX131+(1-EXP(-LN(2)/2))/(LN(2)/2)*ER132*EU132*VLOOKUP('Données projet'!$B$15,Paramètres!$A$1:$I$89,3,0)*0.475*44/12</f>
        <v>2.0748859617219512E-14</v>
      </c>
      <c r="EY132" s="24">
        <f t="shared" ref="EY132:EY153" si="129">SUM(EV132:EX132)</f>
        <v>0.66155745474414462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-1.1368683772161603E-13</v>
      </c>
      <c r="FF132" s="18">
        <f>FE132*VLOOKUP('Données projet'!$B$16,Paramètres!$A$1:$I$89,3,0)*VLOOKUP('Données projet'!$B$16,Paramètres!$A$1:$I$89,5,0)</f>
        <v>-5.3205440053716299E-14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399.92909819003523</v>
      </c>
      <c r="FK132" s="62">
        <f t="shared" si="102"/>
        <v>163.7053537268381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-5.6843418860808015E-14</v>
      </c>
      <c r="GA132" s="18">
        <f>FZ132*VLOOKUP('Données projet'!$B$17,Paramètres!$A$1:$I$89,3,0)*VLOOKUP('Données projet'!$B$17,Paramètres!$A$1:$I$89,5,0)</f>
        <v>-4.1677594708744434E-14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344.4426665022238</v>
      </c>
      <c r="GF132" s="62">
        <f t="shared" si="104"/>
        <v>376.41441893222185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6.8212102632969618E-13</v>
      </c>
      <c r="GV132" s="18">
        <f>GU132*VLOOKUP('Données projet'!$B$18,Paramètres!$A$1:$I$89,3,0)*VLOOKUP('Données projet'!$B$18,Paramètres!$A$1:$I$89,5,0)</f>
        <v>3.2810021366458383E-13</v>
      </c>
      <c r="GW132" s="14">
        <f t="shared" si="105"/>
        <v>4.2923528923937213E-12</v>
      </c>
      <c r="GX132" s="22">
        <f t="shared" ref="GX132:GX153" si="136">(GV132+GW132)*0.475*44/12</f>
        <v>8.0472891597182151E-12</v>
      </c>
      <c r="GY132" s="62">
        <f t="shared" ref="GY132:GY195" si="137">GX132+(GP132+GQ132)*44/12</f>
        <v>293.33333333334139</v>
      </c>
      <c r="GZ132" s="62">
        <f ca="1">AVERAGE(OFFSET($GY$3,0,0,'Données projet'!$E$18+1,1))-AVERAGE(OFFSET($H$3,0,0,'Données projet'!$E$18+1,1))</f>
        <v>441.17479680509746</v>
      </c>
      <c r="HA132" s="62">
        <f t="shared" si="106"/>
        <v>198.56576128410069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projet'!$B$9,Paramètres!$A$1:$I$89,3,0)*VLOOKUP('Données projet'!$B$9,Paramètres!$A$1:$I$89,5,0)</f>
        <v>-1.9065282685915009E-13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374.79806286316051</v>
      </c>
      <c r="T133" s="62">
        <f t="shared" ref="T133:T196" si="142">$T$3</f>
        <v>350.01856672839466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0.46119898418669691</v>
      </c>
      <c r="AB133" s="23">
        <f>EXP(-LN(2)/2)*AB132+(1-EXP(-LN(2)/2))/(LN(2)/2)*V133*Y133*VLOOKUP('Données projet'!$B$9,Paramètres!$A$1:$I$89,3,0)*0.475*44/12</f>
        <v>7.9780128351369146E-15</v>
      </c>
      <c r="AC133" s="24">
        <f t="shared" si="111"/>
        <v>0.46119898418670491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-2.8421709430404007E-13</v>
      </c>
      <c r="AJ133" s="14">
        <f>AI133*VLOOKUP('Données projet'!$B$10,Paramètres!$A$1:$I$89,3,0)*VLOOKUP('Données projet'!$B$10,Paramètres!$A$1:$I$89,5,0)</f>
        <v>-2.4829205358400943E-13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401.89597032936751</v>
      </c>
      <c r="AO133" s="62">
        <f t="shared" ref="AO133:AO196" si="144">$AO$3</f>
        <v>417.85733543972361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3</v>
      </c>
      <c r="BD133" s="13">
        <f>IF('Données projet'!$A$88&gt;35,BD132+BC133-BL132,IF(A133&lt;'Données projet'!$A$88,$BA$205^A133,IF(A133='Données projet'!$A$88,'Données projet'!$B$88,BD132+BC133-BL132)))</f>
        <v>282.99999999999932</v>
      </c>
      <c r="BE133" s="14">
        <f>BD133*VLOOKUP('Données projet'!$B$11,Paramètres!$A$1:$I$89,3,0)*VLOOKUP('Données projet'!$B$11,Paramètres!$A$1:$I$89,5,0)</f>
        <v>256.05839999999938</v>
      </c>
      <c r="BF133" s="14">
        <f t="shared" ref="BF133:BF153" si="145">EXP(-1.0587+0.8836*LN(BE133)+0.284)</f>
        <v>61.88144259425632</v>
      </c>
      <c r="BG133" s="22">
        <f t="shared" si="115"/>
        <v>553.74522585166198</v>
      </c>
      <c r="BH133" s="62">
        <f t="shared" si="116"/>
        <v>847.07855918499536</v>
      </c>
      <c r="BI133" s="62">
        <f ca="1">AVERAGE(OFFSET($BH$3,0,0,'Données projet'!$E$11+1,1))-AVERAGE(OFFSET($H$3,0,0,'Données projet'!$E$11+1,1))</f>
        <v>430.40491895612814</v>
      </c>
      <c r="BJ133" s="62">
        <f t="shared" ref="BJ133:BJ196" si="146">$BJ$3</f>
        <v>231.36959598460686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-1.0818439477588981E-13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367.11183928586667</v>
      </c>
      <c r="CE133" s="62">
        <f t="shared" ref="CE133:CE196" si="148">$CE$3</f>
        <v>281.52963027844595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-3.4106051316484809E-13</v>
      </c>
      <c r="CU133" s="18">
        <f>CT133*VLOOKUP('Données projet'!$B$13,Paramètres!$A$1:$I$89,3,0)*VLOOKUP('Données projet'!$B$13,Paramètres!$A$1:$I$89,5,0)</f>
        <v>-2.0395418687257919E-13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308.47522272937135</v>
      </c>
      <c r="CZ133" s="62">
        <f t="shared" ref="CZ133:CZ196" si="150">$CZ$3</f>
        <v>302.54354650449721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0.24001173085814412</v>
      </c>
      <c r="DH133" s="23">
        <f>EXP(-LN(2)/2)*DH132+(1-EXP(-LN(2)/2))/(LN(2)/2)*DB133*DE133*VLOOKUP('Données projet'!$B$13,Paramètres!$A$1:$I$89,3,0)*0.475*44/12</f>
        <v>1.5342057343743845E-14</v>
      </c>
      <c r="DI133" s="24">
        <f t="shared" si="123"/>
        <v>0.24001173085815947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-5.6843418860808015E-14</v>
      </c>
      <c r="DP133" s="18">
        <f>DO133*VLOOKUP('Données projet'!$B$14,Paramètres!$A$1:$I$89,3,0)*VLOOKUP('Données projet'!$B$14,Paramètres!$A$1:$I$89,5,0)</f>
        <v>-4.5224624045658861E-14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370.58277541710277</v>
      </c>
      <c r="DU133" s="62">
        <f t="shared" ref="DU133:DU196" si="152">$DU$3</f>
        <v>404.61777090709171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240.22884864766218</v>
      </c>
      <c r="EP133" s="62">
        <f t="shared" ref="EP133:EP196" si="154">$EP$3</f>
        <v>343.23776884143166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0.6434671313543513</v>
      </c>
      <c r="EX133" s="23">
        <f>EXP(-LN(2)/2)*EX132+(1-EXP(-LN(2)/2))/(LN(2)/2)*ER133*EU133*VLOOKUP('Données projet'!$B$15,Paramètres!$A$1:$I$89,3,0)*0.475*44/12</f>
        <v>1.4671659337223629E-14</v>
      </c>
      <c r="EY133" s="24">
        <f t="shared" si="129"/>
        <v>0.64346713135436595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-1.1368683772161603E-13</v>
      </c>
      <c r="FF133" s="18">
        <f>FE133*VLOOKUP('Données projet'!$B$16,Paramètres!$A$1:$I$89,3,0)*VLOOKUP('Données projet'!$B$16,Paramètres!$A$1:$I$89,5,0)</f>
        <v>-5.3205440053716299E-14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399.92909819003523</v>
      </c>
      <c r="FK133" s="62">
        <f t="shared" ref="FK133:FK196" si="156">$FK$3</f>
        <v>163.7053537268381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-5.6843418860808015E-14</v>
      </c>
      <c r="GA133" s="18">
        <f>FZ133*VLOOKUP('Données projet'!$B$17,Paramètres!$A$1:$I$89,3,0)*VLOOKUP('Données projet'!$B$17,Paramètres!$A$1:$I$89,5,0)</f>
        <v>-4.1677594708744434E-14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344.4426665022238</v>
      </c>
      <c r="GF133" s="62">
        <f t="shared" ref="GF133:GF196" si="158">$GF$3</f>
        <v>376.41441893222185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6.8212102632969618E-13</v>
      </c>
      <c r="GV133" s="18">
        <f>GU133*VLOOKUP('Données projet'!$B$18,Paramètres!$A$1:$I$89,3,0)*VLOOKUP('Données projet'!$B$18,Paramètres!$A$1:$I$89,5,0)</f>
        <v>3.2810021366458383E-13</v>
      </c>
      <c r="GW133" s="14">
        <f t="shared" ref="GW133:GW153" si="159">EXP(-1.0587+0.8836*LN(GV133)+0.284)</f>
        <v>4.2923528923937213E-12</v>
      </c>
      <c r="GX133" s="22">
        <f t="shared" si="136"/>
        <v>8.0472891597182151E-12</v>
      </c>
      <c r="GY133" s="62">
        <f t="shared" si="137"/>
        <v>293.33333333334139</v>
      </c>
      <c r="GZ133" s="62">
        <f ca="1">AVERAGE(OFFSET($GY$3,0,0,'Données projet'!$E$18+1,1))-AVERAGE(OFFSET($H$3,0,0,'Données projet'!$E$18+1,1))</f>
        <v>441.17479680509746</v>
      </c>
      <c r="HA133" s="62">
        <f t="shared" ref="HA133:HA196" si="160">$HA$3</f>
        <v>198.56576128410069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projet'!$B$9,Paramètres!$A$1:$I$89,3,0)*VLOOKUP('Données projet'!$B$9,Paramètres!$A$1:$I$89,5,0)</f>
        <v>-1.9065282685915009E-13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374.79806286316051</v>
      </c>
      <c r="T134" s="62">
        <f t="shared" si="142"/>
        <v>350.01856672839466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0.44858747371071117</v>
      </c>
      <c r="AB134" s="23">
        <f>EXP(-LN(2)/2)*AB133+(1-EXP(-LN(2)/2))/(LN(2)/2)*V134*Y134*VLOOKUP('Données projet'!$B$9,Paramètres!$A$1:$I$89,3,0)*0.475*44/12</f>
        <v>5.641306976118626E-15</v>
      </c>
      <c r="AC134" s="24">
        <f t="shared" si="111"/>
        <v>0.44858747371071683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-2.8421709430404007E-13</v>
      </c>
      <c r="AJ134" s="14">
        <f>AI134*VLOOKUP('Données projet'!$B$10,Paramètres!$A$1:$I$89,3,0)*VLOOKUP('Données projet'!$B$10,Paramètres!$A$1:$I$89,5,0)</f>
        <v>-2.4829205358400943E-13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401.89597032936751</v>
      </c>
      <c r="AO134" s="62">
        <f t="shared" si="144"/>
        <v>417.85733543972361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3</v>
      </c>
      <c r="BD134" s="13">
        <f>IF('Données projet'!$A$88&gt;35,BD133+BC134-BL133,IF(A134&lt;'Données projet'!$A$88,$BA$205^A134,IF(A134='Données projet'!$A$88,'Données projet'!$B$88,BD133+BC134-BL133)))</f>
        <v>285.99999999999932</v>
      </c>
      <c r="BE134" s="14">
        <f>BD134*VLOOKUP('Données projet'!$B$11,Paramètres!$A$1:$I$89,3,0)*VLOOKUP('Données projet'!$B$11,Paramètres!$A$1:$I$89,5,0)</f>
        <v>258.77279999999939</v>
      </c>
      <c r="BF134" s="14">
        <f t="shared" si="145"/>
        <v>62.460716522234527</v>
      </c>
      <c r="BG134" s="22">
        <f t="shared" si="115"/>
        <v>559.48170794289069</v>
      </c>
      <c r="BH134" s="62">
        <f t="shared" si="116"/>
        <v>852.81504127622406</v>
      </c>
      <c r="BI134" s="62">
        <f ca="1">AVERAGE(OFFSET($BH$3,0,0,'Données projet'!$E$11+1,1))-AVERAGE(OFFSET($H$3,0,0,'Données projet'!$E$11+1,1))</f>
        <v>430.40491895612814</v>
      </c>
      <c r="BJ134" s="62">
        <f t="shared" si="146"/>
        <v>231.36959598460686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-1.0818439477588981E-13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367.11183928586667</v>
      </c>
      <c r="CE134" s="62">
        <f t="shared" si="148"/>
        <v>281.52963027844595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-3.4106051316484809E-13</v>
      </c>
      <c r="CU134" s="18">
        <f>CT134*VLOOKUP('Données projet'!$B$13,Paramètres!$A$1:$I$89,3,0)*VLOOKUP('Données projet'!$B$13,Paramètres!$A$1:$I$89,5,0)</f>
        <v>-2.0395418687257919E-13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308.47522272937135</v>
      </c>
      <c r="CZ134" s="62">
        <f t="shared" si="150"/>
        <v>302.54354650449721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0.23344859745615978</v>
      </c>
      <c r="DH134" s="23">
        <f>EXP(-LN(2)/2)*DH133+(1-EXP(-LN(2)/2))/(LN(2)/2)*DB134*DE134*VLOOKUP('Données projet'!$B$13,Paramètres!$A$1:$I$89,3,0)*0.475*44/12</f>
        <v>1.0848472785114144E-14</v>
      </c>
      <c r="DI134" s="24">
        <f t="shared" si="123"/>
        <v>0.23344859745617064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-5.6843418860808015E-14</v>
      </c>
      <c r="DP134" s="18">
        <f>DO134*VLOOKUP('Données projet'!$B$14,Paramètres!$A$1:$I$89,3,0)*VLOOKUP('Données projet'!$B$14,Paramètres!$A$1:$I$89,5,0)</f>
        <v>-4.5224624045658861E-14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370.58277541710277</v>
      </c>
      <c r="DU134" s="62">
        <f t="shared" si="152"/>
        <v>404.61777090709171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240.22884864766218</v>
      </c>
      <c r="EP134" s="62">
        <f t="shared" si="154"/>
        <v>343.23776884143166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0.62587148880900079</v>
      </c>
      <c r="EX134" s="23">
        <f>EXP(-LN(2)/2)*EX133+(1-EXP(-LN(2)/2))/(LN(2)/2)*ER134*EU134*VLOOKUP('Données projet'!$B$15,Paramètres!$A$1:$I$89,3,0)*0.475*44/12</f>
        <v>1.0374429808609756E-14</v>
      </c>
      <c r="EY134" s="24">
        <f t="shared" si="129"/>
        <v>0.62587148880901111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-1.1368683772161603E-13</v>
      </c>
      <c r="FF134" s="18">
        <f>FE134*VLOOKUP('Données projet'!$B$16,Paramètres!$A$1:$I$89,3,0)*VLOOKUP('Données projet'!$B$16,Paramètres!$A$1:$I$89,5,0)</f>
        <v>-5.3205440053716299E-14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399.92909819003523</v>
      </c>
      <c r="FK134" s="62">
        <f t="shared" si="156"/>
        <v>163.7053537268381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-5.6843418860808015E-14</v>
      </c>
      <c r="GA134" s="18">
        <f>FZ134*VLOOKUP('Données projet'!$B$17,Paramètres!$A$1:$I$89,3,0)*VLOOKUP('Données projet'!$B$17,Paramètres!$A$1:$I$89,5,0)</f>
        <v>-4.1677594708744434E-14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344.4426665022238</v>
      </c>
      <c r="GF134" s="62">
        <f t="shared" si="158"/>
        <v>376.41441893222185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6.8212102632969618E-13</v>
      </c>
      <c r="GV134" s="18">
        <f>GU134*VLOOKUP('Données projet'!$B$18,Paramètres!$A$1:$I$89,3,0)*VLOOKUP('Données projet'!$B$18,Paramètres!$A$1:$I$89,5,0)</f>
        <v>3.2810021366458383E-13</v>
      </c>
      <c r="GW134" s="14">
        <f t="shared" si="159"/>
        <v>4.2923528923937213E-12</v>
      </c>
      <c r="GX134" s="22">
        <f t="shared" si="136"/>
        <v>8.0472891597182151E-12</v>
      </c>
      <c r="GY134" s="62">
        <f t="shared" si="137"/>
        <v>293.33333333334139</v>
      </c>
      <c r="GZ134" s="62">
        <f ca="1">AVERAGE(OFFSET($GY$3,0,0,'Données projet'!$E$18+1,1))-AVERAGE(OFFSET($H$3,0,0,'Données projet'!$E$18+1,1))</f>
        <v>441.17479680509746</v>
      </c>
      <c r="HA134" s="62">
        <f t="shared" si="160"/>
        <v>198.56576128410069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projet'!$B$9,Paramètres!$A$1:$I$89,3,0)*VLOOKUP('Données projet'!$B$9,Paramètres!$A$1:$I$89,5,0)</f>
        <v>-1.9065282685915009E-13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374.79806286316051</v>
      </c>
      <c r="T135" s="62">
        <f t="shared" si="142"/>
        <v>350.01856672839466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0.43632082565190178</v>
      </c>
      <c r="AB135" s="23">
        <f>EXP(-LN(2)/2)*AB134+(1-EXP(-LN(2)/2))/(LN(2)/2)*V135*Y135*VLOOKUP('Données projet'!$B$9,Paramètres!$A$1:$I$89,3,0)*0.475*44/12</f>
        <v>3.9890064175684573E-15</v>
      </c>
      <c r="AC135" s="24">
        <f t="shared" si="111"/>
        <v>0.43632082565190577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-2.8421709430404007E-13</v>
      </c>
      <c r="AJ135" s="14">
        <f>AI135*VLOOKUP('Données projet'!$B$10,Paramètres!$A$1:$I$89,3,0)*VLOOKUP('Données projet'!$B$10,Paramètres!$A$1:$I$89,5,0)</f>
        <v>-2.4829205358400943E-13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401.89597032936751</v>
      </c>
      <c r="AO135" s="62">
        <f t="shared" si="144"/>
        <v>417.85733543972361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3</v>
      </c>
      <c r="BD135" s="13">
        <f>IF('Données projet'!$A$88&gt;35,BD134+BC135-BL134,IF(A135&lt;'Données projet'!$A$88,$BA$205^A135,IF(A135='Données projet'!$A$88,'Données projet'!$B$88,BD134+BC135-BL134)))</f>
        <v>288.99999999999932</v>
      </c>
      <c r="BE135" s="14">
        <f>BD135*VLOOKUP('Données projet'!$B$11,Paramètres!$A$1:$I$89,3,0)*VLOOKUP('Données projet'!$B$11,Paramètres!$A$1:$I$89,5,0)</f>
        <v>261.4871999999994</v>
      </c>
      <c r="BF135" s="14">
        <f t="shared" si="145"/>
        <v>63.03928358680222</v>
      </c>
      <c r="BG135" s="22">
        <f t="shared" si="115"/>
        <v>565.21695891367949</v>
      </c>
      <c r="BH135" s="62">
        <f t="shared" si="116"/>
        <v>858.55029224701275</v>
      </c>
      <c r="BI135" s="62">
        <f ca="1">AVERAGE(OFFSET($BH$3,0,0,'Données projet'!$E$11+1,1))-AVERAGE(OFFSET($H$3,0,0,'Données projet'!$E$11+1,1))</f>
        <v>430.40491895612814</v>
      </c>
      <c r="BJ135" s="62">
        <f t="shared" si="146"/>
        <v>231.36959598460686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-1.0818439477588981E-13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367.11183928586667</v>
      </c>
      <c r="CE135" s="62">
        <f t="shared" si="148"/>
        <v>281.52963027844595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-3.4106051316484809E-13</v>
      </c>
      <c r="CU135" s="18">
        <f>CT135*VLOOKUP('Données projet'!$B$13,Paramètres!$A$1:$I$89,3,0)*VLOOKUP('Données projet'!$B$13,Paramètres!$A$1:$I$89,5,0)</f>
        <v>-2.0395418687257919E-13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308.47522272937135</v>
      </c>
      <c r="CZ135" s="62">
        <f t="shared" si="150"/>
        <v>302.54354650449721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0.2270649332821929</v>
      </c>
      <c r="DH135" s="23">
        <f>EXP(-LN(2)/2)*DH134+(1-EXP(-LN(2)/2))/(LN(2)/2)*DB135*DE135*VLOOKUP('Données projet'!$B$13,Paramètres!$A$1:$I$89,3,0)*0.475*44/12</f>
        <v>7.6710286718719225E-15</v>
      </c>
      <c r="DI135" s="24">
        <f t="shared" si="123"/>
        <v>0.22706493328220057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-5.6843418860808015E-14</v>
      </c>
      <c r="DP135" s="18">
        <f>DO135*VLOOKUP('Données projet'!$B$14,Paramètres!$A$1:$I$89,3,0)*VLOOKUP('Données projet'!$B$14,Paramètres!$A$1:$I$89,5,0)</f>
        <v>-4.5224624045658861E-14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370.58277541710277</v>
      </c>
      <c r="DU135" s="62">
        <f t="shared" si="152"/>
        <v>404.61777090709171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240.22884864766218</v>
      </c>
      <c r="EP135" s="62">
        <f t="shared" si="154"/>
        <v>343.23776884143166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0.6087570000343675</v>
      </c>
      <c r="EX135" s="23">
        <f>EXP(-LN(2)/2)*EX134+(1-EXP(-LN(2)/2))/(LN(2)/2)*ER135*EU135*VLOOKUP('Données projet'!$B$15,Paramètres!$A$1:$I$89,3,0)*0.475*44/12</f>
        <v>7.3358296686118146E-15</v>
      </c>
      <c r="EY135" s="24">
        <f t="shared" si="129"/>
        <v>0.60875700003437483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-1.1368683772161603E-13</v>
      </c>
      <c r="FF135" s="18">
        <f>FE135*VLOOKUP('Données projet'!$B$16,Paramètres!$A$1:$I$89,3,0)*VLOOKUP('Données projet'!$B$16,Paramètres!$A$1:$I$89,5,0)</f>
        <v>-5.3205440053716299E-14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399.92909819003523</v>
      </c>
      <c r="FK135" s="62">
        <f t="shared" si="156"/>
        <v>163.7053537268381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-5.6843418860808015E-14</v>
      </c>
      <c r="GA135" s="18">
        <f>FZ135*VLOOKUP('Données projet'!$B$17,Paramètres!$A$1:$I$89,3,0)*VLOOKUP('Données projet'!$B$17,Paramètres!$A$1:$I$89,5,0)</f>
        <v>-4.1677594708744434E-14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344.4426665022238</v>
      </c>
      <c r="GF135" s="62">
        <f t="shared" si="158"/>
        <v>376.41441893222185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6.8212102632969618E-13</v>
      </c>
      <c r="GV135" s="18">
        <f>GU135*VLOOKUP('Données projet'!$B$18,Paramètres!$A$1:$I$89,3,0)*VLOOKUP('Données projet'!$B$18,Paramètres!$A$1:$I$89,5,0)</f>
        <v>3.2810021366458383E-13</v>
      </c>
      <c r="GW135" s="14">
        <f t="shared" si="159"/>
        <v>4.2923528923937213E-12</v>
      </c>
      <c r="GX135" s="22">
        <f t="shared" si="136"/>
        <v>8.0472891597182151E-12</v>
      </c>
      <c r="GY135" s="62">
        <f t="shared" si="137"/>
        <v>293.33333333334139</v>
      </c>
      <c r="GZ135" s="62">
        <f ca="1">AVERAGE(OFFSET($GY$3,0,0,'Données projet'!$E$18+1,1))-AVERAGE(OFFSET($H$3,0,0,'Données projet'!$E$18+1,1))</f>
        <v>441.17479680509746</v>
      </c>
      <c r="HA135" s="62">
        <f t="shared" si="160"/>
        <v>198.56576128410069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projet'!$B$9,Paramètres!$A$1:$I$89,3,0)*VLOOKUP('Données projet'!$B$9,Paramètres!$A$1:$I$89,5,0)</f>
        <v>-1.9065282685915009E-13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374.79806286316051</v>
      </c>
      <c r="T136" s="62">
        <f t="shared" si="142"/>
        <v>350.01856672839466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0.42438960972933554</v>
      </c>
      <c r="AB136" s="23">
        <f>EXP(-LN(2)/2)*AB135+(1-EXP(-LN(2)/2))/(LN(2)/2)*V136*Y136*VLOOKUP('Données projet'!$B$9,Paramètres!$A$1:$I$89,3,0)*0.475*44/12</f>
        <v>2.820653488059313E-15</v>
      </c>
      <c r="AC136" s="24">
        <f t="shared" si="111"/>
        <v>0.42438960972933837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-2.8421709430404007E-13</v>
      </c>
      <c r="AJ136" s="14">
        <f>AI136*VLOOKUP('Données projet'!$B$10,Paramètres!$A$1:$I$89,3,0)*VLOOKUP('Données projet'!$B$10,Paramètres!$A$1:$I$89,5,0)</f>
        <v>-2.4829205358400943E-13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401.89597032936751</v>
      </c>
      <c r="AO136" s="62">
        <f t="shared" si="144"/>
        <v>417.85733543972361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3</v>
      </c>
      <c r="BD136" s="13">
        <f>IF('Données projet'!$A$88&gt;35,BD135+BC136-BL135,IF(A136&lt;'Données projet'!$A$88,$BA$205^A136,IF(A136='Données projet'!$A$88,'Données projet'!$B$88,BD135+BC136-BL135)))</f>
        <v>291.99999999999932</v>
      </c>
      <c r="BE136" s="14">
        <f>BD136*VLOOKUP('Données projet'!$B$11,Paramètres!$A$1:$I$89,3,0)*VLOOKUP('Données projet'!$B$11,Paramètres!$A$1:$I$89,5,0)</f>
        <v>264.20159999999936</v>
      </c>
      <c r="BF136" s="14">
        <f t="shared" si="145"/>
        <v>63.617151975096597</v>
      </c>
      <c r="BG136" s="22">
        <f t="shared" si="115"/>
        <v>570.95099302329209</v>
      </c>
      <c r="BH136" s="62">
        <f t="shared" si="116"/>
        <v>864.28432635662534</v>
      </c>
      <c r="BI136" s="62">
        <f ca="1">AVERAGE(OFFSET($BH$3,0,0,'Données projet'!$E$11+1,1))-AVERAGE(OFFSET($H$3,0,0,'Données projet'!$E$11+1,1))</f>
        <v>430.40491895612814</v>
      </c>
      <c r="BJ136" s="62">
        <f t="shared" si="146"/>
        <v>231.36959598460686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-1.0818439477588981E-13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367.11183928586667</v>
      </c>
      <c r="CE136" s="62">
        <f t="shared" si="148"/>
        <v>281.52963027844595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-3.4106051316484809E-13</v>
      </c>
      <c r="CU136" s="18">
        <f>CT136*VLOOKUP('Données projet'!$B$13,Paramètres!$A$1:$I$89,3,0)*VLOOKUP('Données projet'!$B$13,Paramètres!$A$1:$I$89,5,0)</f>
        <v>-2.0395418687257919E-13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308.47522272937135</v>
      </c>
      <c r="CZ136" s="62">
        <f t="shared" si="150"/>
        <v>302.54354650449721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0.22085583074076545</v>
      </c>
      <c r="DH136" s="23">
        <f>EXP(-LN(2)/2)*DH135+(1-EXP(-LN(2)/2))/(LN(2)/2)*DB136*DE136*VLOOKUP('Données projet'!$B$13,Paramètres!$A$1:$I$89,3,0)*0.475*44/12</f>
        <v>5.4242363925570719E-15</v>
      </c>
      <c r="DI136" s="24">
        <f t="shared" si="123"/>
        <v>0.22085583074077086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-5.6843418860808015E-14</v>
      </c>
      <c r="DP136" s="18">
        <f>DO136*VLOOKUP('Données projet'!$B$14,Paramètres!$A$1:$I$89,3,0)*VLOOKUP('Données projet'!$B$14,Paramètres!$A$1:$I$89,5,0)</f>
        <v>-4.5224624045658861E-14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370.58277541710277</v>
      </c>
      <c r="DU136" s="62">
        <f t="shared" si="152"/>
        <v>404.61777090709171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240.22884864766218</v>
      </c>
      <c r="EP136" s="62">
        <f t="shared" si="154"/>
        <v>343.23776884143166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0.5921105078552884</v>
      </c>
      <c r="EX136" s="23">
        <f>EXP(-LN(2)/2)*EX135+(1-EXP(-LN(2)/2))/(LN(2)/2)*ER136*EU136*VLOOKUP('Données projet'!$B$15,Paramètres!$A$1:$I$89,3,0)*0.475*44/12</f>
        <v>5.1872149043048779E-15</v>
      </c>
      <c r="EY136" s="24">
        <f t="shared" si="129"/>
        <v>0.59211050785529362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-1.1368683772161603E-13</v>
      </c>
      <c r="FF136" s="18">
        <f>FE136*VLOOKUP('Données projet'!$B$16,Paramètres!$A$1:$I$89,3,0)*VLOOKUP('Données projet'!$B$16,Paramètres!$A$1:$I$89,5,0)</f>
        <v>-5.3205440053716299E-14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399.92909819003523</v>
      </c>
      <c r="FK136" s="62">
        <f t="shared" si="156"/>
        <v>163.7053537268381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-5.6843418860808015E-14</v>
      </c>
      <c r="GA136" s="18">
        <f>FZ136*VLOOKUP('Données projet'!$B$17,Paramètres!$A$1:$I$89,3,0)*VLOOKUP('Données projet'!$B$17,Paramètres!$A$1:$I$89,5,0)</f>
        <v>-4.1677594708744434E-14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344.4426665022238</v>
      </c>
      <c r="GF136" s="62">
        <f t="shared" si="158"/>
        <v>376.41441893222185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6.8212102632969618E-13</v>
      </c>
      <c r="GV136" s="18">
        <f>GU136*VLOOKUP('Données projet'!$B$18,Paramètres!$A$1:$I$89,3,0)*VLOOKUP('Données projet'!$B$18,Paramètres!$A$1:$I$89,5,0)</f>
        <v>3.2810021366458383E-13</v>
      </c>
      <c r="GW136" s="14">
        <f t="shared" si="159"/>
        <v>4.2923528923937213E-12</v>
      </c>
      <c r="GX136" s="22">
        <f t="shared" si="136"/>
        <v>8.0472891597182151E-12</v>
      </c>
      <c r="GY136" s="62">
        <f t="shared" si="137"/>
        <v>293.33333333334139</v>
      </c>
      <c r="GZ136" s="62">
        <f ca="1">AVERAGE(OFFSET($GY$3,0,0,'Données projet'!$E$18+1,1))-AVERAGE(OFFSET($H$3,0,0,'Données projet'!$E$18+1,1))</f>
        <v>441.17479680509746</v>
      </c>
      <c r="HA136" s="62">
        <f t="shared" si="160"/>
        <v>198.56576128410069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projet'!$B$9,Paramètres!$A$1:$I$89,3,0)*VLOOKUP('Données projet'!$B$9,Paramètres!$A$1:$I$89,5,0)</f>
        <v>-1.9065282685915009E-13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374.79806286316051</v>
      </c>
      <c r="T137" s="62">
        <f t="shared" si="142"/>
        <v>350.01856672839466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0.41278465353360722</v>
      </c>
      <c r="AB137" s="23">
        <f>EXP(-LN(2)/2)*AB136+(1-EXP(-LN(2)/2))/(LN(2)/2)*V137*Y137*VLOOKUP('Données projet'!$B$9,Paramètres!$A$1:$I$89,3,0)*0.475*44/12</f>
        <v>1.9945032087842287E-15</v>
      </c>
      <c r="AC137" s="24">
        <f t="shared" si="111"/>
        <v>0.41278465353360921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-2.8421709430404007E-13</v>
      </c>
      <c r="AJ137" s="14">
        <f>AI137*VLOOKUP('Données projet'!$B$10,Paramètres!$A$1:$I$89,3,0)*VLOOKUP('Données projet'!$B$10,Paramètres!$A$1:$I$89,5,0)</f>
        <v>-2.4829205358400943E-13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401.89597032936751</v>
      </c>
      <c r="AO137" s="62">
        <f t="shared" si="144"/>
        <v>417.85733543972361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3</v>
      </c>
      <c r="BD137" s="13">
        <f>IF('Données projet'!$A$88&gt;35,BD136+BC137-BL136,IF(A137&lt;'Données projet'!$A$88,$BA$205^A137,IF(A137='Données projet'!$A$88,'Données projet'!$B$88,BD136+BC137-BL136)))</f>
        <v>294.99999999999932</v>
      </c>
      <c r="BE137" s="14">
        <f>BD137*VLOOKUP('Données projet'!$B$11,Paramètres!$A$1:$I$89,3,0)*VLOOKUP('Données projet'!$B$11,Paramètres!$A$1:$I$89,5,0)</f>
        <v>266.91599999999937</v>
      </c>
      <c r="BF137" s="14">
        <f t="shared" si="145"/>
        <v>64.194329696332005</v>
      </c>
      <c r="BG137" s="22">
        <f t="shared" si="115"/>
        <v>576.68382422111051</v>
      </c>
      <c r="BH137" s="62">
        <f t="shared" si="116"/>
        <v>870.01715755444388</v>
      </c>
      <c r="BI137" s="62">
        <f ca="1">AVERAGE(OFFSET($BH$3,0,0,'Données projet'!$E$11+1,1))-AVERAGE(OFFSET($H$3,0,0,'Données projet'!$E$11+1,1))</f>
        <v>430.40491895612814</v>
      </c>
      <c r="BJ137" s="62">
        <f t="shared" si="146"/>
        <v>231.36959598460686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-1.0818439477588981E-13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367.11183928586667</v>
      </c>
      <c r="CE137" s="62">
        <f t="shared" si="148"/>
        <v>281.52963027844595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-3.4106051316484809E-13</v>
      </c>
      <c r="CU137" s="18">
        <f>CT137*VLOOKUP('Données projet'!$B$13,Paramètres!$A$1:$I$89,3,0)*VLOOKUP('Données projet'!$B$13,Paramètres!$A$1:$I$89,5,0)</f>
        <v>-2.0395418687257919E-13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308.47522272937135</v>
      </c>
      <c r="CZ137" s="62">
        <f t="shared" si="150"/>
        <v>302.54354650449721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0.21481651643485586</v>
      </c>
      <c r="DH137" s="23">
        <f>EXP(-LN(2)/2)*DH136+(1-EXP(-LN(2)/2))/(LN(2)/2)*DB137*DE137*VLOOKUP('Données projet'!$B$13,Paramètres!$A$1:$I$89,3,0)*0.475*44/12</f>
        <v>3.8355143359359613E-15</v>
      </c>
      <c r="DI137" s="24">
        <f t="shared" si="123"/>
        <v>0.21481651643485969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-5.6843418860808015E-14</v>
      </c>
      <c r="DP137" s="18">
        <f>DO137*VLOOKUP('Données projet'!$B$14,Paramètres!$A$1:$I$89,3,0)*VLOOKUP('Données projet'!$B$14,Paramètres!$A$1:$I$89,5,0)</f>
        <v>-4.5224624045658861E-14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370.58277541710277</v>
      </c>
      <c r="DU137" s="62">
        <f t="shared" si="152"/>
        <v>404.61777090709171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240.22884864766218</v>
      </c>
      <c r="EP137" s="62">
        <f t="shared" si="154"/>
        <v>343.23776884143166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0.57591921488024722</v>
      </c>
      <c r="EX137" s="23">
        <f>EXP(-LN(2)/2)*EX136+(1-EXP(-LN(2)/2))/(LN(2)/2)*ER137*EU137*VLOOKUP('Données projet'!$B$15,Paramètres!$A$1:$I$89,3,0)*0.475*44/12</f>
        <v>3.6679148343059073E-15</v>
      </c>
      <c r="EY137" s="24">
        <f t="shared" si="129"/>
        <v>0.57591921488025088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-1.1368683772161603E-13</v>
      </c>
      <c r="FF137" s="18">
        <f>FE137*VLOOKUP('Données projet'!$B$16,Paramètres!$A$1:$I$89,3,0)*VLOOKUP('Données projet'!$B$16,Paramètres!$A$1:$I$89,5,0)</f>
        <v>-5.3205440053716299E-14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399.92909819003523</v>
      </c>
      <c r="FK137" s="62">
        <f t="shared" si="156"/>
        <v>163.7053537268381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-5.6843418860808015E-14</v>
      </c>
      <c r="GA137" s="18">
        <f>FZ137*VLOOKUP('Données projet'!$B$17,Paramètres!$A$1:$I$89,3,0)*VLOOKUP('Données projet'!$B$17,Paramètres!$A$1:$I$89,5,0)</f>
        <v>-4.1677594708744434E-14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344.4426665022238</v>
      </c>
      <c r="GF137" s="62">
        <f t="shared" si="158"/>
        <v>376.41441893222185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6.8212102632969618E-13</v>
      </c>
      <c r="GV137" s="18">
        <f>GU137*VLOOKUP('Données projet'!$B$18,Paramètres!$A$1:$I$89,3,0)*VLOOKUP('Données projet'!$B$18,Paramètres!$A$1:$I$89,5,0)</f>
        <v>3.2810021366458383E-13</v>
      </c>
      <c r="GW137" s="14">
        <f t="shared" si="159"/>
        <v>4.2923528923937213E-12</v>
      </c>
      <c r="GX137" s="22">
        <f t="shared" si="136"/>
        <v>8.0472891597182151E-12</v>
      </c>
      <c r="GY137" s="62">
        <f t="shared" si="137"/>
        <v>293.33333333334139</v>
      </c>
      <c r="GZ137" s="62">
        <f ca="1">AVERAGE(OFFSET($GY$3,0,0,'Données projet'!$E$18+1,1))-AVERAGE(OFFSET($H$3,0,0,'Données projet'!$E$18+1,1))</f>
        <v>441.17479680509746</v>
      </c>
      <c r="HA137" s="62">
        <f t="shared" si="160"/>
        <v>198.56576128410069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projet'!$B$9,Paramètres!$A$1:$I$89,3,0)*VLOOKUP('Données projet'!$B$9,Paramètres!$A$1:$I$89,5,0)</f>
        <v>-1.9065282685915009E-13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374.79806286316051</v>
      </c>
      <c r="T138" s="62">
        <f t="shared" si="142"/>
        <v>350.01856672839466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0.40149703547532922</v>
      </c>
      <c r="AB138" s="23">
        <f>EXP(-LN(2)/2)*AB137+(1-EXP(-LN(2)/2))/(LN(2)/2)*V138*Y138*VLOOKUP('Données projet'!$B$9,Paramètres!$A$1:$I$89,3,0)*0.475*44/12</f>
        <v>1.4103267440296565E-15</v>
      </c>
      <c r="AC138" s="24">
        <f t="shared" si="111"/>
        <v>0.40149703547533061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-2.8421709430404007E-13</v>
      </c>
      <c r="AJ138" s="14">
        <f>AI138*VLOOKUP('Données projet'!$B$10,Paramètres!$A$1:$I$89,3,0)*VLOOKUP('Données projet'!$B$10,Paramètres!$A$1:$I$89,5,0)</f>
        <v>-2.4829205358400943E-13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401.89597032936751</v>
      </c>
      <c r="AO138" s="62">
        <f t="shared" si="144"/>
        <v>417.85733543972361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298</v>
      </c>
      <c r="BB138" s="13">
        <f>VLOOKUP(A138,'Données projet'!$A$87:$I$107,9,0)</f>
        <v>3</v>
      </c>
      <c r="BC138" s="13">
        <f t="array" ref="BC138">INDEX(BB:BB,MIN(IF(ISNUMBER(BB138:BB334),ROW(BB138:BB334),"")))</f>
        <v>3</v>
      </c>
      <c r="BD138" s="13">
        <f>IF('Données projet'!$A$88&gt;35,BD137+BC138-BL137,IF(A138&lt;'Données projet'!$A$88,$BA$205^A138,IF(A138='Données projet'!$A$88,'Données projet'!$B$88,BD137+BC138-BL137)))</f>
        <v>297.99999999999932</v>
      </c>
      <c r="BE138" s="14">
        <f>BD138*VLOOKUP('Données projet'!$B$11,Paramètres!$A$1:$I$89,3,0)*VLOOKUP('Données projet'!$B$11,Paramètres!$A$1:$I$89,5,0)</f>
        <v>269.63039999999938</v>
      </c>
      <c r="BF138" s="14">
        <f t="shared" si="145"/>
        <v>64.770824587435968</v>
      </c>
      <c r="BG138" s="22">
        <f t="shared" si="115"/>
        <v>582.41546615644995</v>
      </c>
      <c r="BH138" s="62">
        <f t="shared" si="116"/>
        <v>875.74879948978332</v>
      </c>
      <c r="BI138" s="62">
        <f ca="1">AVERAGE(OFFSET($BH$3,0,0,'Données projet'!$E$11+1,1))-AVERAGE(OFFSET($H$3,0,0,'Données projet'!$E$11+1,1))</f>
        <v>430.40491895612814</v>
      </c>
      <c r="BJ138" s="62">
        <f t="shared" si="146"/>
        <v>231.36959598460686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29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-1.0818439477588981E-13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367.11183928586667</v>
      </c>
      <c r="CE138" s="62">
        <f t="shared" si="148"/>
        <v>281.52963027844595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-3.4106051316484809E-13</v>
      </c>
      <c r="CU138" s="18">
        <f>CT138*VLOOKUP('Données projet'!$B$13,Paramètres!$A$1:$I$89,3,0)*VLOOKUP('Données projet'!$B$13,Paramètres!$A$1:$I$89,5,0)</f>
        <v>-2.0395418687257919E-13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308.47522272937135</v>
      </c>
      <c r="CZ138" s="62">
        <f t="shared" si="150"/>
        <v>302.54354650449721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0.20894234749623511</v>
      </c>
      <c r="DH138" s="23">
        <f>EXP(-LN(2)/2)*DH137+(1-EXP(-LN(2)/2))/(LN(2)/2)*DB138*DE138*VLOOKUP('Données projet'!$B$13,Paramètres!$A$1:$I$89,3,0)*0.475*44/12</f>
        <v>2.712118196278536E-15</v>
      </c>
      <c r="DI138" s="24">
        <f t="shared" si="123"/>
        <v>0.20894234749623783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-5.6843418860808015E-14</v>
      </c>
      <c r="DP138" s="18">
        <f>DO138*VLOOKUP('Données projet'!$B$14,Paramètres!$A$1:$I$89,3,0)*VLOOKUP('Données projet'!$B$14,Paramètres!$A$1:$I$89,5,0)</f>
        <v>-4.5224624045658861E-14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370.58277541710277</v>
      </c>
      <c r="DU138" s="62">
        <f t="shared" si="152"/>
        <v>404.61777090709171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240.22884864766218</v>
      </c>
      <c r="EP138" s="62">
        <f t="shared" si="154"/>
        <v>343.23776884143166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0.56017067366307161</v>
      </c>
      <c r="EX138" s="23">
        <f>EXP(-LN(2)/2)*EX137+(1-EXP(-LN(2)/2))/(LN(2)/2)*ER138*EU138*VLOOKUP('Données projet'!$B$15,Paramètres!$A$1:$I$89,3,0)*0.475*44/12</f>
        <v>2.5936074521524389E-15</v>
      </c>
      <c r="EY138" s="24">
        <f t="shared" si="129"/>
        <v>0.56017067366307416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-1.1368683772161603E-13</v>
      </c>
      <c r="FF138" s="18">
        <f>FE138*VLOOKUP('Données projet'!$B$16,Paramètres!$A$1:$I$89,3,0)*VLOOKUP('Données projet'!$B$16,Paramètres!$A$1:$I$89,5,0)</f>
        <v>-5.3205440053716299E-14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399.92909819003523</v>
      </c>
      <c r="FK138" s="62">
        <f t="shared" si="156"/>
        <v>163.7053537268381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-5.6843418860808015E-14</v>
      </c>
      <c r="GA138" s="18">
        <f>FZ138*VLOOKUP('Données projet'!$B$17,Paramètres!$A$1:$I$89,3,0)*VLOOKUP('Données projet'!$B$17,Paramètres!$A$1:$I$89,5,0)</f>
        <v>-4.1677594708744434E-14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344.4426665022238</v>
      </c>
      <c r="GF138" s="62">
        <f t="shared" si="158"/>
        <v>376.41441893222185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6.8212102632969618E-13</v>
      </c>
      <c r="GV138" s="18">
        <f>GU138*VLOOKUP('Données projet'!$B$18,Paramètres!$A$1:$I$89,3,0)*VLOOKUP('Données projet'!$B$18,Paramètres!$A$1:$I$89,5,0)</f>
        <v>3.2810021366458383E-13</v>
      </c>
      <c r="GW138" s="14">
        <f t="shared" si="159"/>
        <v>4.2923528923937213E-12</v>
      </c>
      <c r="GX138" s="22">
        <f t="shared" si="136"/>
        <v>8.0472891597182151E-12</v>
      </c>
      <c r="GY138" s="62">
        <f t="shared" si="137"/>
        <v>293.33333333334139</v>
      </c>
      <c r="GZ138" s="62">
        <f ca="1">AVERAGE(OFFSET($GY$3,0,0,'Données projet'!$E$18+1,1))-AVERAGE(OFFSET($H$3,0,0,'Données projet'!$E$18+1,1))</f>
        <v>441.17479680509746</v>
      </c>
      <c r="HA138" s="62">
        <f t="shared" si="160"/>
        <v>198.56576128410069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projet'!$B$9,Paramètres!$A$1:$I$89,3,0)*VLOOKUP('Données projet'!$B$9,Paramètres!$A$1:$I$89,5,0)</f>
        <v>-1.9065282685915009E-13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374.79806286316051</v>
      </c>
      <c r="T139" s="62">
        <f t="shared" si="142"/>
        <v>350.01856672839466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0.39051807792644488</v>
      </c>
      <c r="AB139" s="23">
        <f>EXP(-LN(2)/2)*AB138+(1-EXP(-LN(2)/2))/(LN(2)/2)*V139*Y139*VLOOKUP('Données projet'!$B$9,Paramètres!$A$1:$I$89,3,0)*0.475*44/12</f>
        <v>9.9725160439211433E-16</v>
      </c>
      <c r="AC139" s="24">
        <f t="shared" si="111"/>
        <v>0.39051807792644588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-2.8421709430404007E-13</v>
      </c>
      <c r="AJ139" s="14">
        <f>AI139*VLOOKUP('Données projet'!$B$10,Paramètres!$A$1:$I$89,3,0)*VLOOKUP('Données projet'!$B$10,Paramètres!$A$1:$I$89,5,0)</f>
        <v>-2.4829205358400943E-13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401.89597032936751</v>
      </c>
      <c r="AO139" s="62">
        <f t="shared" si="144"/>
        <v>417.85733543972361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2.6</v>
      </c>
      <c r="BD139" s="13">
        <f>IF('Données projet'!$A$88&gt;35,BD138+BC139-BL138,IF(A139&lt;'Données projet'!$A$88,$BA$205^A139,IF(A139='Données projet'!$A$88,'Données projet'!$B$88,BD138+BC139-BL138)))</f>
        <v>271.59999999999934</v>
      </c>
      <c r="BE139" s="14">
        <f>BD139*VLOOKUP('Données projet'!$B$11,Paramètres!$A$1:$I$89,3,0)*VLOOKUP('Données projet'!$B$11,Paramètres!$A$1:$I$89,5,0)</f>
        <v>245.74367999999939</v>
      </c>
      <c r="BF139" s="14">
        <f t="shared" si="145"/>
        <v>59.673605104126288</v>
      </c>
      <c r="BG139" s="22">
        <f t="shared" si="115"/>
        <v>531.93510488968548</v>
      </c>
      <c r="BH139" s="62">
        <f t="shared" si="116"/>
        <v>825.26843822301885</v>
      </c>
      <c r="BI139" s="62">
        <f ca="1">AVERAGE(OFFSET($BH$3,0,0,'Données projet'!$E$11+1,1))-AVERAGE(OFFSET($H$3,0,0,'Données projet'!$E$11+1,1))</f>
        <v>430.40491895612814</v>
      </c>
      <c r="BJ139" s="62">
        <f t="shared" si="146"/>
        <v>231.36959598460686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-1.0818439477588981E-13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367.11183928586667</v>
      </c>
      <c r="CE139" s="62">
        <f t="shared" si="148"/>
        <v>281.52963027844595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-3.4106051316484809E-13</v>
      </c>
      <c r="CU139" s="18">
        <f>CT139*VLOOKUP('Données projet'!$B$13,Paramètres!$A$1:$I$89,3,0)*VLOOKUP('Données projet'!$B$13,Paramètres!$A$1:$I$89,5,0)</f>
        <v>-2.0395418687257919E-13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308.47522272937135</v>
      </c>
      <c r="CZ139" s="62">
        <f t="shared" si="150"/>
        <v>302.54354650449721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0.20322880801615004</v>
      </c>
      <c r="DH139" s="23">
        <f>EXP(-LN(2)/2)*DH138+(1-EXP(-LN(2)/2))/(LN(2)/2)*DB139*DE139*VLOOKUP('Données projet'!$B$13,Paramètres!$A$1:$I$89,3,0)*0.475*44/12</f>
        <v>1.9177571679679806E-15</v>
      </c>
      <c r="DI139" s="24">
        <f t="shared" si="123"/>
        <v>0.20322880801615195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-5.6843418860808015E-14</v>
      </c>
      <c r="DP139" s="18">
        <f>DO139*VLOOKUP('Données projet'!$B$14,Paramètres!$A$1:$I$89,3,0)*VLOOKUP('Données projet'!$B$14,Paramètres!$A$1:$I$89,5,0)</f>
        <v>-4.5224624045658861E-14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370.58277541710277</v>
      </c>
      <c r="DU139" s="62">
        <f t="shared" si="152"/>
        <v>404.61777090709171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240.22884864766218</v>
      </c>
      <c r="EP139" s="62">
        <f t="shared" si="154"/>
        <v>343.23776884143166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0.54485277713365943</v>
      </c>
      <c r="EX139" s="23">
        <f>EXP(-LN(2)/2)*EX138+(1-EXP(-LN(2)/2))/(LN(2)/2)*ER139*EU139*VLOOKUP('Données projet'!$B$15,Paramètres!$A$1:$I$89,3,0)*0.475*44/12</f>
        <v>1.8339574171529537E-15</v>
      </c>
      <c r="EY139" s="24">
        <f t="shared" si="129"/>
        <v>0.54485277713366131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-1.1368683772161603E-13</v>
      </c>
      <c r="FF139" s="18">
        <f>FE139*VLOOKUP('Données projet'!$B$16,Paramètres!$A$1:$I$89,3,0)*VLOOKUP('Données projet'!$B$16,Paramètres!$A$1:$I$89,5,0)</f>
        <v>-5.3205440053716299E-14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399.92909819003523</v>
      </c>
      <c r="FK139" s="62">
        <f t="shared" si="156"/>
        <v>163.7053537268381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-5.6843418860808015E-14</v>
      </c>
      <c r="GA139" s="18">
        <f>FZ139*VLOOKUP('Données projet'!$B$17,Paramètres!$A$1:$I$89,3,0)*VLOOKUP('Données projet'!$B$17,Paramètres!$A$1:$I$89,5,0)</f>
        <v>-4.1677594708744434E-14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344.4426665022238</v>
      </c>
      <c r="GF139" s="62">
        <f t="shared" si="158"/>
        <v>376.41441893222185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6.8212102632969618E-13</v>
      </c>
      <c r="GV139" s="18">
        <f>GU139*VLOOKUP('Données projet'!$B$18,Paramètres!$A$1:$I$89,3,0)*VLOOKUP('Données projet'!$B$18,Paramètres!$A$1:$I$89,5,0)</f>
        <v>3.2810021366458383E-13</v>
      </c>
      <c r="GW139" s="14">
        <f t="shared" si="159"/>
        <v>4.2923528923937213E-12</v>
      </c>
      <c r="GX139" s="22">
        <f t="shared" si="136"/>
        <v>8.0472891597182151E-12</v>
      </c>
      <c r="GY139" s="62">
        <f t="shared" si="137"/>
        <v>293.33333333334139</v>
      </c>
      <c r="GZ139" s="62">
        <f ca="1">AVERAGE(OFFSET($GY$3,0,0,'Données projet'!$E$18+1,1))-AVERAGE(OFFSET($H$3,0,0,'Données projet'!$E$18+1,1))</f>
        <v>441.17479680509746</v>
      </c>
      <c r="HA139" s="62">
        <f t="shared" si="160"/>
        <v>198.56576128410069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projet'!$B$9,Paramètres!$A$1:$I$89,3,0)*VLOOKUP('Données projet'!$B$9,Paramètres!$A$1:$I$89,5,0)</f>
        <v>-1.9065282685915009E-13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374.79806286316051</v>
      </c>
      <c r="T140" s="62">
        <f t="shared" si="142"/>
        <v>350.01856672839466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0.37983934054909307</v>
      </c>
      <c r="AB140" s="23">
        <f>EXP(-LN(2)/2)*AB139+(1-EXP(-LN(2)/2))/(LN(2)/2)*V140*Y140*VLOOKUP('Données projet'!$B$9,Paramètres!$A$1:$I$89,3,0)*0.475*44/12</f>
        <v>7.0516337201482825E-16</v>
      </c>
      <c r="AC140" s="24">
        <f t="shared" si="111"/>
        <v>0.3798393405490938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-2.8421709430404007E-13</v>
      </c>
      <c r="AJ140" s="14">
        <f>AI140*VLOOKUP('Données projet'!$B$10,Paramètres!$A$1:$I$89,3,0)*VLOOKUP('Données projet'!$B$10,Paramètres!$A$1:$I$89,5,0)</f>
        <v>-2.4829205358400943E-13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401.89597032936751</v>
      </c>
      <c r="AO140" s="62">
        <f t="shared" si="144"/>
        <v>417.85733543972361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2.6</v>
      </c>
      <c r="BD140" s="13">
        <f>IF('Données projet'!$A$88&gt;35,BD139+BC140-BL139,IF(A140&lt;'Données projet'!$A$88,$BA$205^A140,IF(A140='Données projet'!$A$88,'Données projet'!$B$88,BD139+BC140-BL139)))</f>
        <v>274.19999999999936</v>
      </c>
      <c r="BE140" s="14">
        <f>BD140*VLOOKUP('Données projet'!$B$11,Paramètres!$A$1:$I$89,3,0)*VLOOKUP('Données projet'!$B$11,Paramètres!$A$1:$I$89,5,0)</f>
        <v>248.09615999999943</v>
      </c>
      <c r="BF140" s="14">
        <f t="shared" si="145"/>
        <v>60.178080967364579</v>
      </c>
      <c r="BG140" s="22">
        <f t="shared" si="115"/>
        <v>536.91096968482555</v>
      </c>
      <c r="BH140" s="62">
        <f t="shared" si="116"/>
        <v>830.24430301815892</v>
      </c>
      <c r="BI140" s="62">
        <f ca="1">AVERAGE(OFFSET($BH$3,0,0,'Données projet'!$E$11+1,1))-AVERAGE(OFFSET($H$3,0,0,'Données projet'!$E$11+1,1))</f>
        <v>430.40491895612814</v>
      </c>
      <c r="BJ140" s="62">
        <f t="shared" si="146"/>
        <v>231.36959598460686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-1.0818439477588981E-13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367.11183928586667</v>
      </c>
      <c r="CE140" s="62">
        <f t="shared" si="148"/>
        <v>281.52963027844595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-3.4106051316484809E-13</v>
      </c>
      <c r="CU140" s="18">
        <f>CT140*VLOOKUP('Données projet'!$B$13,Paramètres!$A$1:$I$89,3,0)*VLOOKUP('Données projet'!$B$13,Paramètres!$A$1:$I$89,5,0)</f>
        <v>-2.0395418687257919E-13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308.47522272937135</v>
      </c>
      <c r="CZ140" s="62">
        <f t="shared" si="150"/>
        <v>302.54354650449721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0.19767150557360988</v>
      </c>
      <c r="DH140" s="23">
        <f>EXP(-LN(2)/2)*DH139+(1-EXP(-LN(2)/2))/(LN(2)/2)*DB140*DE140*VLOOKUP('Données projet'!$B$13,Paramètres!$A$1:$I$89,3,0)*0.475*44/12</f>
        <v>1.356059098139268E-15</v>
      </c>
      <c r="DI140" s="24">
        <f t="shared" si="123"/>
        <v>0.19767150557361124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-5.6843418860808015E-14</v>
      </c>
      <c r="DP140" s="18">
        <f>DO140*VLOOKUP('Données projet'!$B$14,Paramètres!$A$1:$I$89,3,0)*VLOOKUP('Données projet'!$B$14,Paramètres!$A$1:$I$89,5,0)</f>
        <v>-4.5224624045658861E-14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370.58277541710277</v>
      </c>
      <c r="DU140" s="62">
        <f t="shared" si="152"/>
        <v>404.61777090709171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240.22884864766218</v>
      </c>
      <c r="EP140" s="62">
        <f t="shared" si="154"/>
        <v>343.23776884143166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0.5299537492903772</v>
      </c>
      <c r="EX140" s="23">
        <f>EXP(-LN(2)/2)*EX139+(1-EXP(-LN(2)/2))/(LN(2)/2)*ER140*EU140*VLOOKUP('Données projet'!$B$15,Paramètres!$A$1:$I$89,3,0)*0.475*44/12</f>
        <v>1.2968037260762195E-15</v>
      </c>
      <c r="EY140" s="24">
        <f t="shared" si="129"/>
        <v>0.52995374929037853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-1.1368683772161603E-13</v>
      </c>
      <c r="FF140" s="18">
        <f>FE140*VLOOKUP('Données projet'!$B$16,Paramètres!$A$1:$I$89,3,0)*VLOOKUP('Données projet'!$B$16,Paramètres!$A$1:$I$89,5,0)</f>
        <v>-5.3205440053716299E-14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399.92909819003523</v>
      </c>
      <c r="FK140" s="62">
        <f t="shared" si="156"/>
        <v>163.7053537268381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-5.6843418860808015E-14</v>
      </c>
      <c r="GA140" s="18">
        <f>FZ140*VLOOKUP('Données projet'!$B$17,Paramètres!$A$1:$I$89,3,0)*VLOOKUP('Données projet'!$B$17,Paramètres!$A$1:$I$89,5,0)</f>
        <v>-4.1677594708744434E-14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344.4426665022238</v>
      </c>
      <c r="GF140" s="62">
        <f t="shared" si="158"/>
        <v>376.41441893222185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6.8212102632969618E-13</v>
      </c>
      <c r="GV140" s="18">
        <f>GU140*VLOOKUP('Données projet'!$B$18,Paramètres!$A$1:$I$89,3,0)*VLOOKUP('Données projet'!$B$18,Paramètres!$A$1:$I$89,5,0)</f>
        <v>3.2810021366458383E-13</v>
      </c>
      <c r="GW140" s="14">
        <f t="shared" si="159"/>
        <v>4.2923528923937213E-12</v>
      </c>
      <c r="GX140" s="22">
        <f t="shared" si="136"/>
        <v>8.0472891597182151E-12</v>
      </c>
      <c r="GY140" s="62">
        <f t="shared" si="137"/>
        <v>293.33333333334139</v>
      </c>
      <c r="GZ140" s="62">
        <f ca="1">AVERAGE(OFFSET($GY$3,0,0,'Données projet'!$E$18+1,1))-AVERAGE(OFFSET($H$3,0,0,'Données projet'!$E$18+1,1))</f>
        <v>441.17479680509746</v>
      </c>
      <c r="HA140" s="62">
        <f t="shared" si="160"/>
        <v>198.56576128410069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projet'!$B$9,Paramètres!$A$1:$I$89,3,0)*VLOOKUP('Données projet'!$B$9,Paramètres!$A$1:$I$89,5,0)</f>
        <v>-1.9065282685915009E-13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374.79806286316051</v>
      </c>
      <c r="T141" s="62">
        <f t="shared" si="142"/>
        <v>350.01856672839466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0.36945261380689531</v>
      </c>
      <c r="AB141" s="23">
        <f>EXP(-LN(2)/2)*AB140+(1-EXP(-LN(2)/2))/(LN(2)/2)*V141*Y141*VLOOKUP('Données projet'!$B$9,Paramètres!$A$1:$I$89,3,0)*0.475*44/12</f>
        <v>4.9862580219605716E-16</v>
      </c>
      <c r="AC141" s="24">
        <f t="shared" si="111"/>
        <v>0.36945261380689581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-2.8421709430404007E-13</v>
      </c>
      <c r="AJ141" s="14">
        <f>AI141*VLOOKUP('Données projet'!$B$10,Paramètres!$A$1:$I$89,3,0)*VLOOKUP('Données projet'!$B$10,Paramètres!$A$1:$I$89,5,0)</f>
        <v>-2.4829205358400943E-13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401.89597032936751</v>
      </c>
      <c r="AO141" s="62">
        <f t="shared" si="144"/>
        <v>417.85733543972361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2.6</v>
      </c>
      <c r="BD141" s="13">
        <f>IF('Données projet'!$A$88&gt;35,BD140+BC141-BL140,IF(A141&lt;'Données projet'!$A$88,$BA$205^A141,IF(A141='Données projet'!$A$88,'Données projet'!$B$88,BD140+BC141-BL140)))</f>
        <v>276.79999999999939</v>
      </c>
      <c r="BE141" s="14">
        <f>BD141*VLOOKUP('Données projet'!$B$11,Paramètres!$A$1:$I$89,3,0)*VLOOKUP('Données projet'!$B$11,Paramètres!$A$1:$I$89,5,0)</f>
        <v>250.44863999999944</v>
      </c>
      <c r="BF141" s="14">
        <f t="shared" si="145"/>
        <v>60.682000328889892</v>
      </c>
      <c r="BG141" s="22">
        <f t="shared" si="115"/>
        <v>541.88586523948231</v>
      </c>
      <c r="BH141" s="62">
        <f t="shared" si="116"/>
        <v>835.21919857281569</v>
      </c>
      <c r="BI141" s="62">
        <f ca="1">AVERAGE(OFFSET($BH$3,0,0,'Données projet'!$E$11+1,1))-AVERAGE(OFFSET($H$3,0,0,'Données projet'!$E$11+1,1))</f>
        <v>430.40491895612814</v>
      </c>
      <c r="BJ141" s="62">
        <f t="shared" si="146"/>
        <v>231.36959598460686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-1.0818439477588981E-13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367.11183928586667</v>
      </c>
      <c r="CE141" s="62">
        <f t="shared" si="148"/>
        <v>281.52963027844595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-3.4106051316484809E-13</v>
      </c>
      <c r="CU141" s="18">
        <f>CT141*VLOOKUP('Données projet'!$B$13,Paramètres!$A$1:$I$89,3,0)*VLOOKUP('Données projet'!$B$13,Paramètres!$A$1:$I$89,5,0)</f>
        <v>-2.0395418687257919E-13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308.47522272937135</v>
      </c>
      <c r="CZ141" s="62">
        <f t="shared" si="150"/>
        <v>302.54354650449721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0.19226616785860681</v>
      </c>
      <c r="DH141" s="23">
        <f>EXP(-LN(2)/2)*DH140+(1-EXP(-LN(2)/2))/(LN(2)/2)*DB141*DE141*VLOOKUP('Données projet'!$B$13,Paramètres!$A$1:$I$89,3,0)*0.475*44/12</f>
        <v>9.5887858398399032E-16</v>
      </c>
      <c r="DI141" s="24">
        <f t="shared" si="123"/>
        <v>0.19226616785860778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-5.6843418860808015E-14</v>
      </c>
      <c r="DP141" s="18">
        <f>DO141*VLOOKUP('Données projet'!$B$14,Paramètres!$A$1:$I$89,3,0)*VLOOKUP('Données projet'!$B$14,Paramètres!$A$1:$I$89,5,0)</f>
        <v>-4.5224624045658861E-14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370.58277541710277</v>
      </c>
      <c r="DU141" s="62">
        <f t="shared" si="152"/>
        <v>404.61777090709171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240.22884864766218</v>
      </c>
      <c r="EP141" s="62">
        <f t="shared" si="154"/>
        <v>343.23776884143166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0.51546213614697534</v>
      </c>
      <c r="EX141" s="23">
        <f>EXP(-LN(2)/2)*EX140+(1-EXP(-LN(2)/2))/(LN(2)/2)*ER141*EU141*VLOOKUP('Données projet'!$B$15,Paramètres!$A$1:$I$89,3,0)*0.475*44/12</f>
        <v>9.1697870857647683E-16</v>
      </c>
      <c r="EY141" s="24">
        <f t="shared" si="129"/>
        <v>0.51546213614697622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-1.1368683772161603E-13</v>
      </c>
      <c r="FF141" s="18">
        <f>FE141*VLOOKUP('Données projet'!$B$16,Paramètres!$A$1:$I$89,3,0)*VLOOKUP('Données projet'!$B$16,Paramètres!$A$1:$I$89,5,0)</f>
        <v>-5.3205440053716299E-14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399.92909819003523</v>
      </c>
      <c r="FK141" s="62">
        <f t="shared" si="156"/>
        <v>163.7053537268381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-5.6843418860808015E-14</v>
      </c>
      <c r="GA141" s="18">
        <f>FZ141*VLOOKUP('Données projet'!$B$17,Paramètres!$A$1:$I$89,3,0)*VLOOKUP('Données projet'!$B$17,Paramètres!$A$1:$I$89,5,0)</f>
        <v>-4.1677594708744434E-14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344.4426665022238</v>
      </c>
      <c r="GF141" s="62">
        <f t="shared" si="158"/>
        <v>376.41441893222185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6.8212102632969618E-13</v>
      </c>
      <c r="GV141" s="18">
        <f>GU141*VLOOKUP('Données projet'!$B$18,Paramètres!$A$1:$I$89,3,0)*VLOOKUP('Données projet'!$B$18,Paramètres!$A$1:$I$89,5,0)</f>
        <v>3.2810021366458383E-13</v>
      </c>
      <c r="GW141" s="14">
        <f t="shared" si="159"/>
        <v>4.2923528923937213E-12</v>
      </c>
      <c r="GX141" s="22">
        <f t="shared" si="136"/>
        <v>8.0472891597182151E-12</v>
      </c>
      <c r="GY141" s="62">
        <f t="shared" si="137"/>
        <v>293.33333333334139</v>
      </c>
      <c r="GZ141" s="62">
        <f ca="1">AVERAGE(OFFSET($GY$3,0,0,'Données projet'!$E$18+1,1))-AVERAGE(OFFSET($H$3,0,0,'Données projet'!$E$18+1,1))</f>
        <v>441.17479680509746</v>
      </c>
      <c r="HA141" s="62">
        <f t="shared" si="160"/>
        <v>198.56576128410069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projet'!$B$9,Paramètres!$A$1:$I$89,3,0)*VLOOKUP('Données projet'!$B$9,Paramètres!$A$1:$I$89,5,0)</f>
        <v>-1.9065282685915009E-13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374.79806286316051</v>
      </c>
      <c r="T142" s="62">
        <f t="shared" si="142"/>
        <v>350.01856672839466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0.35934991265367722</v>
      </c>
      <c r="AB142" s="23">
        <f>EXP(-LN(2)/2)*AB141+(1-EXP(-LN(2)/2))/(LN(2)/2)*V142*Y142*VLOOKUP('Données projet'!$B$9,Paramètres!$A$1:$I$89,3,0)*0.475*44/12</f>
        <v>3.5258168600741412E-16</v>
      </c>
      <c r="AC142" s="24">
        <f t="shared" si="111"/>
        <v>0.35934991265367755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-2.8421709430404007E-13</v>
      </c>
      <c r="AJ142" s="14">
        <f>AI142*VLOOKUP('Données projet'!$B$10,Paramètres!$A$1:$I$89,3,0)*VLOOKUP('Données projet'!$B$10,Paramètres!$A$1:$I$89,5,0)</f>
        <v>-2.4829205358400943E-13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401.89597032936751</v>
      </c>
      <c r="AO142" s="62">
        <f t="shared" si="144"/>
        <v>417.85733543972361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2.6</v>
      </c>
      <c r="BD142" s="13">
        <f>IF('Données projet'!$A$88&gt;35,BD141+BC142-BL141,IF(A142&lt;'Données projet'!$A$88,$BA$205^A142,IF(A142='Données projet'!$A$88,'Données projet'!$B$88,BD141+BC142-BL141)))</f>
        <v>279.39999999999941</v>
      </c>
      <c r="BE142" s="14">
        <f>BD142*VLOOKUP('Données projet'!$B$11,Paramètres!$A$1:$I$89,3,0)*VLOOKUP('Données projet'!$B$11,Paramètres!$A$1:$I$89,5,0)</f>
        <v>252.80111999999946</v>
      </c>
      <c r="BF142" s="14">
        <f t="shared" si="145"/>
        <v>61.185369021394152</v>
      </c>
      <c r="BG142" s="22">
        <f t="shared" si="115"/>
        <v>546.85980171226049</v>
      </c>
      <c r="BH142" s="62">
        <f t="shared" si="116"/>
        <v>840.19313504559386</v>
      </c>
      <c r="BI142" s="62">
        <f ca="1">AVERAGE(OFFSET($BH$3,0,0,'Données projet'!$E$11+1,1))-AVERAGE(OFFSET($H$3,0,0,'Données projet'!$E$11+1,1))</f>
        <v>430.40491895612814</v>
      </c>
      <c r="BJ142" s="62">
        <f t="shared" si="146"/>
        <v>231.36959598460686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-1.0818439477588981E-13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367.11183928586667</v>
      </c>
      <c r="CE142" s="62">
        <f t="shared" si="148"/>
        <v>281.52963027844595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-3.4106051316484809E-13</v>
      </c>
      <c r="CU142" s="18">
        <f>CT142*VLOOKUP('Données projet'!$B$13,Paramètres!$A$1:$I$89,3,0)*VLOOKUP('Données projet'!$B$13,Paramètres!$A$1:$I$89,5,0)</f>
        <v>-2.0395418687257919E-13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308.47522272937135</v>
      </c>
      <c r="CZ142" s="62">
        <f t="shared" si="150"/>
        <v>302.54354650449721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0.18700863938767487</v>
      </c>
      <c r="DH142" s="23">
        <f>EXP(-LN(2)/2)*DH141+(1-EXP(-LN(2)/2))/(LN(2)/2)*DB142*DE142*VLOOKUP('Données projet'!$B$13,Paramètres!$A$1:$I$89,3,0)*0.475*44/12</f>
        <v>6.7802954906963399E-16</v>
      </c>
      <c r="DI142" s="24">
        <f t="shared" si="123"/>
        <v>0.18700863938767553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-5.6843418860808015E-14</v>
      </c>
      <c r="DP142" s="18">
        <f>DO142*VLOOKUP('Données projet'!$B$14,Paramètres!$A$1:$I$89,3,0)*VLOOKUP('Données projet'!$B$14,Paramètres!$A$1:$I$89,5,0)</f>
        <v>-4.5224624045658861E-14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370.58277541710277</v>
      </c>
      <c r="DU142" s="62">
        <f t="shared" si="152"/>
        <v>404.61777090709171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240.22884864766218</v>
      </c>
      <c r="EP142" s="62">
        <f t="shared" si="154"/>
        <v>343.23776884143166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0.50136679692706065</v>
      </c>
      <c r="EX142" s="23">
        <f>EXP(-LN(2)/2)*EX141+(1-EXP(-LN(2)/2))/(LN(2)/2)*ER142*EU142*VLOOKUP('Données projet'!$B$15,Paramètres!$A$1:$I$89,3,0)*0.475*44/12</f>
        <v>6.4840186303810974E-16</v>
      </c>
      <c r="EY142" s="24">
        <f t="shared" si="129"/>
        <v>0.50136679692706132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-1.1368683772161603E-13</v>
      </c>
      <c r="FF142" s="18">
        <f>FE142*VLOOKUP('Données projet'!$B$16,Paramètres!$A$1:$I$89,3,0)*VLOOKUP('Données projet'!$B$16,Paramètres!$A$1:$I$89,5,0)</f>
        <v>-5.3205440053716299E-14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399.92909819003523</v>
      </c>
      <c r="FK142" s="62">
        <f t="shared" si="156"/>
        <v>163.7053537268381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-5.6843418860808015E-14</v>
      </c>
      <c r="GA142" s="18">
        <f>FZ142*VLOOKUP('Données projet'!$B$17,Paramètres!$A$1:$I$89,3,0)*VLOOKUP('Données projet'!$B$17,Paramètres!$A$1:$I$89,5,0)</f>
        <v>-4.1677594708744434E-14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344.4426665022238</v>
      </c>
      <c r="GF142" s="62">
        <f t="shared" si="158"/>
        <v>376.41441893222185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6.8212102632969618E-13</v>
      </c>
      <c r="GV142" s="18">
        <f>GU142*VLOOKUP('Données projet'!$B$18,Paramètres!$A$1:$I$89,3,0)*VLOOKUP('Données projet'!$B$18,Paramètres!$A$1:$I$89,5,0)</f>
        <v>3.2810021366458383E-13</v>
      </c>
      <c r="GW142" s="14">
        <f t="shared" si="159"/>
        <v>4.2923528923937213E-12</v>
      </c>
      <c r="GX142" s="22">
        <f t="shared" si="136"/>
        <v>8.0472891597182151E-12</v>
      </c>
      <c r="GY142" s="62">
        <f t="shared" si="137"/>
        <v>293.33333333334139</v>
      </c>
      <c r="GZ142" s="62">
        <f ca="1">AVERAGE(OFFSET($GY$3,0,0,'Données projet'!$E$18+1,1))-AVERAGE(OFFSET($H$3,0,0,'Données projet'!$E$18+1,1))</f>
        <v>441.17479680509746</v>
      </c>
      <c r="HA142" s="62">
        <f t="shared" si="160"/>
        <v>198.56576128410069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projet'!$B$9,Paramètres!$A$1:$I$89,3,0)*VLOOKUP('Données projet'!$B$9,Paramètres!$A$1:$I$89,5,0)</f>
        <v>-1.9065282685915009E-13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374.79806286316051</v>
      </c>
      <c r="T143" s="62">
        <f t="shared" si="142"/>
        <v>350.01856672839466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0.34952347039477183</v>
      </c>
      <c r="AB143" s="23">
        <f>EXP(-LN(2)/2)*AB142+(1-EXP(-LN(2)/2))/(LN(2)/2)*V143*Y143*VLOOKUP('Données projet'!$B$9,Paramètres!$A$1:$I$89,3,0)*0.475*44/12</f>
        <v>2.4931290109802858E-16</v>
      </c>
      <c r="AC143" s="24">
        <f t="shared" si="111"/>
        <v>0.34952347039477205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-2.8421709430404007E-13</v>
      </c>
      <c r="AJ143" s="14">
        <f>AI143*VLOOKUP('Données projet'!$B$10,Paramètres!$A$1:$I$89,3,0)*VLOOKUP('Données projet'!$B$10,Paramètres!$A$1:$I$89,5,0)</f>
        <v>-2.4829205358400943E-13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401.89597032936751</v>
      </c>
      <c r="AO143" s="62">
        <f t="shared" si="144"/>
        <v>417.85733543972361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2.6</v>
      </c>
      <c r="BD143" s="13">
        <f>IF('Données projet'!$A$88&gt;35,BD142+BC143-BL142,IF(A143&lt;'Données projet'!$A$88,$BA$205^A143,IF(A143='Données projet'!$A$88,'Données projet'!$B$88,BD142+BC143-BL142)))</f>
        <v>281.99999999999943</v>
      </c>
      <c r="BE143" s="14">
        <f>BD143*VLOOKUP('Données projet'!$B$11,Paramètres!$A$1:$I$89,3,0)*VLOOKUP('Données projet'!$B$11,Paramètres!$A$1:$I$89,5,0)</f>
        <v>255.15359999999947</v>
      </c>
      <c r="BF143" s="14">
        <f t="shared" si="145"/>
        <v>61.688192762754319</v>
      </c>
      <c r="BG143" s="22">
        <f t="shared" si="115"/>
        <v>551.83278906179623</v>
      </c>
      <c r="BH143" s="62">
        <f t="shared" si="116"/>
        <v>845.16612239512961</v>
      </c>
      <c r="BI143" s="62">
        <f ca="1">AVERAGE(OFFSET($BH$3,0,0,'Données projet'!$E$11+1,1))-AVERAGE(OFFSET($H$3,0,0,'Données projet'!$E$11+1,1))</f>
        <v>430.40491895612814</v>
      </c>
      <c r="BJ143" s="62">
        <f t="shared" si="146"/>
        <v>231.36959598460686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-1.0818439477588981E-13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367.11183928586667</v>
      </c>
      <c r="CE143" s="62">
        <f t="shared" si="148"/>
        <v>281.52963027844595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-3.4106051316484809E-13</v>
      </c>
      <c r="CU143" s="18">
        <f>CT143*VLOOKUP('Données projet'!$B$13,Paramètres!$A$1:$I$89,3,0)*VLOOKUP('Données projet'!$B$13,Paramètres!$A$1:$I$89,5,0)</f>
        <v>-2.0395418687257919E-13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308.47522272937135</v>
      </c>
      <c r="CZ143" s="62">
        <f t="shared" si="150"/>
        <v>302.54354650449721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0.18189487830926196</v>
      </c>
      <c r="DH143" s="23">
        <f>EXP(-LN(2)/2)*DH142+(1-EXP(-LN(2)/2))/(LN(2)/2)*DB143*DE143*VLOOKUP('Données projet'!$B$13,Paramètres!$A$1:$I$89,3,0)*0.475*44/12</f>
        <v>4.7943929199199516E-16</v>
      </c>
      <c r="DI143" s="24">
        <f t="shared" si="123"/>
        <v>0.18189487830926243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-5.6843418860808015E-14</v>
      </c>
      <c r="DP143" s="18">
        <f>DO143*VLOOKUP('Données projet'!$B$14,Paramètres!$A$1:$I$89,3,0)*VLOOKUP('Données projet'!$B$14,Paramètres!$A$1:$I$89,5,0)</f>
        <v>-4.5224624045658861E-14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370.58277541710277</v>
      </c>
      <c r="DU143" s="62">
        <f t="shared" si="152"/>
        <v>404.61777090709171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240.22884864766218</v>
      </c>
      <c r="EP143" s="62">
        <f t="shared" si="154"/>
        <v>343.23776884143166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0.4876568954993562</v>
      </c>
      <c r="EX143" s="23">
        <f>EXP(-LN(2)/2)*EX142+(1-EXP(-LN(2)/2))/(LN(2)/2)*ER143*EU143*VLOOKUP('Données projet'!$B$15,Paramètres!$A$1:$I$89,3,0)*0.475*44/12</f>
        <v>4.5848935428823841E-16</v>
      </c>
      <c r="EY143" s="24">
        <f t="shared" si="129"/>
        <v>0.48765689549935665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-1.1368683772161603E-13</v>
      </c>
      <c r="FF143" s="18">
        <f>FE143*VLOOKUP('Données projet'!$B$16,Paramètres!$A$1:$I$89,3,0)*VLOOKUP('Données projet'!$B$16,Paramètres!$A$1:$I$89,5,0)</f>
        <v>-5.3205440053716299E-14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399.92909819003523</v>
      </c>
      <c r="FK143" s="62">
        <f t="shared" si="156"/>
        <v>163.7053537268381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-5.6843418860808015E-14</v>
      </c>
      <c r="GA143" s="18">
        <f>FZ143*VLOOKUP('Données projet'!$B$17,Paramètres!$A$1:$I$89,3,0)*VLOOKUP('Données projet'!$B$17,Paramètres!$A$1:$I$89,5,0)</f>
        <v>-4.1677594708744434E-14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344.4426665022238</v>
      </c>
      <c r="GF143" s="62">
        <f t="shared" si="158"/>
        <v>376.41441893222185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6.8212102632969618E-13</v>
      </c>
      <c r="GV143" s="18">
        <f>GU143*VLOOKUP('Données projet'!$B$18,Paramètres!$A$1:$I$89,3,0)*VLOOKUP('Données projet'!$B$18,Paramètres!$A$1:$I$89,5,0)</f>
        <v>3.2810021366458383E-13</v>
      </c>
      <c r="GW143" s="14">
        <f t="shared" si="159"/>
        <v>4.2923528923937213E-12</v>
      </c>
      <c r="GX143" s="22">
        <f t="shared" si="136"/>
        <v>8.0472891597182151E-12</v>
      </c>
      <c r="GY143" s="62">
        <f t="shared" si="137"/>
        <v>293.33333333334139</v>
      </c>
      <c r="GZ143" s="62">
        <f ca="1">AVERAGE(OFFSET($GY$3,0,0,'Données projet'!$E$18+1,1))-AVERAGE(OFFSET($H$3,0,0,'Données projet'!$E$18+1,1))</f>
        <v>441.17479680509746</v>
      </c>
      <c r="HA143" s="62">
        <f t="shared" si="160"/>
        <v>198.56576128410069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projet'!$B$9,Paramètres!$A$1:$I$89,3,0)*VLOOKUP('Données projet'!$B$9,Paramètres!$A$1:$I$89,5,0)</f>
        <v>-1.9065282685915009E-13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374.79806286316051</v>
      </c>
      <c r="T144" s="62">
        <f t="shared" si="142"/>
        <v>350.01856672839466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0.33996573271618635</v>
      </c>
      <c r="AB144" s="23">
        <f>EXP(-LN(2)/2)*AB143+(1-EXP(-LN(2)/2))/(LN(2)/2)*V144*Y144*VLOOKUP('Données projet'!$B$9,Paramètres!$A$1:$I$89,3,0)*0.475*44/12</f>
        <v>1.7629084300370706E-16</v>
      </c>
      <c r="AC144" s="24">
        <f t="shared" si="111"/>
        <v>0.33996573271618652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-2.8421709430404007E-13</v>
      </c>
      <c r="AJ144" s="14">
        <f>AI144*VLOOKUP('Données projet'!$B$10,Paramètres!$A$1:$I$89,3,0)*VLOOKUP('Données projet'!$B$10,Paramètres!$A$1:$I$89,5,0)</f>
        <v>-2.4829205358400943E-13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401.89597032936751</v>
      </c>
      <c r="AO144" s="62">
        <f t="shared" si="144"/>
        <v>417.85733543972361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2.6</v>
      </c>
      <c r="BD144" s="13">
        <f>IF('Données projet'!$A$88&gt;35,BD143+BC144-BL143,IF(A144&lt;'Données projet'!$A$88,$BA$205^A144,IF(A144='Données projet'!$A$88,'Données projet'!$B$88,BD143+BC144-BL143)))</f>
        <v>284.59999999999945</v>
      </c>
      <c r="BE144" s="14">
        <f>BD144*VLOOKUP('Données projet'!$B$11,Paramètres!$A$1:$I$89,3,0)*VLOOKUP('Données projet'!$B$11,Paramètres!$A$1:$I$89,5,0)</f>
        <v>257.50607999999949</v>
      </c>
      <c r="BF144" s="14">
        <f t="shared" si="145"/>
        <v>62.190477159330406</v>
      </c>
      <c r="BG144" s="22">
        <f t="shared" si="115"/>
        <v>556.80483705249947</v>
      </c>
      <c r="BH144" s="62">
        <f t="shared" si="116"/>
        <v>850.13817038583284</v>
      </c>
      <c r="BI144" s="62">
        <f ca="1">AVERAGE(OFFSET($BH$3,0,0,'Données projet'!$E$11+1,1))-AVERAGE(OFFSET($H$3,0,0,'Données projet'!$E$11+1,1))</f>
        <v>430.40491895612814</v>
      </c>
      <c r="BJ144" s="62">
        <f t="shared" si="146"/>
        <v>231.36959598460686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-1.0818439477588981E-13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367.11183928586667</v>
      </c>
      <c r="CE144" s="62">
        <f t="shared" si="148"/>
        <v>281.52963027844595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-3.4106051316484809E-13</v>
      </c>
      <c r="CU144" s="18">
        <f>CT144*VLOOKUP('Données projet'!$B$13,Paramètres!$A$1:$I$89,3,0)*VLOOKUP('Données projet'!$B$13,Paramètres!$A$1:$I$89,5,0)</f>
        <v>-2.0395418687257919E-13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308.47522272937135</v>
      </c>
      <c r="CZ144" s="62">
        <f t="shared" si="150"/>
        <v>302.54354650449721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0.17692095329645927</v>
      </c>
      <c r="DH144" s="23">
        <f>EXP(-LN(2)/2)*DH143+(1-EXP(-LN(2)/2))/(LN(2)/2)*DB144*DE144*VLOOKUP('Données projet'!$B$13,Paramètres!$A$1:$I$89,3,0)*0.475*44/12</f>
        <v>3.39014774534817E-16</v>
      </c>
      <c r="DI144" s="24">
        <f t="shared" si="123"/>
        <v>0.1769209532964596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-5.6843418860808015E-14</v>
      </c>
      <c r="DP144" s="18">
        <f>DO144*VLOOKUP('Données projet'!$B$14,Paramètres!$A$1:$I$89,3,0)*VLOOKUP('Données projet'!$B$14,Paramètres!$A$1:$I$89,5,0)</f>
        <v>-4.5224624045658861E-14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370.58277541710277</v>
      </c>
      <c r="DU144" s="62">
        <f t="shared" si="152"/>
        <v>404.61777090709171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240.22884864766218</v>
      </c>
      <c r="EP144" s="62">
        <f t="shared" si="154"/>
        <v>343.23776884143166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0.47432189204716474</v>
      </c>
      <c r="EX144" s="23">
        <f>EXP(-LN(2)/2)*EX143+(1-EXP(-LN(2)/2))/(LN(2)/2)*ER144*EU144*VLOOKUP('Données projet'!$B$15,Paramètres!$A$1:$I$89,3,0)*0.475*44/12</f>
        <v>3.2420093151905487E-16</v>
      </c>
      <c r="EY144" s="24">
        <f t="shared" si="129"/>
        <v>0.47432189204716507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-1.1368683772161603E-13</v>
      </c>
      <c r="FF144" s="18">
        <f>FE144*VLOOKUP('Données projet'!$B$16,Paramètres!$A$1:$I$89,3,0)*VLOOKUP('Données projet'!$B$16,Paramètres!$A$1:$I$89,5,0)</f>
        <v>-5.3205440053716299E-14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399.92909819003523</v>
      </c>
      <c r="FK144" s="62">
        <f t="shared" si="156"/>
        <v>163.7053537268381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-5.6843418860808015E-14</v>
      </c>
      <c r="GA144" s="18">
        <f>FZ144*VLOOKUP('Données projet'!$B$17,Paramètres!$A$1:$I$89,3,0)*VLOOKUP('Données projet'!$B$17,Paramètres!$A$1:$I$89,5,0)</f>
        <v>-4.1677594708744434E-14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344.4426665022238</v>
      </c>
      <c r="GF144" s="62">
        <f t="shared" si="158"/>
        <v>376.41441893222185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6.8212102632969618E-13</v>
      </c>
      <c r="GV144" s="18">
        <f>GU144*VLOOKUP('Données projet'!$B$18,Paramètres!$A$1:$I$89,3,0)*VLOOKUP('Données projet'!$B$18,Paramètres!$A$1:$I$89,5,0)</f>
        <v>3.2810021366458383E-13</v>
      </c>
      <c r="GW144" s="14">
        <f t="shared" si="159"/>
        <v>4.2923528923937213E-12</v>
      </c>
      <c r="GX144" s="22">
        <f t="shared" si="136"/>
        <v>8.0472891597182151E-12</v>
      </c>
      <c r="GY144" s="62">
        <f t="shared" si="137"/>
        <v>293.33333333334139</v>
      </c>
      <c r="GZ144" s="62">
        <f ca="1">AVERAGE(OFFSET($GY$3,0,0,'Données projet'!$E$18+1,1))-AVERAGE(OFFSET($H$3,0,0,'Données projet'!$E$18+1,1))</f>
        <v>441.17479680509746</v>
      </c>
      <c r="HA144" s="62">
        <f t="shared" si="160"/>
        <v>198.56576128410069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projet'!$B$9,Paramètres!$A$1:$I$89,3,0)*VLOOKUP('Données projet'!$B$9,Paramètres!$A$1:$I$89,5,0)</f>
        <v>-1.9065282685915009E-13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374.79806286316051</v>
      </c>
      <c r="T145" s="62">
        <f t="shared" si="142"/>
        <v>350.01856672839466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0.33066935187704133</v>
      </c>
      <c r="AB145" s="23">
        <f>EXP(-LN(2)/2)*AB144+(1-EXP(-LN(2)/2))/(LN(2)/2)*V145*Y145*VLOOKUP('Données projet'!$B$9,Paramètres!$A$1:$I$89,3,0)*0.475*44/12</f>
        <v>1.2465645054901429E-16</v>
      </c>
      <c r="AC145" s="24">
        <f t="shared" si="111"/>
        <v>0.33066935187704144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-2.8421709430404007E-13</v>
      </c>
      <c r="AJ145" s="14">
        <f>AI145*VLOOKUP('Données projet'!$B$10,Paramètres!$A$1:$I$89,3,0)*VLOOKUP('Données projet'!$B$10,Paramètres!$A$1:$I$89,5,0)</f>
        <v>-2.4829205358400943E-13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401.89597032936751</v>
      </c>
      <c r="AO145" s="62">
        <f t="shared" si="144"/>
        <v>417.85733543972361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2.6</v>
      </c>
      <c r="BD145" s="13">
        <f>IF('Données projet'!$A$88&gt;35,BD144+BC145-BL144,IF(A145&lt;'Données projet'!$A$88,$BA$205^A145,IF(A145='Données projet'!$A$88,'Données projet'!$B$88,BD144+BC145-BL144)))</f>
        <v>287.19999999999948</v>
      </c>
      <c r="BE145" s="14">
        <f>BD145*VLOOKUP('Données projet'!$B$11,Paramètres!$A$1:$I$89,3,0)*VLOOKUP('Données projet'!$B$11,Paramètres!$A$1:$I$89,5,0)</f>
        <v>259.8585599999995</v>
      </c>
      <c r="BF145" s="14">
        <f t="shared" si="145"/>
        <v>62.692227709138365</v>
      </c>
      <c r="BG145" s="22">
        <f t="shared" si="115"/>
        <v>561.77595526008179</v>
      </c>
      <c r="BH145" s="62">
        <f t="shared" si="116"/>
        <v>855.10928859341516</v>
      </c>
      <c r="BI145" s="62">
        <f ca="1">AVERAGE(OFFSET($BH$3,0,0,'Données projet'!$E$11+1,1))-AVERAGE(OFFSET($H$3,0,0,'Données projet'!$E$11+1,1))</f>
        <v>430.40491895612814</v>
      </c>
      <c r="BJ145" s="62">
        <f t="shared" si="146"/>
        <v>231.36959598460686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-1.0818439477588981E-13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367.11183928586667</v>
      </c>
      <c r="CE145" s="62">
        <f t="shared" si="148"/>
        <v>281.52963027844595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-3.4106051316484809E-13</v>
      </c>
      <c r="CU145" s="18">
        <f>CT145*VLOOKUP('Données projet'!$B$13,Paramètres!$A$1:$I$89,3,0)*VLOOKUP('Données projet'!$B$13,Paramètres!$A$1:$I$89,5,0)</f>
        <v>-2.0395418687257919E-13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308.47522272937135</v>
      </c>
      <c r="CZ145" s="62">
        <f t="shared" si="150"/>
        <v>302.54354650449721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0.172083040524699</v>
      </c>
      <c r="DH145" s="23">
        <f>EXP(-LN(2)/2)*DH144+(1-EXP(-LN(2)/2))/(LN(2)/2)*DB145*DE145*VLOOKUP('Données projet'!$B$13,Paramètres!$A$1:$I$89,3,0)*0.475*44/12</f>
        <v>2.3971964599599758E-16</v>
      </c>
      <c r="DI145" s="24">
        <f t="shared" si="123"/>
        <v>0.17208304052469925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-5.6843418860808015E-14</v>
      </c>
      <c r="DP145" s="18">
        <f>DO145*VLOOKUP('Données projet'!$B$14,Paramètres!$A$1:$I$89,3,0)*VLOOKUP('Données projet'!$B$14,Paramètres!$A$1:$I$89,5,0)</f>
        <v>-4.5224624045658861E-14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370.58277541710277</v>
      </c>
      <c r="DU145" s="62">
        <f t="shared" si="152"/>
        <v>404.61777090709171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240.22884864766218</v>
      </c>
      <c r="EP145" s="62">
        <f t="shared" si="154"/>
        <v>343.23776884143166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0.46135153496563081</v>
      </c>
      <c r="EX145" s="23">
        <f>EXP(-LN(2)/2)*EX144+(1-EXP(-LN(2)/2))/(LN(2)/2)*ER145*EU145*VLOOKUP('Données projet'!$B$15,Paramètres!$A$1:$I$89,3,0)*0.475*44/12</f>
        <v>2.2924467714411921E-16</v>
      </c>
      <c r="EY145" s="24">
        <f t="shared" si="129"/>
        <v>0.46135153496563103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-1.1368683772161603E-13</v>
      </c>
      <c r="FF145" s="18">
        <f>FE145*VLOOKUP('Données projet'!$B$16,Paramètres!$A$1:$I$89,3,0)*VLOOKUP('Données projet'!$B$16,Paramètres!$A$1:$I$89,5,0)</f>
        <v>-5.3205440053716299E-14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399.92909819003523</v>
      </c>
      <c r="FK145" s="62">
        <f t="shared" si="156"/>
        <v>163.7053537268381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-5.6843418860808015E-14</v>
      </c>
      <c r="GA145" s="18">
        <f>FZ145*VLOOKUP('Données projet'!$B$17,Paramètres!$A$1:$I$89,3,0)*VLOOKUP('Données projet'!$B$17,Paramètres!$A$1:$I$89,5,0)</f>
        <v>-4.1677594708744434E-14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344.4426665022238</v>
      </c>
      <c r="GF145" s="62">
        <f t="shared" si="158"/>
        <v>376.41441893222185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6.8212102632969618E-13</v>
      </c>
      <c r="GV145" s="18">
        <f>GU145*VLOOKUP('Données projet'!$B$18,Paramètres!$A$1:$I$89,3,0)*VLOOKUP('Données projet'!$B$18,Paramètres!$A$1:$I$89,5,0)</f>
        <v>3.2810021366458383E-13</v>
      </c>
      <c r="GW145" s="14">
        <f t="shared" si="159"/>
        <v>4.2923528923937213E-12</v>
      </c>
      <c r="GX145" s="22">
        <f t="shared" si="136"/>
        <v>8.0472891597182151E-12</v>
      </c>
      <c r="GY145" s="62">
        <f t="shared" si="137"/>
        <v>293.33333333334139</v>
      </c>
      <c r="GZ145" s="62">
        <f ca="1">AVERAGE(OFFSET($GY$3,0,0,'Données projet'!$E$18+1,1))-AVERAGE(OFFSET($H$3,0,0,'Données projet'!$E$18+1,1))</f>
        <v>441.17479680509746</v>
      </c>
      <c r="HA145" s="62">
        <f t="shared" si="160"/>
        <v>198.56576128410069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projet'!$B$9,Paramètres!$A$1:$I$89,3,0)*VLOOKUP('Données projet'!$B$9,Paramètres!$A$1:$I$89,5,0)</f>
        <v>-1.9065282685915009E-13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374.79806286316051</v>
      </c>
      <c r="T146" s="62">
        <f t="shared" si="142"/>
        <v>350.01856672839466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0.32162718106081817</v>
      </c>
      <c r="AB146" s="23">
        <f>EXP(-LN(2)/2)*AB145+(1-EXP(-LN(2)/2))/(LN(2)/2)*V146*Y146*VLOOKUP('Données projet'!$B$9,Paramètres!$A$1:$I$89,3,0)*0.475*44/12</f>
        <v>8.8145421501853531E-17</v>
      </c>
      <c r="AC146" s="24">
        <f t="shared" si="111"/>
        <v>0.32162718106081828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-2.8421709430404007E-13</v>
      </c>
      <c r="AJ146" s="14">
        <f>AI146*VLOOKUP('Données projet'!$B$10,Paramètres!$A$1:$I$89,3,0)*VLOOKUP('Données projet'!$B$10,Paramètres!$A$1:$I$89,5,0)</f>
        <v>-2.4829205358400943E-13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401.89597032936751</v>
      </c>
      <c r="AO146" s="62">
        <f t="shared" si="144"/>
        <v>417.85733543972361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2.6</v>
      </c>
      <c r="BD146" s="13">
        <f>IF('Données projet'!$A$88&gt;35,BD145+BC146-BL145,IF(A146&lt;'Données projet'!$A$88,$BA$205^A146,IF(A146='Données projet'!$A$88,'Données projet'!$B$88,BD145+BC146-BL145)))</f>
        <v>289.7999999999995</v>
      </c>
      <c r="BE146" s="14">
        <f>BD146*VLOOKUP('Données projet'!$B$11,Paramètres!$A$1:$I$89,3,0)*VLOOKUP('Données projet'!$B$11,Paramètres!$A$1:$I$89,5,0)</f>
        <v>262.21103999999951</v>
      </c>
      <c r="BF146" s="14">
        <f t="shared" si="145"/>
        <v>63.19344980490574</v>
      </c>
      <c r="BG146" s="22">
        <f t="shared" si="115"/>
        <v>566.74615307687668</v>
      </c>
      <c r="BH146" s="62">
        <f t="shared" si="116"/>
        <v>860.07948641020994</v>
      </c>
      <c r="BI146" s="62">
        <f ca="1">AVERAGE(OFFSET($BH$3,0,0,'Données projet'!$E$11+1,1))-AVERAGE(OFFSET($H$3,0,0,'Données projet'!$E$11+1,1))</f>
        <v>430.40491895612814</v>
      </c>
      <c r="BJ146" s="62">
        <f t="shared" si="146"/>
        <v>231.36959598460686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-1.0818439477588981E-13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367.11183928586667</v>
      </c>
      <c r="CE146" s="62">
        <f t="shared" si="148"/>
        <v>281.52963027844595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-3.4106051316484809E-13</v>
      </c>
      <c r="CU146" s="18">
        <f>CT146*VLOOKUP('Données projet'!$B$13,Paramètres!$A$1:$I$89,3,0)*VLOOKUP('Données projet'!$B$13,Paramètres!$A$1:$I$89,5,0)</f>
        <v>-2.0395418687257919E-13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308.47522272937135</v>
      </c>
      <c r="CZ146" s="62">
        <f t="shared" si="150"/>
        <v>302.54354650449721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0.1673774207320973</v>
      </c>
      <c r="DH146" s="23">
        <f>EXP(-LN(2)/2)*DH145+(1-EXP(-LN(2)/2))/(LN(2)/2)*DB146*DE146*VLOOKUP('Données projet'!$B$13,Paramètres!$A$1:$I$89,3,0)*0.475*44/12</f>
        <v>1.695073872674085E-16</v>
      </c>
      <c r="DI146" s="24">
        <f t="shared" si="123"/>
        <v>0.16737742073209746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-5.6843418860808015E-14</v>
      </c>
      <c r="DP146" s="18">
        <f>DO146*VLOOKUP('Données projet'!$B$14,Paramètres!$A$1:$I$89,3,0)*VLOOKUP('Données projet'!$B$14,Paramètres!$A$1:$I$89,5,0)</f>
        <v>-4.5224624045658861E-14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370.58277541710277</v>
      </c>
      <c r="DU146" s="62">
        <f t="shared" si="152"/>
        <v>404.61777090709171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240.22884864766218</v>
      </c>
      <c r="EP146" s="62">
        <f t="shared" si="154"/>
        <v>343.23776884143166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0.44873585298057284</v>
      </c>
      <c r="EX146" s="23">
        <f>EXP(-LN(2)/2)*EX145+(1-EXP(-LN(2)/2))/(LN(2)/2)*ER146*EU146*VLOOKUP('Données projet'!$B$15,Paramètres!$A$1:$I$89,3,0)*0.475*44/12</f>
        <v>1.6210046575952743E-16</v>
      </c>
      <c r="EY146" s="24">
        <f t="shared" si="129"/>
        <v>0.448735852980573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-1.1368683772161603E-13</v>
      </c>
      <c r="FF146" s="18">
        <f>FE146*VLOOKUP('Données projet'!$B$16,Paramètres!$A$1:$I$89,3,0)*VLOOKUP('Données projet'!$B$16,Paramètres!$A$1:$I$89,5,0)</f>
        <v>-5.3205440053716299E-14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399.92909819003523</v>
      </c>
      <c r="FK146" s="62">
        <f t="shared" si="156"/>
        <v>163.7053537268381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-5.6843418860808015E-14</v>
      </c>
      <c r="GA146" s="18">
        <f>FZ146*VLOOKUP('Données projet'!$B$17,Paramètres!$A$1:$I$89,3,0)*VLOOKUP('Données projet'!$B$17,Paramètres!$A$1:$I$89,5,0)</f>
        <v>-4.1677594708744434E-14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344.4426665022238</v>
      </c>
      <c r="GF146" s="62">
        <f t="shared" si="158"/>
        <v>376.41441893222185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6.8212102632969618E-13</v>
      </c>
      <c r="GV146" s="18">
        <f>GU146*VLOOKUP('Données projet'!$B$18,Paramètres!$A$1:$I$89,3,0)*VLOOKUP('Données projet'!$B$18,Paramètres!$A$1:$I$89,5,0)</f>
        <v>3.2810021366458383E-13</v>
      </c>
      <c r="GW146" s="14">
        <f t="shared" si="159"/>
        <v>4.2923528923937213E-12</v>
      </c>
      <c r="GX146" s="22">
        <f t="shared" si="136"/>
        <v>8.0472891597182151E-12</v>
      </c>
      <c r="GY146" s="62">
        <f t="shared" si="137"/>
        <v>293.33333333334139</v>
      </c>
      <c r="GZ146" s="62">
        <f ca="1">AVERAGE(OFFSET($GY$3,0,0,'Données projet'!$E$18+1,1))-AVERAGE(OFFSET($H$3,0,0,'Données projet'!$E$18+1,1))</f>
        <v>441.17479680509746</v>
      </c>
      <c r="HA146" s="62">
        <f t="shared" si="160"/>
        <v>198.56576128410069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projet'!$B$9,Paramètres!$A$1:$I$89,3,0)*VLOOKUP('Données projet'!$B$9,Paramètres!$A$1:$I$89,5,0)</f>
        <v>-1.9065282685915009E-13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374.79806286316051</v>
      </c>
      <c r="T147" s="62">
        <f t="shared" si="142"/>
        <v>350.01856672839466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0.31283226888107174</v>
      </c>
      <c r="AB147" s="23">
        <f>EXP(-LN(2)/2)*AB146+(1-EXP(-LN(2)/2))/(LN(2)/2)*V147*Y147*VLOOKUP('Données projet'!$B$9,Paramètres!$A$1:$I$89,3,0)*0.475*44/12</f>
        <v>6.2328225274507146E-17</v>
      </c>
      <c r="AC147" s="24">
        <f t="shared" si="111"/>
        <v>0.3128322688810718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-2.8421709430404007E-13</v>
      </c>
      <c r="AJ147" s="14">
        <f>AI147*VLOOKUP('Données projet'!$B$10,Paramètres!$A$1:$I$89,3,0)*VLOOKUP('Données projet'!$B$10,Paramètres!$A$1:$I$89,5,0)</f>
        <v>-2.4829205358400943E-13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401.89597032936751</v>
      </c>
      <c r="AO147" s="62">
        <f t="shared" si="144"/>
        <v>417.85733543972361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2.6</v>
      </c>
      <c r="BD147" s="13">
        <f>IF('Données projet'!$A$88&gt;35,BD146+BC147-BL146,IF(A147&lt;'Données projet'!$A$88,$BA$205^A147,IF(A147='Données projet'!$A$88,'Données projet'!$B$88,BD146+BC147-BL146)))</f>
        <v>292.39999999999952</v>
      </c>
      <c r="BE147" s="14">
        <f>BD147*VLOOKUP('Données projet'!$B$11,Paramètres!$A$1:$I$89,3,0)*VLOOKUP('Données projet'!$B$11,Paramètres!$A$1:$I$89,5,0)</f>
        <v>264.56351999999953</v>
      </c>
      <c r="BF147" s="14">
        <f t="shared" si="145"/>
        <v>63.694148737013748</v>
      </c>
      <c r="BG147" s="22">
        <f t="shared" si="115"/>
        <v>571.71543971696474</v>
      </c>
      <c r="BH147" s="62">
        <f t="shared" si="116"/>
        <v>865.048773050298</v>
      </c>
      <c r="BI147" s="62">
        <f ca="1">AVERAGE(OFFSET($BH$3,0,0,'Données projet'!$E$11+1,1))-AVERAGE(OFFSET($H$3,0,0,'Données projet'!$E$11+1,1))</f>
        <v>430.40491895612814</v>
      </c>
      <c r="BJ147" s="62">
        <f t="shared" si="146"/>
        <v>231.36959598460686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-1.0818439477588981E-13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367.11183928586667</v>
      </c>
      <c r="CE147" s="62">
        <f t="shared" si="148"/>
        <v>281.52963027844595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-3.4106051316484809E-13</v>
      </c>
      <c r="CU147" s="18">
        <f>CT147*VLOOKUP('Données projet'!$B$13,Paramètres!$A$1:$I$89,3,0)*VLOOKUP('Données projet'!$B$13,Paramètres!$A$1:$I$89,5,0)</f>
        <v>-2.0395418687257919E-13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308.47522272937135</v>
      </c>
      <c r="CZ147" s="62">
        <f t="shared" si="150"/>
        <v>302.54354650449721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0.16280047636018208</v>
      </c>
      <c r="DH147" s="23">
        <f>EXP(-LN(2)/2)*DH146+(1-EXP(-LN(2)/2))/(LN(2)/2)*DB147*DE147*VLOOKUP('Données projet'!$B$13,Paramètres!$A$1:$I$89,3,0)*0.475*44/12</f>
        <v>1.1985982299799879E-16</v>
      </c>
      <c r="DI147" s="24">
        <f t="shared" si="123"/>
        <v>0.16280047636018219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-5.6843418860808015E-14</v>
      </c>
      <c r="DP147" s="18">
        <f>DO147*VLOOKUP('Données projet'!$B$14,Paramètres!$A$1:$I$89,3,0)*VLOOKUP('Données projet'!$B$14,Paramètres!$A$1:$I$89,5,0)</f>
        <v>-4.5224624045658861E-14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370.58277541710277</v>
      </c>
      <c r="DU147" s="62">
        <f t="shared" si="152"/>
        <v>404.61777090709171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240.22884864766218</v>
      </c>
      <c r="EP147" s="62">
        <f t="shared" si="154"/>
        <v>343.23776884143166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0.43646514748282617</v>
      </c>
      <c r="EX147" s="23">
        <f>EXP(-LN(2)/2)*EX146+(1-EXP(-LN(2)/2))/(LN(2)/2)*ER147*EU147*VLOOKUP('Données projet'!$B$15,Paramètres!$A$1:$I$89,3,0)*0.475*44/12</f>
        <v>1.146223385720596E-16</v>
      </c>
      <c r="EY147" s="24">
        <f t="shared" si="129"/>
        <v>0.43646514748282628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-1.1368683772161603E-13</v>
      </c>
      <c r="FF147" s="18">
        <f>FE147*VLOOKUP('Données projet'!$B$16,Paramètres!$A$1:$I$89,3,0)*VLOOKUP('Données projet'!$B$16,Paramètres!$A$1:$I$89,5,0)</f>
        <v>-5.3205440053716299E-14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399.92909819003523</v>
      </c>
      <c r="FK147" s="62">
        <f t="shared" si="156"/>
        <v>163.7053537268381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-5.6843418860808015E-14</v>
      </c>
      <c r="GA147" s="18">
        <f>FZ147*VLOOKUP('Données projet'!$B$17,Paramètres!$A$1:$I$89,3,0)*VLOOKUP('Données projet'!$B$17,Paramètres!$A$1:$I$89,5,0)</f>
        <v>-4.1677594708744434E-14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344.4426665022238</v>
      </c>
      <c r="GF147" s="62">
        <f t="shared" si="158"/>
        <v>376.41441893222185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6.8212102632969618E-13</v>
      </c>
      <c r="GV147" s="18">
        <f>GU147*VLOOKUP('Données projet'!$B$18,Paramètres!$A$1:$I$89,3,0)*VLOOKUP('Données projet'!$B$18,Paramètres!$A$1:$I$89,5,0)</f>
        <v>3.2810021366458383E-13</v>
      </c>
      <c r="GW147" s="14">
        <f t="shared" si="159"/>
        <v>4.2923528923937213E-12</v>
      </c>
      <c r="GX147" s="22">
        <f t="shared" si="136"/>
        <v>8.0472891597182151E-12</v>
      </c>
      <c r="GY147" s="62">
        <f t="shared" si="137"/>
        <v>293.33333333334139</v>
      </c>
      <c r="GZ147" s="62">
        <f ca="1">AVERAGE(OFFSET($GY$3,0,0,'Données projet'!$E$18+1,1))-AVERAGE(OFFSET($H$3,0,0,'Données projet'!$E$18+1,1))</f>
        <v>441.17479680509746</v>
      </c>
      <c r="HA147" s="62">
        <f t="shared" si="160"/>
        <v>198.56576128410069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projet'!$B$9,Paramètres!$A$1:$I$89,3,0)*VLOOKUP('Données projet'!$B$9,Paramètres!$A$1:$I$89,5,0)</f>
        <v>-1.9065282685915009E-13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374.79806286316051</v>
      </c>
      <c r="T148" s="62">
        <f t="shared" si="142"/>
        <v>350.01856672839466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0.30427785403738478</v>
      </c>
      <c r="AB148" s="23">
        <f>EXP(-LN(2)/2)*AB147+(1-EXP(-LN(2)/2))/(LN(2)/2)*V148*Y148*VLOOKUP('Données projet'!$B$9,Paramètres!$A$1:$I$89,3,0)*0.475*44/12</f>
        <v>4.4072710750926765E-17</v>
      </c>
      <c r="AC148" s="24">
        <f t="shared" si="111"/>
        <v>0.30427785403738483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-2.8421709430404007E-13</v>
      </c>
      <c r="AJ148" s="14">
        <f>AI148*VLOOKUP('Données projet'!$B$10,Paramètres!$A$1:$I$89,3,0)*VLOOKUP('Données projet'!$B$10,Paramètres!$A$1:$I$89,5,0)</f>
        <v>-2.4829205358400943E-13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401.89597032936751</v>
      </c>
      <c r="AO148" s="62">
        <f t="shared" si="144"/>
        <v>417.85733543972361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>
        <f>VLOOKUP(A148,'Données projet'!$A$87:$I$107,2,0)</f>
        <v>295</v>
      </c>
      <c r="BB148" s="13">
        <f>VLOOKUP(A148,'Données projet'!$A$87:$I$107,9,0)</f>
        <v>2.6</v>
      </c>
      <c r="BC148" s="13">
        <f t="array" ref="BC148">INDEX(BB:BB,MIN(IF(ISNUMBER(BB148:BB344),ROW(BB148:BB344),"")))</f>
        <v>2.6</v>
      </c>
      <c r="BD148" s="13">
        <f>IF('Données projet'!$A$88&gt;35,BD147+BC148-BL147,IF(A148&lt;'Données projet'!$A$88,$BA$205^A148,IF(A148='Données projet'!$A$88,'Données projet'!$B$88,BD147+BC148-BL147)))</f>
        <v>294.99999999999955</v>
      </c>
      <c r="BE148" s="14">
        <f>BD148*VLOOKUP('Données projet'!$B$11,Paramètres!$A$1:$I$89,3,0)*VLOOKUP('Données projet'!$B$11,Paramètres!$A$1:$I$89,5,0)</f>
        <v>266.9159999999996</v>
      </c>
      <c r="BF148" s="14">
        <f t="shared" si="145"/>
        <v>64.194329696332062</v>
      </c>
      <c r="BG148" s="22">
        <f t="shared" si="115"/>
        <v>576.68382422111085</v>
      </c>
      <c r="BH148" s="62">
        <f t="shared" si="116"/>
        <v>870.01715755444411</v>
      </c>
      <c r="BI148" s="62">
        <f ca="1">AVERAGE(OFFSET($BH$3,0,0,'Données projet'!$E$11+1,1))-AVERAGE(OFFSET($H$3,0,0,'Données projet'!$E$11+1,1))</f>
        <v>430.40491895612814</v>
      </c>
      <c r="BJ148" s="62">
        <f t="shared" si="146"/>
        <v>231.36959598460686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-1.0818439477588981E-13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367.11183928586667</v>
      </c>
      <c r="CE148" s="62">
        <f t="shared" si="148"/>
        <v>281.52963027844595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-3.4106051316484809E-13</v>
      </c>
      <c r="CU148" s="18">
        <f>CT148*VLOOKUP('Données projet'!$B$13,Paramètres!$A$1:$I$89,3,0)*VLOOKUP('Données projet'!$B$13,Paramètres!$A$1:$I$89,5,0)</f>
        <v>-2.0395418687257919E-13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308.47522272937135</v>
      </c>
      <c r="CZ148" s="62">
        <f t="shared" si="150"/>
        <v>302.54354650449721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0.15834868877280794</v>
      </c>
      <c r="DH148" s="23">
        <f>EXP(-LN(2)/2)*DH147+(1-EXP(-LN(2)/2))/(LN(2)/2)*DB148*DE148*VLOOKUP('Données projet'!$B$13,Paramètres!$A$1:$I$89,3,0)*0.475*44/12</f>
        <v>8.4753693633704249E-17</v>
      </c>
      <c r="DI148" s="24">
        <f t="shared" si="123"/>
        <v>0.15834868877280803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-5.6843418860808015E-14</v>
      </c>
      <c r="DP148" s="18">
        <f>DO148*VLOOKUP('Données projet'!$B$14,Paramètres!$A$1:$I$89,3,0)*VLOOKUP('Données projet'!$B$14,Paramètres!$A$1:$I$89,5,0)</f>
        <v>-4.5224624045658861E-14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370.58277541710277</v>
      </c>
      <c r="DU148" s="62">
        <f t="shared" si="152"/>
        <v>404.61777090709171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240.22884864766218</v>
      </c>
      <c r="EP148" s="62">
        <f t="shared" si="154"/>
        <v>343.23776884143166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0.42452998507220374</v>
      </c>
      <c r="EX148" s="23">
        <f>EXP(-LN(2)/2)*EX147+(1-EXP(-LN(2)/2))/(LN(2)/2)*ER148*EU148*VLOOKUP('Données projet'!$B$15,Paramètres!$A$1:$I$89,3,0)*0.475*44/12</f>
        <v>8.1050232879763717E-17</v>
      </c>
      <c r="EY148" s="24">
        <f t="shared" si="129"/>
        <v>0.4245299850722038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-1.1368683772161603E-13</v>
      </c>
      <c r="FF148" s="18">
        <f>FE148*VLOOKUP('Données projet'!$B$16,Paramètres!$A$1:$I$89,3,0)*VLOOKUP('Données projet'!$B$16,Paramètres!$A$1:$I$89,5,0)</f>
        <v>-5.3205440053716299E-14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399.92909819003523</v>
      </c>
      <c r="FK148" s="62">
        <f t="shared" si="156"/>
        <v>163.7053537268381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-5.6843418860808015E-14</v>
      </c>
      <c r="GA148" s="18">
        <f>FZ148*VLOOKUP('Données projet'!$B$17,Paramètres!$A$1:$I$89,3,0)*VLOOKUP('Données projet'!$B$17,Paramètres!$A$1:$I$89,5,0)</f>
        <v>-4.1677594708744434E-14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344.4426665022238</v>
      </c>
      <c r="GF148" s="62">
        <f t="shared" si="158"/>
        <v>376.41441893222185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6.8212102632969618E-13</v>
      </c>
      <c r="GV148" s="18">
        <f>GU148*VLOOKUP('Données projet'!$B$18,Paramètres!$A$1:$I$89,3,0)*VLOOKUP('Données projet'!$B$18,Paramètres!$A$1:$I$89,5,0)</f>
        <v>3.2810021366458383E-13</v>
      </c>
      <c r="GW148" s="14">
        <f t="shared" si="159"/>
        <v>4.2923528923937213E-12</v>
      </c>
      <c r="GX148" s="22">
        <f t="shared" si="136"/>
        <v>8.0472891597182151E-12</v>
      </c>
      <c r="GY148" s="62">
        <f t="shared" si="137"/>
        <v>293.33333333334139</v>
      </c>
      <c r="GZ148" s="62">
        <f ca="1">AVERAGE(OFFSET($GY$3,0,0,'Données projet'!$E$18+1,1))-AVERAGE(OFFSET($H$3,0,0,'Données projet'!$E$18+1,1))</f>
        <v>441.17479680509746</v>
      </c>
      <c r="HA148" s="62">
        <f t="shared" si="160"/>
        <v>198.56576128410069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projet'!$B$9,Paramètres!$A$1:$I$89,3,0)*VLOOKUP('Données projet'!$B$9,Paramètres!$A$1:$I$89,5,0)</f>
        <v>-1.9065282685915009E-13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374.79806286316051</v>
      </c>
      <c r="T149" s="62">
        <f t="shared" si="142"/>
        <v>350.01856672839466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0.2959573601174556</v>
      </c>
      <c r="AB149" s="23">
        <f>EXP(-LN(2)/2)*AB148+(1-EXP(-LN(2)/2))/(LN(2)/2)*V149*Y149*VLOOKUP('Données projet'!$B$9,Paramètres!$A$1:$I$89,3,0)*0.475*44/12</f>
        <v>3.1164112637253573E-17</v>
      </c>
      <c r="AC149" s="24">
        <f t="shared" si="111"/>
        <v>0.29595736011745566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-2.8421709430404007E-13</v>
      </c>
      <c r="AJ149" s="14">
        <f>AI149*VLOOKUP('Données projet'!$B$10,Paramètres!$A$1:$I$89,3,0)*VLOOKUP('Données projet'!$B$10,Paramètres!$A$1:$I$89,5,0)</f>
        <v>-2.4829205358400943E-13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401.89597032936751</v>
      </c>
      <c r="AO149" s="62">
        <f t="shared" si="144"/>
        <v>417.85733543972361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2.2000000000000002</v>
      </c>
      <c r="BD149" s="13">
        <f>IF('Données projet'!$A$88&gt;35,BD148+BC149-BL148,IF(A149&lt;'Données projet'!$A$88,$BA$205^A149,IF(A149='Données projet'!$A$88,'Données projet'!$B$88,BD148+BC149-BL148)))</f>
        <v>297.19999999999953</v>
      </c>
      <c r="BE149" s="14">
        <f>BD149*VLOOKUP('Données projet'!$B$11,Paramètres!$A$1:$I$89,3,0)*VLOOKUP('Données projet'!$B$11,Paramètres!$A$1:$I$89,5,0)</f>
        <v>268.90655999999956</v>
      </c>
      <c r="BF149" s="14">
        <f t="shared" si="145"/>
        <v>64.617158945843656</v>
      </c>
      <c r="BG149" s="22">
        <f t="shared" si="115"/>
        <v>580.88714383067679</v>
      </c>
      <c r="BH149" s="62">
        <f t="shared" si="116"/>
        <v>874.22047716401016</v>
      </c>
      <c r="BI149" s="62">
        <f ca="1">AVERAGE(OFFSET($BH$3,0,0,'Données projet'!$E$11+1,1))-AVERAGE(OFFSET($H$3,0,0,'Données projet'!$E$11+1,1))</f>
        <v>430.40491895612814</v>
      </c>
      <c r="BJ149" s="62">
        <f t="shared" si="146"/>
        <v>231.36959598460686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-1.0818439477588981E-13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367.11183928586667</v>
      </c>
      <c r="CE149" s="62">
        <f t="shared" si="148"/>
        <v>281.52963027844595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-3.4106051316484809E-13</v>
      </c>
      <c r="CU149" s="18">
        <f>CT149*VLOOKUP('Données projet'!$B$13,Paramètres!$A$1:$I$89,3,0)*VLOOKUP('Données projet'!$B$13,Paramètres!$A$1:$I$89,5,0)</f>
        <v>-2.0395418687257919E-13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308.47522272937135</v>
      </c>
      <c r="CZ149" s="62">
        <f t="shared" si="150"/>
        <v>302.54354650449721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0.15401863555111989</v>
      </c>
      <c r="DH149" s="23">
        <f>EXP(-LN(2)/2)*DH148+(1-EXP(-LN(2)/2))/(LN(2)/2)*DB149*DE149*VLOOKUP('Données projet'!$B$13,Paramètres!$A$1:$I$89,3,0)*0.475*44/12</f>
        <v>5.9929911498999395E-17</v>
      </c>
      <c r="DI149" s="24">
        <f t="shared" si="123"/>
        <v>0.15401863555111994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-5.6843418860808015E-14</v>
      </c>
      <c r="DP149" s="18">
        <f>DO149*VLOOKUP('Données projet'!$B$14,Paramètres!$A$1:$I$89,3,0)*VLOOKUP('Données projet'!$B$14,Paramètres!$A$1:$I$89,5,0)</f>
        <v>-4.5224624045658861E-14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370.58277541710277</v>
      </c>
      <c r="DU149" s="62">
        <f t="shared" si="152"/>
        <v>404.61777090709171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240.22884864766218</v>
      </c>
      <c r="EP149" s="62">
        <f t="shared" si="154"/>
        <v>343.23776884143166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0.41292119030534269</v>
      </c>
      <c r="EX149" s="23">
        <f>EXP(-LN(2)/2)*EX148+(1-EXP(-LN(2)/2))/(LN(2)/2)*ER149*EU149*VLOOKUP('Données projet'!$B$15,Paramètres!$A$1:$I$89,3,0)*0.475*44/12</f>
        <v>5.7311169286029802E-17</v>
      </c>
      <c r="EY149" s="24">
        <f t="shared" si="129"/>
        <v>0.41292119030534274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-1.1368683772161603E-13</v>
      </c>
      <c r="FF149" s="18">
        <f>FE149*VLOOKUP('Données projet'!$B$16,Paramètres!$A$1:$I$89,3,0)*VLOOKUP('Données projet'!$B$16,Paramètres!$A$1:$I$89,5,0)</f>
        <v>-5.3205440053716299E-14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399.92909819003523</v>
      </c>
      <c r="FK149" s="62">
        <f t="shared" si="156"/>
        <v>163.7053537268381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-5.6843418860808015E-14</v>
      </c>
      <c r="GA149" s="18">
        <f>FZ149*VLOOKUP('Données projet'!$B$17,Paramètres!$A$1:$I$89,3,0)*VLOOKUP('Données projet'!$B$17,Paramètres!$A$1:$I$89,5,0)</f>
        <v>-4.1677594708744434E-14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344.4426665022238</v>
      </c>
      <c r="GF149" s="62">
        <f t="shared" si="158"/>
        <v>376.41441893222185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6.8212102632969618E-13</v>
      </c>
      <c r="GV149" s="18">
        <f>GU149*VLOOKUP('Données projet'!$B$18,Paramètres!$A$1:$I$89,3,0)*VLOOKUP('Données projet'!$B$18,Paramètres!$A$1:$I$89,5,0)</f>
        <v>3.2810021366458383E-13</v>
      </c>
      <c r="GW149" s="14">
        <f t="shared" si="159"/>
        <v>4.2923528923937213E-12</v>
      </c>
      <c r="GX149" s="22">
        <f t="shared" si="136"/>
        <v>8.0472891597182151E-12</v>
      </c>
      <c r="GY149" s="62">
        <f t="shared" si="137"/>
        <v>293.33333333334139</v>
      </c>
      <c r="GZ149" s="62">
        <f ca="1">AVERAGE(OFFSET($GY$3,0,0,'Données projet'!$E$18+1,1))-AVERAGE(OFFSET($H$3,0,0,'Données projet'!$E$18+1,1))</f>
        <v>441.17479680509746</v>
      </c>
      <c r="HA149" s="62">
        <f t="shared" si="160"/>
        <v>198.56576128410069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projet'!$B$9,Paramètres!$A$1:$I$89,3,0)*VLOOKUP('Données projet'!$B$9,Paramètres!$A$1:$I$89,5,0)</f>
        <v>-1.9065282685915009E-13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374.79806286316051</v>
      </c>
      <c r="T150" s="62">
        <f t="shared" si="142"/>
        <v>350.01856672839466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0.28786439054132262</v>
      </c>
      <c r="AB150" s="23">
        <f>EXP(-LN(2)/2)*AB149+(1-EXP(-LN(2)/2))/(LN(2)/2)*V150*Y150*VLOOKUP('Données projet'!$B$9,Paramètres!$A$1:$I$89,3,0)*0.475*44/12</f>
        <v>2.2036355375463383E-17</v>
      </c>
      <c r="AC150" s="24">
        <f t="shared" si="111"/>
        <v>0.28786439054132262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-2.8421709430404007E-13</v>
      </c>
      <c r="AJ150" s="14">
        <f>AI150*VLOOKUP('Données projet'!$B$10,Paramètres!$A$1:$I$89,3,0)*VLOOKUP('Données projet'!$B$10,Paramètres!$A$1:$I$89,5,0)</f>
        <v>-2.4829205358400943E-13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401.89597032936751</v>
      </c>
      <c r="AO150" s="62">
        <f t="shared" si="144"/>
        <v>417.85733543972361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2.2000000000000002</v>
      </c>
      <c r="BD150" s="13">
        <f>IF('Données projet'!$A$88&gt;35,BD149+BC150-BL149,IF(A150&lt;'Données projet'!$A$88,$BA$205^A150,IF(A150='Données projet'!$A$88,'Données projet'!$B$88,BD149+BC150-BL149)))</f>
        <v>299.39999999999952</v>
      </c>
      <c r="BE150" s="14">
        <f>BD150*VLOOKUP('Données projet'!$B$11,Paramètres!$A$1:$I$89,3,0)*VLOOKUP('Données projet'!$B$11,Paramètres!$A$1:$I$89,5,0)</f>
        <v>270.89711999999952</v>
      </c>
      <c r="BF150" s="14">
        <f t="shared" si="145"/>
        <v>65.039624021315362</v>
      </c>
      <c r="BG150" s="22">
        <f t="shared" si="115"/>
        <v>585.08982917045671</v>
      </c>
      <c r="BH150" s="62">
        <f t="shared" si="116"/>
        <v>878.42316250379008</v>
      </c>
      <c r="BI150" s="62">
        <f ca="1">AVERAGE(OFFSET($BH$3,0,0,'Données projet'!$E$11+1,1))-AVERAGE(OFFSET($H$3,0,0,'Données projet'!$E$11+1,1))</f>
        <v>430.40491895612814</v>
      </c>
      <c r="BJ150" s="62">
        <f t="shared" si="146"/>
        <v>231.36959598460686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-1.0818439477588981E-13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367.11183928586667</v>
      </c>
      <c r="CE150" s="62">
        <f t="shared" si="148"/>
        <v>281.52963027844595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-3.4106051316484809E-13</v>
      </c>
      <c r="CU150" s="18">
        <f>CT150*VLOOKUP('Données projet'!$B$13,Paramètres!$A$1:$I$89,3,0)*VLOOKUP('Données projet'!$B$13,Paramètres!$A$1:$I$89,5,0)</f>
        <v>-2.0395418687257919E-13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308.47522272937135</v>
      </c>
      <c r="CZ150" s="62">
        <f t="shared" si="150"/>
        <v>302.54354650449721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0.14980698786248647</v>
      </c>
      <c r="DH150" s="23">
        <f>EXP(-LN(2)/2)*DH149+(1-EXP(-LN(2)/2))/(LN(2)/2)*DB150*DE150*VLOOKUP('Données projet'!$B$13,Paramètres!$A$1:$I$89,3,0)*0.475*44/12</f>
        <v>4.2376846816852125E-17</v>
      </c>
      <c r="DI150" s="24">
        <f t="shared" si="123"/>
        <v>0.14980698786248653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-5.6843418860808015E-14</v>
      </c>
      <c r="DP150" s="18">
        <f>DO150*VLOOKUP('Données projet'!$B$14,Paramètres!$A$1:$I$89,3,0)*VLOOKUP('Données projet'!$B$14,Paramètres!$A$1:$I$89,5,0)</f>
        <v>-4.5224624045658861E-14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370.58277541710277</v>
      </c>
      <c r="DU150" s="62">
        <f t="shared" si="152"/>
        <v>404.61777090709171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240.22884864766218</v>
      </c>
      <c r="EP150" s="62">
        <f t="shared" si="154"/>
        <v>343.23776884143166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0.40162983864186141</v>
      </c>
      <c r="EX150" s="23">
        <f>EXP(-LN(2)/2)*EX149+(1-EXP(-LN(2)/2))/(LN(2)/2)*ER150*EU150*VLOOKUP('Données projet'!$B$15,Paramètres!$A$1:$I$89,3,0)*0.475*44/12</f>
        <v>4.0525116439881859E-17</v>
      </c>
      <c r="EY150" s="24">
        <f t="shared" si="129"/>
        <v>0.40162983864186147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-1.1368683772161603E-13</v>
      </c>
      <c r="FF150" s="18">
        <f>FE150*VLOOKUP('Données projet'!$B$16,Paramètres!$A$1:$I$89,3,0)*VLOOKUP('Données projet'!$B$16,Paramètres!$A$1:$I$89,5,0)</f>
        <v>-5.3205440053716299E-14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399.92909819003523</v>
      </c>
      <c r="FK150" s="62">
        <f t="shared" si="156"/>
        <v>163.7053537268381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-5.6843418860808015E-14</v>
      </c>
      <c r="GA150" s="18">
        <f>FZ150*VLOOKUP('Données projet'!$B$17,Paramètres!$A$1:$I$89,3,0)*VLOOKUP('Données projet'!$B$17,Paramètres!$A$1:$I$89,5,0)</f>
        <v>-4.1677594708744434E-14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344.4426665022238</v>
      </c>
      <c r="GF150" s="62">
        <f t="shared" si="158"/>
        <v>376.41441893222185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6.8212102632969618E-13</v>
      </c>
      <c r="GV150" s="18">
        <f>GU150*VLOOKUP('Données projet'!$B$18,Paramètres!$A$1:$I$89,3,0)*VLOOKUP('Données projet'!$B$18,Paramètres!$A$1:$I$89,5,0)</f>
        <v>3.2810021366458383E-13</v>
      </c>
      <c r="GW150" s="14">
        <f t="shared" si="159"/>
        <v>4.2923528923937213E-12</v>
      </c>
      <c r="GX150" s="22">
        <f t="shared" si="136"/>
        <v>8.0472891597182151E-12</v>
      </c>
      <c r="GY150" s="62">
        <f t="shared" si="137"/>
        <v>293.33333333334139</v>
      </c>
      <c r="GZ150" s="62">
        <f ca="1">AVERAGE(OFFSET($GY$3,0,0,'Données projet'!$E$18+1,1))-AVERAGE(OFFSET($H$3,0,0,'Données projet'!$E$18+1,1))</f>
        <v>441.17479680509746</v>
      </c>
      <c r="HA150" s="62">
        <f t="shared" si="160"/>
        <v>198.56576128410069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projet'!$B$9,Paramètres!$A$1:$I$89,3,0)*VLOOKUP('Données projet'!$B$9,Paramètres!$A$1:$I$89,5,0)</f>
        <v>-1.9065282685915009E-13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374.79806286316051</v>
      </c>
      <c r="T151" s="62">
        <f t="shared" si="142"/>
        <v>350.01856672839466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0.27999272364383976</v>
      </c>
      <c r="AB151" s="23">
        <f>EXP(-LN(2)/2)*AB150+(1-EXP(-LN(2)/2))/(LN(2)/2)*V151*Y151*VLOOKUP('Données projet'!$B$9,Paramètres!$A$1:$I$89,3,0)*0.475*44/12</f>
        <v>1.5582056318626786E-17</v>
      </c>
      <c r="AC151" s="24">
        <f t="shared" si="111"/>
        <v>0.27999272364383976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-2.8421709430404007E-13</v>
      </c>
      <c r="AJ151" s="14">
        <f>AI151*VLOOKUP('Données projet'!$B$10,Paramètres!$A$1:$I$89,3,0)*VLOOKUP('Données projet'!$B$10,Paramètres!$A$1:$I$89,5,0)</f>
        <v>-2.4829205358400943E-13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401.89597032936751</v>
      </c>
      <c r="AO151" s="62">
        <f t="shared" si="144"/>
        <v>417.85733543972361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2.2000000000000002</v>
      </c>
      <c r="BD151" s="13">
        <f>IF('Données projet'!$A$88&gt;35,BD150+BC151-BL150,IF(A151&lt;'Données projet'!$A$88,$BA$205^A151,IF(A151='Données projet'!$A$88,'Données projet'!$B$88,BD150+BC151-BL150)))</f>
        <v>301.59999999999951</v>
      </c>
      <c r="BE151" s="14">
        <f>BD151*VLOOKUP('Données projet'!$B$11,Paramètres!$A$1:$I$89,3,0)*VLOOKUP('Données projet'!$B$11,Paramètres!$A$1:$I$89,5,0)</f>
        <v>272.88767999999953</v>
      </c>
      <c r="BF151" s="14">
        <f t="shared" si="145"/>
        <v>65.461727908967305</v>
      </c>
      <c r="BG151" s="22">
        <f t="shared" si="115"/>
        <v>589.29188544145063</v>
      </c>
      <c r="BH151" s="62">
        <f t="shared" si="116"/>
        <v>882.62521877478389</v>
      </c>
      <c r="BI151" s="62">
        <f ca="1">AVERAGE(OFFSET($BH$3,0,0,'Données projet'!$E$11+1,1))-AVERAGE(OFFSET($H$3,0,0,'Données projet'!$E$11+1,1))</f>
        <v>430.40491895612814</v>
      </c>
      <c r="BJ151" s="62">
        <f t="shared" si="146"/>
        <v>231.36959598460686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-1.0818439477588981E-13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367.11183928586667</v>
      </c>
      <c r="CE151" s="62">
        <f t="shared" si="148"/>
        <v>281.52963027844595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-3.4106051316484809E-13</v>
      </c>
      <c r="CU151" s="18">
        <f>CT151*VLOOKUP('Données projet'!$B$13,Paramètres!$A$1:$I$89,3,0)*VLOOKUP('Données projet'!$B$13,Paramètres!$A$1:$I$89,5,0)</f>
        <v>-2.0395418687257919E-13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308.47522272937135</v>
      </c>
      <c r="CZ151" s="62">
        <f t="shared" si="150"/>
        <v>302.54354650449721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0.14571050790137968</v>
      </c>
      <c r="DH151" s="23">
        <f>EXP(-LN(2)/2)*DH150+(1-EXP(-LN(2)/2))/(LN(2)/2)*DB151*DE151*VLOOKUP('Données projet'!$B$13,Paramètres!$A$1:$I$89,3,0)*0.475*44/12</f>
        <v>2.9964955749499697E-17</v>
      </c>
      <c r="DI151" s="24">
        <f t="shared" si="123"/>
        <v>0.14571050790137971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-5.6843418860808015E-14</v>
      </c>
      <c r="DP151" s="18">
        <f>DO151*VLOOKUP('Données projet'!$B$14,Paramètres!$A$1:$I$89,3,0)*VLOOKUP('Données projet'!$B$14,Paramètres!$A$1:$I$89,5,0)</f>
        <v>-4.5224624045658861E-14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370.58277541710277</v>
      </c>
      <c r="DU151" s="62">
        <f t="shared" si="152"/>
        <v>404.61777090709171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240.22884864766218</v>
      </c>
      <c r="EP151" s="62">
        <f t="shared" si="154"/>
        <v>343.23776884143166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0.39064724958340441</v>
      </c>
      <c r="EX151" s="23">
        <f>EXP(-LN(2)/2)*EX150+(1-EXP(-LN(2)/2))/(LN(2)/2)*ER151*EU151*VLOOKUP('Données projet'!$B$15,Paramètres!$A$1:$I$89,3,0)*0.475*44/12</f>
        <v>2.8655584643014901E-17</v>
      </c>
      <c r="EY151" s="24">
        <f t="shared" si="129"/>
        <v>0.39064724958340447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-1.1368683772161603E-13</v>
      </c>
      <c r="FF151" s="18">
        <f>FE151*VLOOKUP('Données projet'!$B$16,Paramètres!$A$1:$I$89,3,0)*VLOOKUP('Données projet'!$B$16,Paramètres!$A$1:$I$89,5,0)</f>
        <v>-5.3205440053716299E-14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399.92909819003523</v>
      </c>
      <c r="FK151" s="62">
        <f t="shared" si="156"/>
        <v>163.7053537268381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-5.6843418860808015E-14</v>
      </c>
      <c r="GA151" s="18">
        <f>FZ151*VLOOKUP('Données projet'!$B$17,Paramètres!$A$1:$I$89,3,0)*VLOOKUP('Données projet'!$B$17,Paramètres!$A$1:$I$89,5,0)</f>
        <v>-4.1677594708744434E-14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344.4426665022238</v>
      </c>
      <c r="GF151" s="62">
        <f t="shared" si="158"/>
        <v>376.41441893222185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6.8212102632969618E-13</v>
      </c>
      <c r="GV151" s="18">
        <f>GU151*VLOOKUP('Données projet'!$B$18,Paramètres!$A$1:$I$89,3,0)*VLOOKUP('Données projet'!$B$18,Paramètres!$A$1:$I$89,5,0)</f>
        <v>3.2810021366458383E-13</v>
      </c>
      <c r="GW151" s="14">
        <f t="shared" si="159"/>
        <v>4.2923528923937213E-12</v>
      </c>
      <c r="GX151" s="22">
        <f t="shared" si="136"/>
        <v>8.0472891597182151E-12</v>
      </c>
      <c r="GY151" s="62">
        <f t="shared" si="137"/>
        <v>293.33333333334139</v>
      </c>
      <c r="GZ151" s="62">
        <f ca="1">AVERAGE(OFFSET($GY$3,0,0,'Données projet'!$E$18+1,1))-AVERAGE(OFFSET($H$3,0,0,'Données projet'!$E$18+1,1))</f>
        <v>441.17479680509746</v>
      </c>
      <c r="HA151" s="62">
        <f t="shared" si="160"/>
        <v>198.56576128410069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projet'!$B$9,Paramètres!$A$1:$I$89,3,0)*VLOOKUP('Données projet'!$B$9,Paramètres!$A$1:$I$89,5,0)</f>
        <v>-1.9065282685915009E-13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374.79806286316051</v>
      </c>
      <c r="T152" s="62">
        <f t="shared" si="142"/>
        <v>350.01856672839466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0.27233630789162155</v>
      </c>
      <c r="AB152" s="23">
        <f>EXP(-LN(2)/2)*AB151+(1-EXP(-LN(2)/2))/(LN(2)/2)*V152*Y152*VLOOKUP('Données projet'!$B$9,Paramètres!$A$1:$I$89,3,0)*0.475*44/12</f>
        <v>1.1018177687731691E-17</v>
      </c>
      <c r="AC152" s="24">
        <f t="shared" si="111"/>
        <v>0.27233630789162155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-2.8421709430404007E-13</v>
      </c>
      <c r="AJ152" s="14">
        <f>AI152*VLOOKUP('Données projet'!$B$10,Paramètres!$A$1:$I$89,3,0)*VLOOKUP('Données projet'!$B$10,Paramètres!$A$1:$I$89,5,0)</f>
        <v>-2.4829205358400943E-13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401.89597032936751</v>
      </c>
      <c r="AO152" s="62">
        <f t="shared" si="144"/>
        <v>417.85733543972361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2.2000000000000002</v>
      </c>
      <c r="BD152" s="13">
        <f>IF('Données projet'!$A$88&gt;35,BD151+BC152-BL151,IF(A152&lt;'Données projet'!$A$88,$BA$205^A152,IF(A152='Données projet'!$A$88,'Données projet'!$B$88,BD151+BC152-BL151)))</f>
        <v>303.7999999999995</v>
      </c>
      <c r="BE152" s="14">
        <f>BD152*VLOOKUP('Données projet'!$B$11,Paramètres!$A$1:$I$89,3,0)*VLOOKUP('Données projet'!$B$11,Paramètres!$A$1:$I$89,5,0)</f>
        <v>274.87823999999955</v>
      </c>
      <c r="BF152" s="14">
        <f t="shared" si="145"/>
        <v>65.883473548936905</v>
      </c>
      <c r="BG152" s="22">
        <f t="shared" si="115"/>
        <v>593.4933177643976</v>
      </c>
      <c r="BH152" s="62">
        <f t="shared" si="116"/>
        <v>886.82665109773097</v>
      </c>
      <c r="BI152" s="62">
        <f ca="1">AVERAGE(OFFSET($BH$3,0,0,'Données projet'!$E$11+1,1))-AVERAGE(OFFSET($H$3,0,0,'Données projet'!$E$11+1,1))</f>
        <v>430.40491895612814</v>
      </c>
      <c r="BJ152" s="62">
        <f t="shared" si="146"/>
        <v>231.36959598460686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-1.0818439477588981E-13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367.11183928586667</v>
      </c>
      <c r="CE152" s="62">
        <f t="shared" si="148"/>
        <v>281.52963027844595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-3.4106051316484809E-13</v>
      </c>
      <c r="CU152" s="18">
        <f>CT152*VLOOKUP('Données projet'!$B$13,Paramètres!$A$1:$I$89,3,0)*VLOOKUP('Données projet'!$B$13,Paramètres!$A$1:$I$89,5,0)</f>
        <v>-2.0395418687257919E-13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308.47522272937135</v>
      </c>
      <c r="CZ152" s="62">
        <f t="shared" si="150"/>
        <v>302.54354650449721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0.14172604640023387</v>
      </c>
      <c r="DH152" s="23">
        <f>EXP(-LN(2)/2)*DH151+(1-EXP(-LN(2)/2))/(LN(2)/2)*DB152*DE152*VLOOKUP('Données projet'!$B$13,Paramètres!$A$1:$I$89,3,0)*0.475*44/12</f>
        <v>2.1188423408426062E-17</v>
      </c>
      <c r="DI152" s="24">
        <f t="shared" si="123"/>
        <v>0.1417260464002339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-5.6843418860808015E-14</v>
      </c>
      <c r="DP152" s="18">
        <f>DO152*VLOOKUP('Données projet'!$B$14,Paramètres!$A$1:$I$89,3,0)*VLOOKUP('Données projet'!$B$14,Paramètres!$A$1:$I$89,5,0)</f>
        <v>-4.5224624045658861E-14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370.58277541710277</v>
      </c>
      <c r="DU152" s="62">
        <f t="shared" si="152"/>
        <v>404.61777090709171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240.22884864766218</v>
      </c>
      <c r="EP152" s="62">
        <f t="shared" si="154"/>
        <v>343.23776884143166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0.37996498000030021</v>
      </c>
      <c r="EX152" s="23">
        <f>EXP(-LN(2)/2)*EX151+(1-EXP(-LN(2)/2))/(LN(2)/2)*ER152*EU152*VLOOKUP('Données projet'!$B$15,Paramètres!$A$1:$I$89,3,0)*0.475*44/12</f>
        <v>2.0262558219940929E-17</v>
      </c>
      <c r="EY152" s="24">
        <f t="shared" si="129"/>
        <v>0.37996498000030021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-1.1368683772161603E-13</v>
      </c>
      <c r="FF152" s="18">
        <f>FE152*VLOOKUP('Données projet'!$B$16,Paramètres!$A$1:$I$89,3,0)*VLOOKUP('Données projet'!$B$16,Paramètres!$A$1:$I$89,5,0)</f>
        <v>-5.3205440053716299E-14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399.92909819003523</v>
      </c>
      <c r="FK152" s="62">
        <f t="shared" si="156"/>
        <v>163.7053537268381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-5.6843418860808015E-14</v>
      </c>
      <c r="GA152" s="18">
        <f>FZ152*VLOOKUP('Données projet'!$B$17,Paramètres!$A$1:$I$89,3,0)*VLOOKUP('Données projet'!$B$17,Paramètres!$A$1:$I$89,5,0)</f>
        <v>-4.1677594708744434E-14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344.4426665022238</v>
      </c>
      <c r="GF152" s="62">
        <f t="shared" si="158"/>
        <v>376.41441893222185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6.8212102632969618E-13</v>
      </c>
      <c r="GV152" s="18">
        <f>GU152*VLOOKUP('Données projet'!$B$18,Paramètres!$A$1:$I$89,3,0)*VLOOKUP('Données projet'!$B$18,Paramètres!$A$1:$I$89,5,0)</f>
        <v>3.2810021366458383E-13</v>
      </c>
      <c r="GW152" s="14">
        <f t="shared" si="159"/>
        <v>4.2923528923937213E-12</v>
      </c>
      <c r="GX152" s="22">
        <f t="shared" si="136"/>
        <v>8.0472891597182151E-12</v>
      </c>
      <c r="GY152" s="62">
        <f t="shared" si="137"/>
        <v>293.33333333334139</v>
      </c>
      <c r="GZ152" s="62">
        <f ca="1">AVERAGE(OFFSET($GY$3,0,0,'Données projet'!$E$18+1,1))-AVERAGE(OFFSET($H$3,0,0,'Données projet'!$E$18+1,1))</f>
        <v>441.17479680509746</v>
      </c>
      <c r="HA152" s="62">
        <f t="shared" si="160"/>
        <v>198.56576128410069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projet'!$B$9,Paramètres!$A$1:$I$89,3,0)*VLOOKUP('Données projet'!$B$9,Paramètres!$A$1:$I$89,5,0)</f>
        <v>-1.9065282685915009E-13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374.79806286316051</v>
      </c>
      <c r="T153" s="62">
        <f t="shared" si="142"/>
        <v>350.01856672839466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0.26488925723078116</v>
      </c>
      <c r="AB153" s="23">
        <f>EXP(-LN(2)/2)*AB152+(1-EXP(-LN(2)/2))/(LN(2)/2)*V153*Y153*VLOOKUP('Données projet'!$B$9,Paramètres!$A$1:$I$89,3,0)*0.475*44/12</f>
        <v>7.7910281593133932E-18</v>
      </c>
      <c r="AC153" s="24">
        <f t="shared" si="111"/>
        <v>0.26488925723078116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-2.8421709430404007E-13</v>
      </c>
      <c r="AJ153" s="14">
        <f>AI153*VLOOKUP('Données projet'!$B$10,Paramètres!$A$1:$I$89,3,0)*VLOOKUP('Données projet'!$B$10,Paramètres!$A$1:$I$89,5,0)</f>
        <v>-2.4829205358400943E-13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401.89597032936751</v>
      </c>
      <c r="AO153" s="62">
        <f t="shared" si="144"/>
        <v>417.85733543972361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306</v>
      </c>
      <c r="BB153" s="13">
        <f>VLOOKUP(A153,'Données projet'!$A$87:$I$107,9,0)</f>
        <v>2.2000000000000002</v>
      </c>
      <c r="BC153" s="13">
        <f t="array" ref="BC153">INDEX(BB:BB,MIN(IF(ISNUMBER(BB153:BB349),ROW(BB153:BB349),"")))</f>
        <v>2.2000000000000002</v>
      </c>
      <c r="BD153" s="13">
        <f>IF('Données projet'!$A$88&gt;35,BD152+BC153-BL152,IF(A153&lt;'Données projet'!$A$88,$BA$205^A153,IF(A153='Données projet'!$A$88,'Données projet'!$B$88,BD152+BC153-BL152)))</f>
        <v>305.99999999999949</v>
      </c>
      <c r="BE153" s="14">
        <f>BD153*VLOOKUP('Données projet'!$B$11,Paramètres!$A$1:$I$89,3,0)*VLOOKUP('Données projet'!$B$11,Paramètres!$A$1:$I$89,5,0)</f>
        <v>276.86879999999951</v>
      </c>
      <c r="BF153" s="14">
        <f t="shared" si="145"/>
        <v>66.304863836318546</v>
      </c>
      <c r="BG153" s="22">
        <f t="shared" si="115"/>
        <v>597.6941311815873</v>
      </c>
      <c r="BH153" s="62">
        <f t="shared" si="116"/>
        <v>891.02746451492067</v>
      </c>
      <c r="BI153" s="62">
        <f ca="1">AVERAGE(OFFSET($BH$3,0,0,'Données projet'!$E$11+1,1))-AVERAGE(OFFSET($H$3,0,0,'Données projet'!$E$11+1,1))</f>
        <v>430.40491895612814</v>
      </c>
      <c r="BJ153" s="62">
        <f t="shared" si="146"/>
        <v>231.36959598460686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306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-1.0818439477588981E-13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367.11183928586667</v>
      </c>
      <c r="CE153" s="62">
        <f t="shared" si="148"/>
        <v>281.52963027844595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-3.4106051316484809E-13</v>
      </c>
      <c r="CU153" s="18">
        <f>CT153*VLOOKUP('Données projet'!$B$13,Paramètres!$A$1:$I$89,3,0)*VLOOKUP('Données projet'!$B$13,Paramètres!$A$1:$I$89,5,0)</f>
        <v>-2.0395418687257919E-13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308.47522272937135</v>
      </c>
      <c r="CZ153" s="62">
        <f t="shared" si="150"/>
        <v>302.54354650449721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0.13785054020837062</v>
      </c>
      <c r="DH153" s="23">
        <f>EXP(-LN(2)/2)*DH152+(1-EXP(-LN(2)/2))/(LN(2)/2)*DB153*DE153*VLOOKUP('Données projet'!$B$13,Paramètres!$A$1:$I$89,3,0)*0.475*44/12</f>
        <v>1.4982477874749849E-17</v>
      </c>
      <c r="DI153" s="24">
        <f t="shared" si="123"/>
        <v>0.13785054020837065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-5.6843418860808015E-14</v>
      </c>
      <c r="DP153" s="18">
        <f>DO153*VLOOKUP('Données projet'!$B$14,Paramètres!$A$1:$I$89,3,0)*VLOOKUP('Données projet'!$B$14,Paramètres!$A$1:$I$89,5,0)</f>
        <v>-4.5224624045658861E-14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370.58277541710277</v>
      </c>
      <c r="DU153" s="62">
        <f t="shared" si="152"/>
        <v>404.61777090709171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240.22884864766218</v>
      </c>
      <c r="EP153" s="62">
        <f t="shared" si="154"/>
        <v>343.23776884143166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0.3695748176407021</v>
      </c>
      <c r="EX153" s="23">
        <f>EXP(-LN(2)/2)*EX152+(1-EXP(-LN(2)/2))/(LN(2)/2)*ER153*EU153*VLOOKUP('Données projet'!$B$15,Paramètres!$A$1:$I$89,3,0)*0.475*44/12</f>
        <v>1.432779232150745E-17</v>
      </c>
      <c r="EY153" s="24">
        <f t="shared" si="129"/>
        <v>0.3695748176407021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-1.1368683772161603E-13</v>
      </c>
      <c r="FF153" s="18">
        <f>FE153*VLOOKUP('Données projet'!$B$16,Paramètres!$A$1:$I$89,3,0)*VLOOKUP('Données projet'!$B$16,Paramètres!$A$1:$I$89,5,0)</f>
        <v>-5.3205440053716299E-14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399.92909819003523</v>
      </c>
      <c r="FK153" s="62">
        <f t="shared" si="156"/>
        <v>163.7053537268381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-5.6843418860808015E-14</v>
      </c>
      <c r="GA153" s="18">
        <f>FZ153*VLOOKUP('Données projet'!$B$17,Paramètres!$A$1:$I$89,3,0)*VLOOKUP('Données projet'!$B$17,Paramètres!$A$1:$I$89,5,0)</f>
        <v>-4.1677594708744434E-14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344.4426665022238</v>
      </c>
      <c r="GF153" s="62">
        <f t="shared" si="158"/>
        <v>376.41441893222185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6.8212102632969618E-13</v>
      </c>
      <c r="GV153" s="18">
        <f>GU153*VLOOKUP('Données projet'!$B$18,Paramètres!$A$1:$I$89,3,0)*VLOOKUP('Données projet'!$B$18,Paramètres!$A$1:$I$89,5,0)</f>
        <v>3.2810021366458383E-13</v>
      </c>
      <c r="GW153" s="14">
        <f t="shared" si="159"/>
        <v>4.2923528923937213E-12</v>
      </c>
      <c r="GX153" s="22">
        <f t="shared" si="136"/>
        <v>8.0472891597182151E-12</v>
      </c>
      <c r="GY153" s="62">
        <f t="shared" si="137"/>
        <v>293.33333333334139</v>
      </c>
      <c r="GZ153" s="62">
        <f ca="1">AVERAGE(OFFSET($GY$3,0,0,'Données projet'!$E$18+1,1))-AVERAGE(OFFSET($H$3,0,0,'Données projet'!$E$18+1,1))</f>
        <v>441.17479680509746</v>
      </c>
      <c r="HA153" s="62">
        <f t="shared" si="160"/>
        <v>198.56576128410069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-1.9065282685915009E-13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374.79806286316051</v>
      </c>
      <c r="T154" s="62">
        <f t="shared" si="142"/>
        <v>350.01856672839466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0.25764584656188483</v>
      </c>
      <c r="AB154" s="23">
        <f>EXP(-LN(2)/2)*AB153+(1-EXP(-LN(2)/2))/(LN(2)/2)*V154*Y154*VLOOKUP('Données projet'!$B$9,Paramètres!$A$1:$I$89,3,0)*0.475*44/12</f>
        <v>5.5090888438658457E-18</v>
      </c>
      <c r="AC154" s="24">
        <f t="shared" ref="AC154:AC203" si="163">SUM(Z154:AB154)</f>
        <v>0.25764584656188483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-2.8421709430404007E-13</v>
      </c>
      <c r="AJ154" s="14">
        <f>AI154*VLOOKUP('Données projet'!$B$10,Paramètres!$A$1:$I$89,3,0)*VLOOKUP('Données projet'!$B$10,Paramètres!$A$1:$I$89,5,0)</f>
        <v>-2.4829205358400943E-13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401.89597032936751</v>
      </c>
      <c r="AO154" s="62">
        <f t="shared" si="144"/>
        <v>417.85733543972361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-5.1159076974727213E-13</v>
      </c>
      <c r="BE154" s="14">
        <f>BD154*VLOOKUP('Données projet'!$B$11,Paramètres!$A$1:$I$89,3,0)*VLOOKUP('Données projet'!$B$11,Paramètres!$A$1:$I$89,5,0)</f>
        <v>-4.6288732846733184E-13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430.40491895612814</v>
      </c>
      <c r="BJ154" s="62">
        <f t="shared" si="146"/>
        <v>231.36959598460686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-1.0818439477588981E-13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367.11183928586667</v>
      </c>
      <c r="CE154" s="62">
        <f t="shared" si="148"/>
        <v>281.52963027844595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-3.4106051316484809E-13</v>
      </c>
      <c r="CU154" s="18">
        <f>CT154*VLOOKUP('Données projet'!$B$13,Paramètres!$A$1:$I$89,3,0)*VLOOKUP('Données projet'!$B$13,Paramètres!$A$1:$I$89,5,0)</f>
        <v>-2.0395418687257919E-13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308.47522272937135</v>
      </c>
      <c r="CZ154" s="62">
        <f t="shared" si="150"/>
        <v>302.54354650449721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0.13408100993712788</v>
      </c>
      <c r="DH154" s="23">
        <f>EXP(-LN(2)/2)*DH153+(1-EXP(-LN(2)/2))/(LN(2)/2)*DB154*DE154*VLOOKUP('Données projet'!$B$13,Paramètres!$A$1:$I$89,3,0)*0.475*44/12</f>
        <v>1.0594211704213031E-17</v>
      </c>
      <c r="DI154" s="24">
        <f t="shared" ref="DI154:DI203" si="175">SUM(DF154:DH154)</f>
        <v>0.13408100993712788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-5.6843418860808015E-14</v>
      </c>
      <c r="DP154" s="18">
        <f>DO154*VLOOKUP('Données projet'!$B$14,Paramètres!$A$1:$I$89,3,0)*VLOOKUP('Données projet'!$B$14,Paramètres!$A$1:$I$89,5,0)</f>
        <v>-4.5224624045658861E-14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370.58277541710277</v>
      </c>
      <c r="DU154" s="62">
        <f t="shared" si="152"/>
        <v>404.61777090709171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240.22884864766218</v>
      </c>
      <c r="EP154" s="62">
        <f t="shared" si="154"/>
        <v>343.23776884143166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0.35946877481722211</v>
      </c>
      <c r="EX154" s="23">
        <f>EXP(-LN(2)/2)*EX153+(1-EXP(-LN(2)/2))/(LN(2)/2)*ER154*EU154*VLOOKUP('Données projet'!$B$15,Paramètres!$A$1:$I$89,3,0)*0.475*44/12</f>
        <v>1.0131279109970465E-17</v>
      </c>
      <c r="EY154" s="24">
        <f t="shared" ref="EY154:EY203" si="181">SUM(EV154:EX154)</f>
        <v>0.35946877481722211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-1.1368683772161603E-13</v>
      </c>
      <c r="FF154" s="18">
        <f>FE154*VLOOKUP('Données projet'!$B$16,Paramètres!$A$1:$I$89,3,0)*VLOOKUP('Données projet'!$B$16,Paramètres!$A$1:$I$89,5,0)</f>
        <v>-5.3205440053716299E-14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399.92909819003523</v>
      </c>
      <c r="FK154" s="62">
        <f t="shared" si="156"/>
        <v>163.7053537268381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-5.6843418860808015E-14</v>
      </c>
      <c r="GA154" s="18">
        <f>FZ154*VLOOKUP('Données projet'!$B$17,Paramètres!$A$1:$I$89,3,0)*VLOOKUP('Données projet'!$B$17,Paramètres!$A$1:$I$89,5,0)</f>
        <v>-4.1677594708744434E-14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344.4426665022238</v>
      </c>
      <c r="GF154" s="62">
        <f t="shared" si="158"/>
        <v>376.41441893222185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6.8212102632969618E-13</v>
      </c>
      <c r="GV154" s="18">
        <f>GU154*VLOOKUP('Données projet'!$B$18,Paramètres!$A$1:$I$89,3,0)*VLOOKUP('Données projet'!$B$18,Paramètres!$A$1:$I$89,5,0)</f>
        <v>3.2810021366458383E-13</v>
      </c>
      <c r="GW154" s="14">
        <f t="shared" ref="GW154:GW203" si="188">EXP(-1.0587+0.8836*LN(GV154)+0.284)</f>
        <v>4.2923528923937213E-12</v>
      </c>
      <c r="GX154" s="22">
        <f t="shared" ref="GX154:GX203" si="189">(GV154+GW154)*0.475*44/12</f>
        <v>8.0472891597182151E-12</v>
      </c>
      <c r="GY154" s="62">
        <f t="shared" si="137"/>
        <v>293.33333333334139</v>
      </c>
      <c r="GZ154" s="62">
        <f ca="1">AVERAGE(OFFSET($GY$3,0,0,'Données projet'!$E$18+1,1))-AVERAGE(OFFSET($H$3,0,0,'Données projet'!$E$18+1,1))</f>
        <v>441.17479680509746</v>
      </c>
      <c r="HA154" s="62">
        <f t="shared" si="160"/>
        <v>198.56576128410069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-1.9065282685915009E-13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374.79806286316051</v>
      </c>
      <c r="T155" s="62">
        <f t="shared" si="142"/>
        <v>350.01856672839466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0.25060050733864386</v>
      </c>
      <c r="AB155" s="23">
        <f>EXP(-LN(2)/2)*AB154+(1-EXP(-LN(2)/2))/(LN(2)/2)*V155*Y155*VLOOKUP('Données projet'!$B$9,Paramètres!$A$1:$I$89,3,0)*0.475*44/12</f>
        <v>3.8955140796566966E-18</v>
      </c>
      <c r="AC155" s="24">
        <f t="shared" si="163"/>
        <v>0.25060050733864386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-2.8421709430404007E-13</v>
      </c>
      <c r="AJ155" s="14">
        <f>AI155*VLOOKUP('Données projet'!$B$10,Paramètres!$A$1:$I$89,3,0)*VLOOKUP('Données projet'!$B$10,Paramètres!$A$1:$I$89,5,0)</f>
        <v>-2.4829205358400943E-13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401.89597032936751</v>
      </c>
      <c r="AO155" s="62">
        <f t="shared" si="144"/>
        <v>417.85733543972361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-5.1159076974727213E-13</v>
      </c>
      <c r="BE155" s="14">
        <f>BD155*VLOOKUP('Données projet'!$B$11,Paramètres!$A$1:$I$89,3,0)*VLOOKUP('Données projet'!$B$11,Paramètres!$A$1:$I$89,5,0)</f>
        <v>-4.6288732846733184E-13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430.40491895612814</v>
      </c>
      <c r="BJ155" s="62">
        <f t="shared" si="146"/>
        <v>231.36959598460686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-1.0818439477588981E-13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367.11183928586667</v>
      </c>
      <c r="CE155" s="62">
        <f t="shared" si="148"/>
        <v>281.52963027844595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-3.4106051316484809E-13</v>
      </c>
      <c r="CU155" s="18">
        <f>CT155*VLOOKUP('Données projet'!$B$13,Paramètres!$A$1:$I$89,3,0)*VLOOKUP('Données projet'!$B$13,Paramètres!$A$1:$I$89,5,0)</f>
        <v>-2.0395418687257919E-13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308.47522272937135</v>
      </c>
      <c r="CZ155" s="62">
        <f t="shared" si="150"/>
        <v>302.54354650449721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0.13041455766938326</v>
      </c>
      <c r="DH155" s="23">
        <f>EXP(-LN(2)/2)*DH154+(1-EXP(-LN(2)/2))/(LN(2)/2)*DB155*DE155*VLOOKUP('Données projet'!$B$13,Paramètres!$A$1:$I$89,3,0)*0.475*44/12</f>
        <v>7.4912389373749243E-18</v>
      </c>
      <c r="DI155" s="24">
        <f t="shared" si="175"/>
        <v>0.13041455766938326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-5.6843418860808015E-14</v>
      </c>
      <c r="DP155" s="18">
        <f>DO155*VLOOKUP('Données projet'!$B$14,Paramètres!$A$1:$I$89,3,0)*VLOOKUP('Données projet'!$B$14,Paramètres!$A$1:$I$89,5,0)</f>
        <v>-4.5224624045658861E-14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370.58277541710277</v>
      </c>
      <c r="DU155" s="62">
        <f t="shared" si="152"/>
        <v>404.61777090709171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240.22884864766218</v>
      </c>
      <c r="EP155" s="62">
        <f t="shared" si="154"/>
        <v>343.23776884143166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0.34963908226620388</v>
      </c>
      <c r="EX155" s="23">
        <f>EXP(-LN(2)/2)*EX154+(1-EXP(-LN(2)/2))/(LN(2)/2)*ER155*EU155*VLOOKUP('Données projet'!$B$15,Paramètres!$A$1:$I$89,3,0)*0.475*44/12</f>
        <v>7.1638961607537252E-18</v>
      </c>
      <c r="EY155" s="24">
        <f t="shared" si="181"/>
        <v>0.34963908226620388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-1.1368683772161603E-13</v>
      </c>
      <c r="FF155" s="18">
        <f>FE155*VLOOKUP('Données projet'!$B$16,Paramètres!$A$1:$I$89,3,0)*VLOOKUP('Données projet'!$B$16,Paramètres!$A$1:$I$89,5,0)</f>
        <v>-5.3205440053716299E-14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399.92909819003523</v>
      </c>
      <c r="FK155" s="62">
        <f t="shared" si="156"/>
        <v>163.7053537268381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-5.6843418860808015E-14</v>
      </c>
      <c r="GA155" s="18">
        <f>FZ155*VLOOKUP('Données projet'!$B$17,Paramètres!$A$1:$I$89,3,0)*VLOOKUP('Données projet'!$B$17,Paramètres!$A$1:$I$89,5,0)</f>
        <v>-4.1677594708744434E-14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344.4426665022238</v>
      </c>
      <c r="GF155" s="62">
        <f t="shared" si="158"/>
        <v>376.41441893222185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6.8212102632969618E-13</v>
      </c>
      <c r="GV155" s="18">
        <f>GU155*VLOOKUP('Données projet'!$B$18,Paramètres!$A$1:$I$89,3,0)*VLOOKUP('Données projet'!$B$18,Paramètres!$A$1:$I$89,5,0)</f>
        <v>3.2810021366458383E-13</v>
      </c>
      <c r="GW155" s="14">
        <f t="shared" si="188"/>
        <v>4.2923528923937213E-12</v>
      </c>
      <c r="GX155" s="22">
        <f t="shared" si="189"/>
        <v>8.0472891597182151E-12</v>
      </c>
      <c r="GY155" s="62">
        <f t="shared" si="137"/>
        <v>293.33333333334139</v>
      </c>
      <c r="GZ155" s="62">
        <f ca="1">AVERAGE(OFFSET($GY$3,0,0,'Données projet'!$E$18+1,1))-AVERAGE(OFFSET($H$3,0,0,'Données projet'!$E$18+1,1))</f>
        <v>441.17479680509746</v>
      </c>
      <c r="HA155" s="62">
        <f t="shared" si="160"/>
        <v>198.56576128410069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-1.9065282685915009E-13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374.79806286316051</v>
      </c>
      <c r="T156" s="62">
        <f t="shared" si="142"/>
        <v>350.01856672839466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0.24374782328696071</v>
      </c>
      <c r="AB156" s="23">
        <f>EXP(-LN(2)/2)*AB155+(1-EXP(-LN(2)/2))/(LN(2)/2)*V156*Y156*VLOOKUP('Données projet'!$B$9,Paramètres!$A$1:$I$89,3,0)*0.475*44/12</f>
        <v>2.7545444219329228E-18</v>
      </c>
      <c r="AC156" s="24">
        <f t="shared" si="163"/>
        <v>0.24374782328696071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-2.8421709430404007E-13</v>
      </c>
      <c r="AJ156" s="14">
        <f>AI156*VLOOKUP('Données projet'!$B$10,Paramètres!$A$1:$I$89,3,0)*VLOOKUP('Données projet'!$B$10,Paramètres!$A$1:$I$89,5,0)</f>
        <v>-2.4829205358400943E-13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401.89597032936751</v>
      </c>
      <c r="AO156" s="62">
        <f t="shared" si="144"/>
        <v>417.85733543972361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-5.1159076974727213E-13</v>
      </c>
      <c r="BE156" s="14">
        <f>BD156*VLOOKUP('Données projet'!$B$11,Paramètres!$A$1:$I$89,3,0)*VLOOKUP('Données projet'!$B$11,Paramètres!$A$1:$I$89,5,0)</f>
        <v>-4.6288732846733184E-13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430.40491895612814</v>
      </c>
      <c r="BJ156" s="62">
        <f t="shared" si="146"/>
        <v>231.36959598460686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-1.0818439477588981E-13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367.11183928586667</v>
      </c>
      <c r="CE156" s="62">
        <f t="shared" si="148"/>
        <v>281.52963027844595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-3.4106051316484809E-13</v>
      </c>
      <c r="CU156" s="18">
        <f>CT156*VLOOKUP('Données projet'!$B$13,Paramètres!$A$1:$I$89,3,0)*VLOOKUP('Données projet'!$B$13,Paramètres!$A$1:$I$89,5,0)</f>
        <v>-2.0395418687257919E-13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308.47522272937135</v>
      </c>
      <c r="CZ156" s="62">
        <f t="shared" si="150"/>
        <v>302.54354650449721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0.12684836473171046</v>
      </c>
      <c r="DH156" s="23">
        <f>EXP(-LN(2)/2)*DH155+(1-EXP(-LN(2)/2))/(LN(2)/2)*DB156*DE156*VLOOKUP('Données projet'!$B$13,Paramètres!$A$1:$I$89,3,0)*0.475*44/12</f>
        <v>5.2971058521065156E-18</v>
      </c>
      <c r="DI156" s="24">
        <f t="shared" si="175"/>
        <v>0.12684836473171046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-5.6843418860808015E-14</v>
      </c>
      <c r="DP156" s="18">
        <f>DO156*VLOOKUP('Données projet'!$B$14,Paramètres!$A$1:$I$89,3,0)*VLOOKUP('Données projet'!$B$14,Paramètres!$A$1:$I$89,5,0)</f>
        <v>-4.5224624045658861E-14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370.58277541710277</v>
      </c>
      <c r="DU156" s="62">
        <f t="shared" si="152"/>
        <v>404.61777090709171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240.22884864766218</v>
      </c>
      <c r="EP156" s="62">
        <f t="shared" si="154"/>
        <v>343.23776884143166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0.34007818317491434</v>
      </c>
      <c r="EX156" s="23">
        <f>EXP(-LN(2)/2)*EX155+(1-EXP(-LN(2)/2))/(LN(2)/2)*ER156*EU156*VLOOKUP('Données projet'!$B$15,Paramètres!$A$1:$I$89,3,0)*0.475*44/12</f>
        <v>5.0656395549852323E-18</v>
      </c>
      <c r="EY156" s="24">
        <f t="shared" si="181"/>
        <v>0.34007818317491434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-1.1368683772161603E-13</v>
      </c>
      <c r="FF156" s="18">
        <f>FE156*VLOOKUP('Données projet'!$B$16,Paramètres!$A$1:$I$89,3,0)*VLOOKUP('Données projet'!$B$16,Paramètres!$A$1:$I$89,5,0)</f>
        <v>-5.3205440053716299E-14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399.92909819003523</v>
      </c>
      <c r="FK156" s="62">
        <f t="shared" si="156"/>
        <v>163.7053537268381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-5.6843418860808015E-14</v>
      </c>
      <c r="GA156" s="18">
        <f>FZ156*VLOOKUP('Données projet'!$B$17,Paramètres!$A$1:$I$89,3,0)*VLOOKUP('Données projet'!$B$17,Paramètres!$A$1:$I$89,5,0)</f>
        <v>-4.1677594708744434E-14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344.4426665022238</v>
      </c>
      <c r="GF156" s="62">
        <f t="shared" si="158"/>
        <v>376.41441893222185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6.8212102632969618E-13</v>
      </c>
      <c r="GV156" s="18">
        <f>GU156*VLOOKUP('Données projet'!$B$18,Paramètres!$A$1:$I$89,3,0)*VLOOKUP('Données projet'!$B$18,Paramètres!$A$1:$I$89,5,0)</f>
        <v>3.2810021366458383E-13</v>
      </c>
      <c r="GW156" s="14">
        <f t="shared" si="188"/>
        <v>4.2923528923937213E-12</v>
      </c>
      <c r="GX156" s="22">
        <f t="shared" si="189"/>
        <v>8.0472891597182151E-12</v>
      </c>
      <c r="GY156" s="62">
        <f t="shared" si="137"/>
        <v>293.33333333334139</v>
      </c>
      <c r="GZ156" s="62">
        <f ca="1">AVERAGE(OFFSET($GY$3,0,0,'Données projet'!$E$18+1,1))-AVERAGE(OFFSET($H$3,0,0,'Données projet'!$E$18+1,1))</f>
        <v>441.17479680509746</v>
      </c>
      <c r="HA156" s="62">
        <f t="shared" si="160"/>
        <v>198.56576128410069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-1.9065282685915009E-13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374.79806286316051</v>
      </c>
      <c r="T157" s="62">
        <f t="shared" si="142"/>
        <v>350.01856672839466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0.23708252624103784</v>
      </c>
      <c r="AB157" s="23">
        <f>EXP(-LN(2)/2)*AB156+(1-EXP(-LN(2)/2))/(LN(2)/2)*V157*Y157*VLOOKUP('Données projet'!$B$9,Paramètres!$A$1:$I$89,3,0)*0.475*44/12</f>
        <v>1.9477570398283483E-18</v>
      </c>
      <c r="AC157" s="24">
        <f t="shared" si="163"/>
        <v>0.23708252624103784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-2.8421709430404007E-13</v>
      </c>
      <c r="AJ157" s="14">
        <f>AI157*VLOOKUP('Données projet'!$B$10,Paramètres!$A$1:$I$89,3,0)*VLOOKUP('Données projet'!$B$10,Paramètres!$A$1:$I$89,5,0)</f>
        <v>-2.4829205358400943E-13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401.89597032936751</v>
      </c>
      <c r="AO157" s="62">
        <f t="shared" si="144"/>
        <v>417.85733543972361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-5.1159076974727213E-13</v>
      </c>
      <c r="BE157" s="14">
        <f>BD157*VLOOKUP('Données projet'!$B$11,Paramètres!$A$1:$I$89,3,0)*VLOOKUP('Données projet'!$B$11,Paramètres!$A$1:$I$89,5,0)</f>
        <v>-4.6288732846733184E-13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430.40491895612814</v>
      </c>
      <c r="BJ157" s="62">
        <f t="shared" si="146"/>
        <v>231.36959598460686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-1.0818439477588981E-13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367.11183928586667</v>
      </c>
      <c r="CE157" s="62">
        <f t="shared" si="148"/>
        <v>281.52963027844595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-3.4106051316484809E-13</v>
      </c>
      <c r="CU157" s="18">
        <f>CT157*VLOOKUP('Données projet'!$B$13,Paramètres!$A$1:$I$89,3,0)*VLOOKUP('Données projet'!$B$13,Paramètres!$A$1:$I$89,5,0)</f>
        <v>-2.0395418687257919E-13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308.47522272937135</v>
      </c>
      <c r="CZ157" s="62">
        <f t="shared" si="150"/>
        <v>302.54354650449721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0.12337968952745626</v>
      </c>
      <c r="DH157" s="23">
        <f>EXP(-LN(2)/2)*DH156+(1-EXP(-LN(2)/2))/(LN(2)/2)*DB157*DE157*VLOOKUP('Données projet'!$B$13,Paramètres!$A$1:$I$89,3,0)*0.475*44/12</f>
        <v>3.7456194686874622E-18</v>
      </c>
      <c r="DI157" s="24">
        <f t="shared" si="175"/>
        <v>0.12337968952745626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-5.6843418860808015E-14</v>
      </c>
      <c r="DP157" s="18">
        <f>DO157*VLOOKUP('Données projet'!$B$14,Paramètres!$A$1:$I$89,3,0)*VLOOKUP('Données projet'!$B$14,Paramètres!$A$1:$I$89,5,0)</f>
        <v>-4.5224624045658861E-14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370.58277541710277</v>
      </c>
      <c r="DU157" s="62">
        <f t="shared" si="152"/>
        <v>404.61777090709171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240.22884864766218</v>
      </c>
      <c r="EP157" s="62">
        <f t="shared" si="154"/>
        <v>343.23776884143166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0.33077872737206193</v>
      </c>
      <c r="EX157" s="23">
        <f>EXP(-LN(2)/2)*EX156+(1-EXP(-LN(2)/2))/(LN(2)/2)*ER157*EU157*VLOOKUP('Données projet'!$B$15,Paramètres!$A$1:$I$89,3,0)*0.475*44/12</f>
        <v>3.5819480803768626E-18</v>
      </c>
      <c r="EY157" s="24">
        <f t="shared" si="181"/>
        <v>0.33077872737206193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-1.1368683772161603E-13</v>
      </c>
      <c r="FF157" s="18">
        <f>FE157*VLOOKUP('Données projet'!$B$16,Paramètres!$A$1:$I$89,3,0)*VLOOKUP('Données projet'!$B$16,Paramètres!$A$1:$I$89,5,0)</f>
        <v>-5.3205440053716299E-14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399.92909819003523</v>
      </c>
      <c r="FK157" s="62">
        <f t="shared" si="156"/>
        <v>163.7053537268381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-5.6843418860808015E-14</v>
      </c>
      <c r="GA157" s="18">
        <f>FZ157*VLOOKUP('Données projet'!$B$17,Paramètres!$A$1:$I$89,3,0)*VLOOKUP('Données projet'!$B$17,Paramètres!$A$1:$I$89,5,0)</f>
        <v>-4.1677594708744434E-14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344.4426665022238</v>
      </c>
      <c r="GF157" s="62">
        <f t="shared" si="158"/>
        <v>376.41441893222185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6.8212102632969618E-13</v>
      </c>
      <c r="GV157" s="18">
        <f>GU157*VLOOKUP('Données projet'!$B$18,Paramètres!$A$1:$I$89,3,0)*VLOOKUP('Données projet'!$B$18,Paramètres!$A$1:$I$89,5,0)</f>
        <v>3.2810021366458383E-13</v>
      </c>
      <c r="GW157" s="14">
        <f t="shared" si="188"/>
        <v>4.2923528923937213E-12</v>
      </c>
      <c r="GX157" s="22">
        <f t="shared" si="189"/>
        <v>8.0472891597182151E-12</v>
      </c>
      <c r="GY157" s="62">
        <f t="shared" si="137"/>
        <v>293.33333333334139</v>
      </c>
      <c r="GZ157" s="62">
        <f ca="1">AVERAGE(OFFSET($GY$3,0,0,'Données projet'!$E$18+1,1))-AVERAGE(OFFSET($H$3,0,0,'Données projet'!$E$18+1,1))</f>
        <v>441.17479680509746</v>
      </c>
      <c r="HA157" s="62">
        <f t="shared" si="160"/>
        <v>198.56576128410069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-1.9065282685915009E-13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374.79806286316051</v>
      </c>
      <c r="T158" s="62">
        <f t="shared" si="142"/>
        <v>350.01856672839466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0.23059949209334846</v>
      </c>
      <c r="AB158" s="23">
        <f>EXP(-LN(2)/2)*AB157+(1-EXP(-LN(2)/2))/(LN(2)/2)*V158*Y158*VLOOKUP('Données projet'!$B$9,Paramètres!$A$1:$I$89,3,0)*0.475*44/12</f>
        <v>1.3772722109664614E-18</v>
      </c>
      <c r="AC158" s="24">
        <f t="shared" si="163"/>
        <v>0.23059949209334846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-2.8421709430404007E-13</v>
      </c>
      <c r="AJ158" s="14">
        <f>AI158*VLOOKUP('Données projet'!$B$10,Paramètres!$A$1:$I$89,3,0)*VLOOKUP('Données projet'!$B$10,Paramètres!$A$1:$I$89,5,0)</f>
        <v>-2.4829205358400943E-13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401.89597032936751</v>
      </c>
      <c r="AO158" s="62">
        <f t="shared" si="144"/>
        <v>417.85733543972361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-5.1159076974727213E-13</v>
      </c>
      <c r="BE158" s="14">
        <f>BD158*VLOOKUP('Données projet'!$B$11,Paramètres!$A$1:$I$89,3,0)*VLOOKUP('Données projet'!$B$11,Paramètres!$A$1:$I$89,5,0)</f>
        <v>-4.6288732846733184E-13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430.40491895612814</v>
      </c>
      <c r="BJ158" s="62">
        <f t="shared" si="146"/>
        <v>231.36959598460686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-1.0818439477588981E-13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367.11183928586667</v>
      </c>
      <c r="CE158" s="62">
        <f t="shared" si="148"/>
        <v>281.52963027844595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-3.4106051316484809E-13</v>
      </c>
      <c r="CU158" s="18">
        <f>CT158*VLOOKUP('Données projet'!$B$13,Paramètres!$A$1:$I$89,3,0)*VLOOKUP('Données projet'!$B$13,Paramètres!$A$1:$I$89,5,0)</f>
        <v>-2.0395418687257919E-13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308.47522272937135</v>
      </c>
      <c r="CZ158" s="62">
        <f t="shared" si="150"/>
        <v>302.54354650449721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0.12000586542907209</v>
      </c>
      <c r="DH158" s="23">
        <f>EXP(-LN(2)/2)*DH157+(1-EXP(-LN(2)/2))/(LN(2)/2)*DB158*DE158*VLOOKUP('Données projet'!$B$13,Paramètres!$A$1:$I$89,3,0)*0.475*44/12</f>
        <v>2.6485529260532578E-18</v>
      </c>
      <c r="DI158" s="24">
        <f t="shared" si="175"/>
        <v>0.12000586542907209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-5.6843418860808015E-14</v>
      </c>
      <c r="DP158" s="18">
        <f>DO158*VLOOKUP('Données projet'!$B$14,Paramètres!$A$1:$I$89,3,0)*VLOOKUP('Données projet'!$B$14,Paramètres!$A$1:$I$89,5,0)</f>
        <v>-4.5224624045658861E-14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370.58277541710277</v>
      </c>
      <c r="DU158" s="62">
        <f t="shared" si="152"/>
        <v>404.61777090709171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240.22884864766218</v>
      </c>
      <c r="EP158" s="62">
        <f t="shared" si="154"/>
        <v>343.23776884143166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0.32173356567717565</v>
      </c>
      <c r="EX158" s="23">
        <f>EXP(-LN(2)/2)*EX157+(1-EXP(-LN(2)/2))/(LN(2)/2)*ER158*EU158*VLOOKUP('Données projet'!$B$15,Paramètres!$A$1:$I$89,3,0)*0.475*44/12</f>
        <v>2.5328197774926162E-18</v>
      </c>
      <c r="EY158" s="24">
        <f t="shared" si="181"/>
        <v>0.32173356567717565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-1.1368683772161603E-13</v>
      </c>
      <c r="FF158" s="18">
        <f>FE158*VLOOKUP('Données projet'!$B$16,Paramètres!$A$1:$I$89,3,0)*VLOOKUP('Données projet'!$B$16,Paramètres!$A$1:$I$89,5,0)</f>
        <v>-5.3205440053716299E-14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399.92909819003523</v>
      </c>
      <c r="FK158" s="62">
        <f t="shared" si="156"/>
        <v>163.7053537268381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-5.6843418860808015E-14</v>
      </c>
      <c r="GA158" s="18">
        <f>FZ158*VLOOKUP('Données projet'!$B$17,Paramètres!$A$1:$I$89,3,0)*VLOOKUP('Données projet'!$B$17,Paramètres!$A$1:$I$89,5,0)</f>
        <v>-4.1677594708744434E-14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344.4426665022238</v>
      </c>
      <c r="GF158" s="62">
        <f t="shared" si="158"/>
        <v>376.41441893222185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6.8212102632969618E-13</v>
      </c>
      <c r="GV158" s="18">
        <f>GU158*VLOOKUP('Données projet'!$B$18,Paramètres!$A$1:$I$89,3,0)*VLOOKUP('Données projet'!$B$18,Paramètres!$A$1:$I$89,5,0)</f>
        <v>3.2810021366458383E-13</v>
      </c>
      <c r="GW158" s="14">
        <f t="shared" si="188"/>
        <v>4.2923528923937213E-12</v>
      </c>
      <c r="GX158" s="22">
        <f t="shared" si="189"/>
        <v>8.0472891597182151E-12</v>
      </c>
      <c r="GY158" s="62">
        <f t="shared" si="137"/>
        <v>293.33333333334139</v>
      </c>
      <c r="GZ158" s="62">
        <f ca="1">AVERAGE(OFFSET($GY$3,0,0,'Données projet'!$E$18+1,1))-AVERAGE(OFFSET($H$3,0,0,'Données projet'!$E$18+1,1))</f>
        <v>441.17479680509746</v>
      </c>
      <c r="HA158" s="62">
        <f t="shared" si="160"/>
        <v>198.56576128410069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-1.9065282685915009E-13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374.79806286316051</v>
      </c>
      <c r="T159" s="62">
        <f t="shared" si="142"/>
        <v>350.01856672839466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0.22429373685535559</v>
      </c>
      <c r="AB159" s="23">
        <f>EXP(-LN(2)/2)*AB158+(1-EXP(-LN(2)/2))/(LN(2)/2)*V159*Y159*VLOOKUP('Données projet'!$B$9,Paramètres!$A$1:$I$89,3,0)*0.475*44/12</f>
        <v>9.7387851991417415E-19</v>
      </c>
      <c r="AC159" s="24">
        <f t="shared" si="163"/>
        <v>0.22429373685535559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-2.8421709430404007E-13</v>
      </c>
      <c r="AJ159" s="14">
        <f>AI159*VLOOKUP('Données projet'!$B$10,Paramètres!$A$1:$I$89,3,0)*VLOOKUP('Données projet'!$B$10,Paramètres!$A$1:$I$89,5,0)</f>
        <v>-2.4829205358400943E-13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401.89597032936751</v>
      </c>
      <c r="AO159" s="62">
        <f t="shared" si="144"/>
        <v>417.85733543972361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-5.1159076974727213E-13</v>
      </c>
      <c r="BE159" s="14">
        <f>BD159*VLOOKUP('Données projet'!$B$11,Paramètres!$A$1:$I$89,3,0)*VLOOKUP('Données projet'!$B$11,Paramètres!$A$1:$I$89,5,0)</f>
        <v>-4.6288732846733184E-13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430.40491895612814</v>
      </c>
      <c r="BJ159" s="62">
        <f t="shared" si="146"/>
        <v>231.36959598460686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-1.0818439477588981E-13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367.11183928586667</v>
      </c>
      <c r="CE159" s="62">
        <f t="shared" si="148"/>
        <v>281.52963027844595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-3.4106051316484809E-13</v>
      </c>
      <c r="CU159" s="18">
        <f>CT159*VLOOKUP('Données projet'!$B$13,Paramètres!$A$1:$I$89,3,0)*VLOOKUP('Données projet'!$B$13,Paramètres!$A$1:$I$89,5,0)</f>
        <v>-2.0395418687257919E-13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308.47522272937135</v>
      </c>
      <c r="CZ159" s="62">
        <f t="shared" si="150"/>
        <v>302.54354650449721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0.11672429872807992</v>
      </c>
      <c r="DH159" s="23">
        <f>EXP(-LN(2)/2)*DH158+(1-EXP(-LN(2)/2))/(LN(2)/2)*DB159*DE159*VLOOKUP('Données projet'!$B$13,Paramètres!$A$1:$I$89,3,0)*0.475*44/12</f>
        <v>1.8728097343437311E-18</v>
      </c>
      <c r="DI159" s="24">
        <f t="shared" si="175"/>
        <v>0.11672429872807992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-5.6843418860808015E-14</v>
      </c>
      <c r="DP159" s="18">
        <f>DO159*VLOOKUP('Données projet'!$B$14,Paramètres!$A$1:$I$89,3,0)*VLOOKUP('Données projet'!$B$14,Paramètres!$A$1:$I$89,5,0)</f>
        <v>-4.5224624045658861E-14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370.58277541710277</v>
      </c>
      <c r="DU159" s="62">
        <f t="shared" si="152"/>
        <v>404.61777090709171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240.22884864766218</v>
      </c>
      <c r="EP159" s="62">
        <f t="shared" si="154"/>
        <v>343.23776884143166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0.31293574440450039</v>
      </c>
      <c r="EX159" s="23">
        <f>EXP(-LN(2)/2)*EX158+(1-EXP(-LN(2)/2))/(LN(2)/2)*ER159*EU159*VLOOKUP('Données projet'!$B$15,Paramètres!$A$1:$I$89,3,0)*0.475*44/12</f>
        <v>1.7909740401884313E-18</v>
      </c>
      <c r="EY159" s="24">
        <f t="shared" si="181"/>
        <v>0.31293574440450039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-1.1368683772161603E-13</v>
      </c>
      <c r="FF159" s="18">
        <f>FE159*VLOOKUP('Données projet'!$B$16,Paramètres!$A$1:$I$89,3,0)*VLOOKUP('Données projet'!$B$16,Paramètres!$A$1:$I$89,5,0)</f>
        <v>-5.3205440053716299E-14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399.92909819003523</v>
      </c>
      <c r="FK159" s="62">
        <f t="shared" si="156"/>
        <v>163.7053537268381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-5.6843418860808015E-14</v>
      </c>
      <c r="GA159" s="18">
        <f>FZ159*VLOOKUP('Données projet'!$B$17,Paramètres!$A$1:$I$89,3,0)*VLOOKUP('Données projet'!$B$17,Paramètres!$A$1:$I$89,5,0)</f>
        <v>-4.1677594708744434E-14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344.4426665022238</v>
      </c>
      <c r="GF159" s="62">
        <f t="shared" si="158"/>
        <v>376.41441893222185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6.8212102632969618E-13</v>
      </c>
      <c r="GV159" s="18">
        <f>GU159*VLOOKUP('Données projet'!$B$18,Paramètres!$A$1:$I$89,3,0)*VLOOKUP('Données projet'!$B$18,Paramètres!$A$1:$I$89,5,0)</f>
        <v>3.2810021366458383E-13</v>
      </c>
      <c r="GW159" s="14">
        <f t="shared" si="188"/>
        <v>4.2923528923937213E-12</v>
      </c>
      <c r="GX159" s="22">
        <f t="shared" si="189"/>
        <v>8.0472891597182151E-12</v>
      </c>
      <c r="GY159" s="62">
        <f t="shared" si="137"/>
        <v>293.33333333334139</v>
      </c>
      <c r="GZ159" s="62">
        <f ca="1">AVERAGE(OFFSET($GY$3,0,0,'Données projet'!$E$18+1,1))-AVERAGE(OFFSET($H$3,0,0,'Données projet'!$E$18+1,1))</f>
        <v>441.17479680509746</v>
      </c>
      <c r="HA159" s="62">
        <f t="shared" si="160"/>
        <v>198.56576128410069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-1.9065282685915009E-13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374.79806286316051</v>
      </c>
      <c r="T160" s="62">
        <f t="shared" si="142"/>
        <v>350.01856672839466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0.21816041282595089</v>
      </c>
      <c r="AB160" s="23">
        <f>EXP(-LN(2)/2)*AB159+(1-EXP(-LN(2)/2))/(LN(2)/2)*V160*Y160*VLOOKUP('Données projet'!$B$9,Paramètres!$A$1:$I$89,3,0)*0.475*44/12</f>
        <v>6.8863610548323071E-19</v>
      </c>
      <c r="AC160" s="24">
        <f t="shared" si="163"/>
        <v>0.21816041282595089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-2.8421709430404007E-13</v>
      </c>
      <c r="AJ160" s="14">
        <f>AI160*VLOOKUP('Données projet'!$B$10,Paramètres!$A$1:$I$89,3,0)*VLOOKUP('Données projet'!$B$10,Paramètres!$A$1:$I$89,5,0)</f>
        <v>-2.4829205358400943E-13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401.89597032936751</v>
      </c>
      <c r="AO160" s="62">
        <f t="shared" si="144"/>
        <v>417.85733543972361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-5.1159076974727213E-13</v>
      </c>
      <c r="BE160" s="14">
        <f>BD160*VLOOKUP('Données projet'!$B$11,Paramètres!$A$1:$I$89,3,0)*VLOOKUP('Données projet'!$B$11,Paramètres!$A$1:$I$89,5,0)</f>
        <v>-4.6288732846733184E-13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430.40491895612814</v>
      </c>
      <c r="BJ160" s="62">
        <f t="shared" si="146"/>
        <v>231.36959598460686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-1.0818439477588981E-13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367.11183928586667</v>
      </c>
      <c r="CE160" s="62">
        <f t="shared" si="148"/>
        <v>281.52963027844595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-3.4106051316484809E-13</v>
      </c>
      <c r="CU160" s="18">
        <f>CT160*VLOOKUP('Données projet'!$B$13,Paramètres!$A$1:$I$89,3,0)*VLOOKUP('Données projet'!$B$13,Paramètres!$A$1:$I$89,5,0)</f>
        <v>-2.0395418687257919E-13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308.47522272937135</v>
      </c>
      <c r="CZ160" s="62">
        <f t="shared" si="150"/>
        <v>302.54354650449721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0.11353246664109648</v>
      </c>
      <c r="DH160" s="23">
        <f>EXP(-LN(2)/2)*DH159+(1-EXP(-LN(2)/2))/(LN(2)/2)*DB160*DE160*VLOOKUP('Données projet'!$B$13,Paramètres!$A$1:$I$89,3,0)*0.475*44/12</f>
        <v>1.3242764630266289E-18</v>
      </c>
      <c r="DI160" s="24">
        <f t="shared" si="175"/>
        <v>0.11353246664109648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-5.6843418860808015E-14</v>
      </c>
      <c r="DP160" s="18">
        <f>DO160*VLOOKUP('Données projet'!$B$14,Paramètres!$A$1:$I$89,3,0)*VLOOKUP('Données projet'!$B$14,Paramètres!$A$1:$I$89,5,0)</f>
        <v>-4.5224624045658861E-14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370.58277541710277</v>
      </c>
      <c r="DU160" s="62">
        <f t="shared" si="152"/>
        <v>404.61777090709171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240.22884864766218</v>
      </c>
      <c r="EP160" s="62">
        <f t="shared" si="154"/>
        <v>343.23776884143166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0.30437850001718375</v>
      </c>
      <c r="EX160" s="23">
        <f>EXP(-LN(2)/2)*EX159+(1-EXP(-LN(2)/2))/(LN(2)/2)*ER160*EU160*VLOOKUP('Données projet'!$B$15,Paramètres!$A$1:$I$89,3,0)*0.475*44/12</f>
        <v>1.2664098887463081E-18</v>
      </c>
      <c r="EY160" s="24">
        <f t="shared" si="181"/>
        <v>0.30437850001718375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-1.1368683772161603E-13</v>
      </c>
      <c r="FF160" s="18">
        <f>FE160*VLOOKUP('Données projet'!$B$16,Paramètres!$A$1:$I$89,3,0)*VLOOKUP('Données projet'!$B$16,Paramètres!$A$1:$I$89,5,0)</f>
        <v>-5.3205440053716299E-14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399.92909819003523</v>
      </c>
      <c r="FK160" s="62">
        <f t="shared" si="156"/>
        <v>163.7053537268381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-5.6843418860808015E-14</v>
      </c>
      <c r="GA160" s="18">
        <f>FZ160*VLOOKUP('Données projet'!$B$17,Paramètres!$A$1:$I$89,3,0)*VLOOKUP('Données projet'!$B$17,Paramètres!$A$1:$I$89,5,0)</f>
        <v>-4.1677594708744434E-14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344.4426665022238</v>
      </c>
      <c r="GF160" s="62">
        <f t="shared" si="158"/>
        <v>376.41441893222185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6.8212102632969618E-13</v>
      </c>
      <c r="GV160" s="18">
        <f>GU160*VLOOKUP('Données projet'!$B$18,Paramètres!$A$1:$I$89,3,0)*VLOOKUP('Données projet'!$B$18,Paramètres!$A$1:$I$89,5,0)</f>
        <v>3.2810021366458383E-13</v>
      </c>
      <c r="GW160" s="14">
        <f t="shared" si="188"/>
        <v>4.2923528923937213E-12</v>
      </c>
      <c r="GX160" s="22">
        <f t="shared" si="189"/>
        <v>8.0472891597182151E-12</v>
      </c>
      <c r="GY160" s="62">
        <f t="shared" si="137"/>
        <v>293.33333333334139</v>
      </c>
      <c r="GZ160" s="62">
        <f ca="1">AVERAGE(OFFSET($GY$3,0,0,'Données projet'!$E$18+1,1))-AVERAGE(OFFSET($H$3,0,0,'Données projet'!$E$18+1,1))</f>
        <v>441.17479680509746</v>
      </c>
      <c r="HA160" s="62">
        <f t="shared" si="160"/>
        <v>198.56576128410069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-1.9065282685915009E-13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374.79806286316051</v>
      </c>
      <c r="T161" s="62">
        <f t="shared" si="142"/>
        <v>350.01856672839466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0.21219480486466777</v>
      </c>
      <c r="AB161" s="23">
        <f>EXP(-LN(2)/2)*AB160+(1-EXP(-LN(2)/2))/(LN(2)/2)*V161*Y161*VLOOKUP('Données projet'!$B$9,Paramètres!$A$1:$I$89,3,0)*0.475*44/12</f>
        <v>4.8693925995708707E-19</v>
      </c>
      <c r="AC161" s="24">
        <f t="shared" si="163"/>
        <v>0.21219480486466777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-2.8421709430404007E-13</v>
      </c>
      <c r="AJ161" s="14">
        <f>AI161*VLOOKUP('Données projet'!$B$10,Paramètres!$A$1:$I$89,3,0)*VLOOKUP('Données projet'!$B$10,Paramètres!$A$1:$I$89,5,0)</f>
        <v>-2.4829205358400943E-13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401.89597032936751</v>
      </c>
      <c r="AO161" s="62">
        <f t="shared" si="144"/>
        <v>417.85733543972361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-5.1159076974727213E-13</v>
      </c>
      <c r="BE161" s="14">
        <f>BD161*VLOOKUP('Données projet'!$B$11,Paramètres!$A$1:$I$89,3,0)*VLOOKUP('Données projet'!$B$11,Paramètres!$A$1:$I$89,5,0)</f>
        <v>-4.6288732846733184E-13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430.40491895612814</v>
      </c>
      <c r="BJ161" s="62">
        <f t="shared" si="146"/>
        <v>231.36959598460686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-1.0818439477588981E-13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367.11183928586667</v>
      </c>
      <c r="CE161" s="62">
        <f t="shared" si="148"/>
        <v>281.52963027844595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-3.4106051316484809E-13</v>
      </c>
      <c r="CU161" s="18">
        <f>CT161*VLOOKUP('Données projet'!$B$13,Paramètres!$A$1:$I$89,3,0)*VLOOKUP('Données projet'!$B$13,Paramètres!$A$1:$I$89,5,0)</f>
        <v>-2.0395418687257919E-13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308.47522272937135</v>
      </c>
      <c r="CZ161" s="62">
        <f t="shared" si="150"/>
        <v>302.54354650449721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0.11042791537038275</v>
      </c>
      <c r="DH161" s="23">
        <f>EXP(-LN(2)/2)*DH160+(1-EXP(-LN(2)/2))/(LN(2)/2)*DB161*DE161*VLOOKUP('Données projet'!$B$13,Paramètres!$A$1:$I$89,3,0)*0.475*44/12</f>
        <v>9.3640486717186554E-19</v>
      </c>
      <c r="DI161" s="24">
        <f t="shared" si="175"/>
        <v>0.11042791537038275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-5.6843418860808015E-14</v>
      </c>
      <c r="DP161" s="18">
        <f>DO161*VLOOKUP('Données projet'!$B$14,Paramètres!$A$1:$I$89,3,0)*VLOOKUP('Données projet'!$B$14,Paramètres!$A$1:$I$89,5,0)</f>
        <v>-4.5224624045658861E-14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370.58277541710277</v>
      </c>
      <c r="DU161" s="62">
        <f t="shared" si="152"/>
        <v>404.61777090709171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240.22884864766218</v>
      </c>
      <c r="EP161" s="62">
        <f t="shared" si="154"/>
        <v>343.23776884143166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0.2960552539276442</v>
      </c>
      <c r="EX161" s="23">
        <f>EXP(-LN(2)/2)*EX160+(1-EXP(-LN(2)/2))/(LN(2)/2)*ER161*EU161*VLOOKUP('Données projet'!$B$15,Paramètres!$A$1:$I$89,3,0)*0.475*44/12</f>
        <v>8.9548702009421565E-19</v>
      </c>
      <c r="EY161" s="24">
        <f t="shared" si="181"/>
        <v>0.2960552539276442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-1.1368683772161603E-13</v>
      </c>
      <c r="FF161" s="18">
        <f>FE161*VLOOKUP('Données projet'!$B$16,Paramètres!$A$1:$I$89,3,0)*VLOOKUP('Données projet'!$B$16,Paramètres!$A$1:$I$89,5,0)</f>
        <v>-5.3205440053716299E-14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399.92909819003523</v>
      </c>
      <c r="FK161" s="62">
        <f t="shared" si="156"/>
        <v>163.7053537268381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-5.6843418860808015E-14</v>
      </c>
      <c r="GA161" s="18">
        <f>FZ161*VLOOKUP('Données projet'!$B$17,Paramètres!$A$1:$I$89,3,0)*VLOOKUP('Données projet'!$B$17,Paramètres!$A$1:$I$89,5,0)</f>
        <v>-4.1677594708744434E-14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344.4426665022238</v>
      </c>
      <c r="GF161" s="62">
        <f t="shared" si="158"/>
        <v>376.41441893222185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6.8212102632969618E-13</v>
      </c>
      <c r="GV161" s="18">
        <f>GU161*VLOOKUP('Données projet'!$B$18,Paramètres!$A$1:$I$89,3,0)*VLOOKUP('Données projet'!$B$18,Paramètres!$A$1:$I$89,5,0)</f>
        <v>3.2810021366458383E-13</v>
      </c>
      <c r="GW161" s="14">
        <f t="shared" si="188"/>
        <v>4.2923528923937213E-12</v>
      </c>
      <c r="GX161" s="22">
        <f t="shared" si="189"/>
        <v>8.0472891597182151E-12</v>
      </c>
      <c r="GY161" s="62">
        <f t="shared" si="137"/>
        <v>293.33333333334139</v>
      </c>
      <c r="GZ161" s="62">
        <f ca="1">AVERAGE(OFFSET($GY$3,0,0,'Données projet'!$E$18+1,1))-AVERAGE(OFFSET($H$3,0,0,'Données projet'!$E$18+1,1))</f>
        <v>441.17479680509746</v>
      </c>
      <c r="HA161" s="62">
        <f t="shared" si="160"/>
        <v>198.56576128410069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-1.9065282685915009E-13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374.79806286316051</v>
      </c>
      <c r="T162" s="62">
        <f t="shared" si="142"/>
        <v>350.01856672839466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0.20639232676680361</v>
      </c>
      <c r="AB162" s="23">
        <f>EXP(-LN(2)/2)*AB161+(1-EXP(-LN(2)/2))/(LN(2)/2)*V162*Y162*VLOOKUP('Données projet'!$B$9,Paramètres!$A$1:$I$89,3,0)*0.475*44/12</f>
        <v>3.4431805274161535E-19</v>
      </c>
      <c r="AC162" s="24">
        <f t="shared" si="163"/>
        <v>0.20639232676680361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-2.8421709430404007E-13</v>
      </c>
      <c r="AJ162" s="14">
        <f>AI162*VLOOKUP('Données projet'!$B$10,Paramètres!$A$1:$I$89,3,0)*VLOOKUP('Données projet'!$B$10,Paramètres!$A$1:$I$89,5,0)</f>
        <v>-2.4829205358400943E-13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401.89597032936751</v>
      </c>
      <c r="AO162" s="62">
        <f t="shared" si="144"/>
        <v>417.85733543972361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-5.1159076974727213E-13</v>
      </c>
      <c r="BE162" s="14">
        <f>BD162*VLOOKUP('Données projet'!$B$11,Paramètres!$A$1:$I$89,3,0)*VLOOKUP('Données projet'!$B$11,Paramètres!$A$1:$I$89,5,0)</f>
        <v>-4.6288732846733184E-13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430.40491895612814</v>
      </c>
      <c r="BJ162" s="62">
        <f t="shared" si="146"/>
        <v>231.36959598460686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-1.0818439477588981E-13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367.11183928586667</v>
      </c>
      <c r="CE162" s="62">
        <f t="shared" si="148"/>
        <v>281.52963027844595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-3.4106051316484809E-13</v>
      </c>
      <c r="CU162" s="18">
        <f>CT162*VLOOKUP('Données projet'!$B$13,Paramètres!$A$1:$I$89,3,0)*VLOOKUP('Données projet'!$B$13,Paramètres!$A$1:$I$89,5,0)</f>
        <v>-2.0395418687257919E-13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308.47522272937135</v>
      </c>
      <c r="CZ162" s="62">
        <f t="shared" si="150"/>
        <v>302.54354650449721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0.10740825821742796</v>
      </c>
      <c r="DH162" s="23">
        <f>EXP(-LN(2)/2)*DH161+(1-EXP(-LN(2)/2))/(LN(2)/2)*DB162*DE162*VLOOKUP('Données projet'!$B$13,Paramètres!$A$1:$I$89,3,0)*0.475*44/12</f>
        <v>6.6213823151331445E-19</v>
      </c>
      <c r="DI162" s="24">
        <f t="shared" si="175"/>
        <v>0.10740825821742796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-5.6843418860808015E-14</v>
      </c>
      <c r="DP162" s="18">
        <f>DO162*VLOOKUP('Données projet'!$B$14,Paramètres!$A$1:$I$89,3,0)*VLOOKUP('Données projet'!$B$14,Paramètres!$A$1:$I$89,5,0)</f>
        <v>-4.5224624045658861E-14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370.58277541710277</v>
      </c>
      <c r="DU162" s="62">
        <f t="shared" si="152"/>
        <v>404.61777090709171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240.22884864766218</v>
      </c>
      <c r="EP162" s="62">
        <f t="shared" si="154"/>
        <v>343.23776884143166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0.28795960744012361</v>
      </c>
      <c r="EX162" s="23">
        <f>EXP(-LN(2)/2)*EX161+(1-EXP(-LN(2)/2))/(LN(2)/2)*ER162*EU162*VLOOKUP('Données projet'!$B$15,Paramètres!$A$1:$I$89,3,0)*0.475*44/12</f>
        <v>6.3320494437315404E-19</v>
      </c>
      <c r="EY162" s="24">
        <f t="shared" si="181"/>
        <v>0.28795960744012361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-1.1368683772161603E-13</v>
      </c>
      <c r="FF162" s="18">
        <f>FE162*VLOOKUP('Données projet'!$B$16,Paramètres!$A$1:$I$89,3,0)*VLOOKUP('Données projet'!$B$16,Paramètres!$A$1:$I$89,5,0)</f>
        <v>-5.3205440053716299E-14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399.92909819003523</v>
      </c>
      <c r="FK162" s="62">
        <f t="shared" si="156"/>
        <v>163.7053537268381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-5.6843418860808015E-14</v>
      </c>
      <c r="GA162" s="18">
        <f>FZ162*VLOOKUP('Données projet'!$B$17,Paramètres!$A$1:$I$89,3,0)*VLOOKUP('Données projet'!$B$17,Paramètres!$A$1:$I$89,5,0)</f>
        <v>-4.1677594708744434E-14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344.4426665022238</v>
      </c>
      <c r="GF162" s="62">
        <f t="shared" si="158"/>
        <v>376.41441893222185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6.8212102632969618E-13</v>
      </c>
      <c r="GV162" s="18">
        <f>GU162*VLOOKUP('Données projet'!$B$18,Paramètres!$A$1:$I$89,3,0)*VLOOKUP('Données projet'!$B$18,Paramètres!$A$1:$I$89,5,0)</f>
        <v>3.2810021366458383E-13</v>
      </c>
      <c r="GW162" s="14">
        <f t="shared" si="188"/>
        <v>4.2923528923937213E-12</v>
      </c>
      <c r="GX162" s="22">
        <f t="shared" si="189"/>
        <v>8.0472891597182151E-12</v>
      </c>
      <c r="GY162" s="62">
        <f t="shared" si="137"/>
        <v>293.33333333334139</v>
      </c>
      <c r="GZ162" s="62">
        <f ca="1">AVERAGE(OFFSET($GY$3,0,0,'Données projet'!$E$18+1,1))-AVERAGE(OFFSET($H$3,0,0,'Données projet'!$E$18+1,1))</f>
        <v>441.17479680509746</v>
      </c>
      <c r="HA162" s="62">
        <f t="shared" si="160"/>
        <v>198.56576128410069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-1.9065282685915009E-13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374.79806286316051</v>
      </c>
      <c r="T163" s="62">
        <f t="shared" si="142"/>
        <v>350.01856672839466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0.20074851773766461</v>
      </c>
      <c r="AB163" s="23">
        <f>EXP(-LN(2)/2)*AB162+(1-EXP(-LN(2)/2))/(LN(2)/2)*V163*Y163*VLOOKUP('Données projet'!$B$9,Paramètres!$A$1:$I$89,3,0)*0.475*44/12</f>
        <v>2.4346962997854354E-19</v>
      </c>
      <c r="AC163" s="24">
        <f t="shared" si="163"/>
        <v>0.20074851773766461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-2.8421709430404007E-13</v>
      </c>
      <c r="AJ163" s="14">
        <f>AI163*VLOOKUP('Données projet'!$B$10,Paramètres!$A$1:$I$89,3,0)*VLOOKUP('Données projet'!$B$10,Paramètres!$A$1:$I$89,5,0)</f>
        <v>-2.4829205358400943E-13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401.89597032936751</v>
      </c>
      <c r="AO163" s="62">
        <f t="shared" si="144"/>
        <v>417.85733543972361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-5.1159076974727213E-13</v>
      </c>
      <c r="BE163" s="14">
        <f>BD163*VLOOKUP('Données projet'!$B$11,Paramètres!$A$1:$I$89,3,0)*VLOOKUP('Données projet'!$B$11,Paramètres!$A$1:$I$89,5,0)</f>
        <v>-4.6288732846733184E-13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430.40491895612814</v>
      </c>
      <c r="BJ163" s="62">
        <f t="shared" si="146"/>
        <v>231.36959598460686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-1.0818439477588981E-13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367.11183928586667</v>
      </c>
      <c r="CE163" s="62">
        <f t="shared" si="148"/>
        <v>281.52963027844595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-3.4106051316484809E-13</v>
      </c>
      <c r="CU163" s="18">
        <f>CT163*VLOOKUP('Données projet'!$B$13,Paramètres!$A$1:$I$89,3,0)*VLOOKUP('Données projet'!$B$13,Paramètres!$A$1:$I$89,5,0)</f>
        <v>-2.0395418687257919E-13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308.47522272937135</v>
      </c>
      <c r="CZ163" s="62">
        <f t="shared" si="150"/>
        <v>302.54354650449721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0.10447117374811757</v>
      </c>
      <c r="DH163" s="23">
        <f>EXP(-LN(2)/2)*DH162+(1-EXP(-LN(2)/2))/(LN(2)/2)*DB163*DE163*VLOOKUP('Données projet'!$B$13,Paramètres!$A$1:$I$89,3,0)*0.475*44/12</f>
        <v>4.6820243358593277E-19</v>
      </c>
      <c r="DI163" s="24">
        <f t="shared" si="175"/>
        <v>0.10447117374811757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-5.6843418860808015E-14</v>
      </c>
      <c r="DP163" s="18">
        <f>DO163*VLOOKUP('Données projet'!$B$14,Paramètres!$A$1:$I$89,3,0)*VLOOKUP('Données projet'!$B$14,Paramètres!$A$1:$I$89,5,0)</f>
        <v>-4.5224624045658861E-14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370.58277541710277</v>
      </c>
      <c r="DU163" s="62">
        <f t="shared" si="152"/>
        <v>404.61777090709171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240.22884864766218</v>
      </c>
      <c r="EP163" s="62">
        <f t="shared" si="154"/>
        <v>343.23776884143166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0.2800853368315358</v>
      </c>
      <c r="EX163" s="23">
        <f>EXP(-LN(2)/2)*EX162+(1-EXP(-LN(2)/2))/(LN(2)/2)*ER163*EU163*VLOOKUP('Données projet'!$B$15,Paramètres!$A$1:$I$89,3,0)*0.475*44/12</f>
        <v>4.4774351004710783E-19</v>
      </c>
      <c r="EY163" s="24">
        <f t="shared" si="181"/>
        <v>0.2800853368315358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-1.1368683772161603E-13</v>
      </c>
      <c r="FF163" s="18">
        <f>FE163*VLOOKUP('Données projet'!$B$16,Paramètres!$A$1:$I$89,3,0)*VLOOKUP('Données projet'!$B$16,Paramètres!$A$1:$I$89,5,0)</f>
        <v>-5.3205440053716299E-14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399.92909819003523</v>
      </c>
      <c r="FK163" s="62">
        <f t="shared" si="156"/>
        <v>163.7053537268381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-5.6843418860808015E-14</v>
      </c>
      <c r="GA163" s="18">
        <f>FZ163*VLOOKUP('Données projet'!$B$17,Paramètres!$A$1:$I$89,3,0)*VLOOKUP('Données projet'!$B$17,Paramètres!$A$1:$I$89,5,0)</f>
        <v>-4.1677594708744434E-14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344.4426665022238</v>
      </c>
      <c r="GF163" s="62">
        <f t="shared" si="158"/>
        <v>376.41441893222185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6.8212102632969618E-13</v>
      </c>
      <c r="GV163" s="18">
        <f>GU163*VLOOKUP('Données projet'!$B$18,Paramètres!$A$1:$I$89,3,0)*VLOOKUP('Données projet'!$B$18,Paramètres!$A$1:$I$89,5,0)</f>
        <v>3.2810021366458383E-13</v>
      </c>
      <c r="GW163" s="14">
        <f t="shared" si="188"/>
        <v>4.2923528923937213E-12</v>
      </c>
      <c r="GX163" s="22">
        <f t="shared" si="189"/>
        <v>8.0472891597182151E-12</v>
      </c>
      <c r="GY163" s="62">
        <f t="shared" si="137"/>
        <v>293.33333333334139</v>
      </c>
      <c r="GZ163" s="62">
        <f ca="1">AVERAGE(OFFSET($GY$3,0,0,'Données projet'!$E$18+1,1))-AVERAGE(OFFSET($H$3,0,0,'Données projet'!$E$18+1,1))</f>
        <v>441.17479680509746</v>
      </c>
      <c r="HA163" s="62">
        <f t="shared" si="160"/>
        <v>198.56576128410069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-1.9065282685915009E-13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374.79806286316051</v>
      </c>
      <c r="T164" s="62">
        <f t="shared" si="142"/>
        <v>350.01856672839466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0.19525903896322244</v>
      </c>
      <c r="AB164" s="23">
        <f>EXP(-LN(2)/2)*AB163+(1-EXP(-LN(2)/2))/(LN(2)/2)*V164*Y164*VLOOKUP('Données projet'!$B$9,Paramètres!$A$1:$I$89,3,0)*0.475*44/12</f>
        <v>1.7215902637080768E-19</v>
      </c>
      <c r="AC164" s="24">
        <f t="shared" si="163"/>
        <v>0.19525903896322244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-2.8421709430404007E-13</v>
      </c>
      <c r="AJ164" s="14">
        <f>AI164*VLOOKUP('Données projet'!$B$10,Paramètres!$A$1:$I$89,3,0)*VLOOKUP('Données projet'!$B$10,Paramètres!$A$1:$I$89,5,0)</f>
        <v>-2.4829205358400943E-13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401.89597032936751</v>
      </c>
      <c r="AO164" s="62">
        <f t="shared" si="144"/>
        <v>417.85733543972361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-5.1159076974727213E-13</v>
      </c>
      <c r="BE164" s="14">
        <f>BD164*VLOOKUP('Données projet'!$B$11,Paramètres!$A$1:$I$89,3,0)*VLOOKUP('Données projet'!$B$11,Paramètres!$A$1:$I$89,5,0)</f>
        <v>-4.6288732846733184E-13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430.40491895612814</v>
      </c>
      <c r="BJ164" s="62">
        <f t="shared" si="146"/>
        <v>231.36959598460686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-1.0818439477588981E-13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367.11183928586667</v>
      </c>
      <c r="CE164" s="62">
        <f t="shared" si="148"/>
        <v>281.52963027844595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-3.4106051316484809E-13</v>
      </c>
      <c r="CU164" s="18">
        <f>CT164*VLOOKUP('Données projet'!$B$13,Paramètres!$A$1:$I$89,3,0)*VLOOKUP('Données projet'!$B$13,Paramètres!$A$1:$I$89,5,0)</f>
        <v>-2.0395418687257919E-13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308.47522272937135</v>
      </c>
      <c r="CZ164" s="62">
        <f t="shared" si="150"/>
        <v>302.54354650449721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0.10161440400807503</v>
      </c>
      <c r="DH164" s="23">
        <f>EXP(-LN(2)/2)*DH163+(1-EXP(-LN(2)/2))/(LN(2)/2)*DB164*DE164*VLOOKUP('Données projet'!$B$13,Paramètres!$A$1:$I$89,3,0)*0.475*44/12</f>
        <v>3.3106911575665722E-19</v>
      </c>
      <c r="DI164" s="24">
        <f t="shared" si="175"/>
        <v>0.10161440400807503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-5.6843418860808015E-14</v>
      </c>
      <c r="DP164" s="18">
        <f>DO164*VLOOKUP('Données projet'!$B$14,Paramètres!$A$1:$I$89,3,0)*VLOOKUP('Données projet'!$B$14,Paramètres!$A$1:$I$89,5,0)</f>
        <v>-4.5224624045658861E-14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370.58277541710277</v>
      </c>
      <c r="DU164" s="62">
        <f t="shared" si="152"/>
        <v>404.61777090709171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240.22884864766218</v>
      </c>
      <c r="EP164" s="62">
        <f t="shared" si="154"/>
        <v>343.23776884143166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0.27242638856682971</v>
      </c>
      <c r="EX164" s="23">
        <f>EXP(-LN(2)/2)*EX163+(1-EXP(-LN(2)/2))/(LN(2)/2)*ER164*EU164*VLOOKUP('Données projet'!$B$15,Paramètres!$A$1:$I$89,3,0)*0.475*44/12</f>
        <v>3.1660247218657702E-19</v>
      </c>
      <c r="EY164" s="24">
        <f t="shared" si="181"/>
        <v>0.27242638856682971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-1.1368683772161603E-13</v>
      </c>
      <c r="FF164" s="18">
        <f>FE164*VLOOKUP('Données projet'!$B$16,Paramètres!$A$1:$I$89,3,0)*VLOOKUP('Données projet'!$B$16,Paramètres!$A$1:$I$89,5,0)</f>
        <v>-5.3205440053716299E-14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399.92909819003523</v>
      </c>
      <c r="FK164" s="62">
        <f t="shared" si="156"/>
        <v>163.7053537268381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-5.6843418860808015E-14</v>
      </c>
      <c r="GA164" s="18">
        <f>FZ164*VLOOKUP('Données projet'!$B$17,Paramètres!$A$1:$I$89,3,0)*VLOOKUP('Données projet'!$B$17,Paramètres!$A$1:$I$89,5,0)</f>
        <v>-4.1677594708744434E-14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344.4426665022238</v>
      </c>
      <c r="GF164" s="62">
        <f t="shared" si="158"/>
        <v>376.41441893222185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6.8212102632969618E-13</v>
      </c>
      <c r="GV164" s="18">
        <f>GU164*VLOOKUP('Données projet'!$B$18,Paramètres!$A$1:$I$89,3,0)*VLOOKUP('Données projet'!$B$18,Paramètres!$A$1:$I$89,5,0)</f>
        <v>3.2810021366458383E-13</v>
      </c>
      <c r="GW164" s="14">
        <f t="shared" si="188"/>
        <v>4.2923528923937213E-12</v>
      </c>
      <c r="GX164" s="22">
        <f t="shared" si="189"/>
        <v>8.0472891597182151E-12</v>
      </c>
      <c r="GY164" s="62">
        <f t="shared" si="137"/>
        <v>293.33333333334139</v>
      </c>
      <c r="GZ164" s="62">
        <f ca="1">AVERAGE(OFFSET($GY$3,0,0,'Données projet'!$E$18+1,1))-AVERAGE(OFFSET($H$3,0,0,'Données projet'!$E$18+1,1))</f>
        <v>441.17479680509746</v>
      </c>
      <c r="HA164" s="62">
        <f t="shared" si="160"/>
        <v>198.56576128410069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-1.9065282685915009E-13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374.79806286316051</v>
      </c>
      <c r="T165" s="62">
        <f t="shared" si="142"/>
        <v>350.01856672839466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0.18991967027454654</v>
      </c>
      <c r="AB165" s="23">
        <f>EXP(-LN(2)/2)*AB164+(1-EXP(-LN(2)/2))/(LN(2)/2)*V165*Y165*VLOOKUP('Données projet'!$B$9,Paramètres!$A$1:$I$89,3,0)*0.475*44/12</f>
        <v>1.2173481498927177E-19</v>
      </c>
      <c r="AC165" s="24">
        <f t="shared" si="163"/>
        <v>0.18991967027454654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-2.8421709430404007E-13</v>
      </c>
      <c r="AJ165" s="14">
        <f>AI165*VLOOKUP('Données projet'!$B$10,Paramètres!$A$1:$I$89,3,0)*VLOOKUP('Données projet'!$B$10,Paramètres!$A$1:$I$89,5,0)</f>
        <v>-2.4829205358400943E-13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401.89597032936751</v>
      </c>
      <c r="AO165" s="62">
        <f t="shared" si="144"/>
        <v>417.85733543972361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-5.1159076974727213E-13</v>
      </c>
      <c r="BE165" s="14">
        <f>BD165*VLOOKUP('Données projet'!$B$11,Paramètres!$A$1:$I$89,3,0)*VLOOKUP('Données projet'!$B$11,Paramètres!$A$1:$I$89,5,0)</f>
        <v>-4.6288732846733184E-13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430.40491895612814</v>
      </c>
      <c r="BJ165" s="62">
        <f t="shared" si="146"/>
        <v>231.36959598460686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-1.0818439477588981E-13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367.11183928586667</v>
      </c>
      <c r="CE165" s="62">
        <f t="shared" si="148"/>
        <v>281.52963027844595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-3.4106051316484809E-13</v>
      </c>
      <c r="CU165" s="18">
        <f>CT165*VLOOKUP('Données projet'!$B$13,Paramètres!$A$1:$I$89,3,0)*VLOOKUP('Données projet'!$B$13,Paramètres!$A$1:$I$89,5,0)</f>
        <v>-2.0395418687257919E-13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308.47522272937135</v>
      </c>
      <c r="CZ165" s="62">
        <f t="shared" si="150"/>
        <v>302.54354650449721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9.8835752786804953E-2</v>
      </c>
      <c r="DH165" s="23">
        <f>EXP(-LN(2)/2)*DH164+(1-EXP(-LN(2)/2))/(LN(2)/2)*DB165*DE165*VLOOKUP('Données projet'!$B$13,Paramètres!$A$1:$I$89,3,0)*0.475*44/12</f>
        <v>2.3410121679296639E-19</v>
      </c>
      <c r="DI165" s="24">
        <f t="shared" si="175"/>
        <v>9.8835752786804953E-2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-5.6843418860808015E-14</v>
      </c>
      <c r="DP165" s="18">
        <f>DO165*VLOOKUP('Données projet'!$B$14,Paramètres!$A$1:$I$89,3,0)*VLOOKUP('Données projet'!$B$14,Paramètres!$A$1:$I$89,5,0)</f>
        <v>-4.5224624045658861E-14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370.58277541710277</v>
      </c>
      <c r="DU165" s="62">
        <f t="shared" si="152"/>
        <v>404.61777090709171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240.22884864766218</v>
      </c>
      <c r="EP165" s="62">
        <f t="shared" si="154"/>
        <v>343.23776884143166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0.2649768746451886</v>
      </c>
      <c r="EX165" s="23">
        <f>EXP(-LN(2)/2)*EX164+(1-EXP(-LN(2)/2))/(LN(2)/2)*ER165*EU165*VLOOKUP('Données projet'!$B$15,Paramètres!$A$1:$I$89,3,0)*0.475*44/12</f>
        <v>2.2387175502355391E-19</v>
      </c>
      <c r="EY165" s="24">
        <f t="shared" si="181"/>
        <v>0.2649768746451886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-1.1368683772161603E-13</v>
      </c>
      <c r="FF165" s="18">
        <f>FE165*VLOOKUP('Données projet'!$B$16,Paramètres!$A$1:$I$89,3,0)*VLOOKUP('Données projet'!$B$16,Paramètres!$A$1:$I$89,5,0)</f>
        <v>-5.3205440053716299E-14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399.92909819003523</v>
      </c>
      <c r="FK165" s="62">
        <f t="shared" si="156"/>
        <v>163.7053537268381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-5.6843418860808015E-14</v>
      </c>
      <c r="GA165" s="18">
        <f>FZ165*VLOOKUP('Données projet'!$B$17,Paramètres!$A$1:$I$89,3,0)*VLOOKUP('Données projet'!$B$17,Paramètres!$A$1:$I$89,5,0)</f>
        <v>-4.1677594708744434E-14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344.4426665022238</v>
      </c>
      <c r="GF165" s="62">
        <f t="shared" si="158"/>
        <v>376.41441893222185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6.8212102632969618E-13</v>
      </c>
      <c r="GV165" s="18">
        <f>GU165*VLOOKUP('Données projet'!$B$18,Paramètres!$A$1:$I$89,3,0)*VLOOKUP('Données projet'!$B$18,Paramètres!$A$1:$I$89,5,0)</f>
        <v>3.2810021366458383E-13</v>
      </c>
      <c r="GW165" s="14">
        <f t="shared" si="188"/>
        <v>4.2923528923937213E-12</v>
      </c>
      <c r="GX165" s="22">
        <f t="shared" si="189"/>
        <v>8.0472891597182151E-12</v>
      </c>
      <c r="GY165" s="62">
        <f t="shared" si="137"/>
        <v>293.33333333334139</v>
      </c>
      <c r="GZ165" s="62">
        <f ca="1">AVERAGE(OFFSET($GY$3,0,0,'Données projet'!$E$18+1,1))-AVERAGE(OFFSET($H$3,0,0,'Données projet'!$E$18+1,1))</f>
        <v>441.17479680509746</v>
      </c>
      <c r="HA165" s="62">
        <f t="shared" si="160"/>
        <v>198.56576128410069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-1.9065282685915009E-13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374.79806286316051</v>
      </c>
      <c r="T166" s="62">
        <f t="shared" si="142"/>
        <v>350.01856672839466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0.18472630690344766</v>
      </c>
      <c r="AB166" s="23">
        <f>EXP(-LN(2)/2)*AB165+(1-EXP(-LN(2)/2))/(LN(2)/2)*V166*Y166*VLOOKUP('Données projet'!$B$9,Paramètres!$A$1:$I$89,3,0)*0.475*44/12</f>
        <v>8.6079513185403839E-20</v>
      </c>
      <c r="AC166" s="24">
        <f t="shared" si="163"/>
        <v>0.18472630690344766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-2.8421709430404007E-13</v>
      </c>
      <c r="AJ166" s="14">
        <f>AI166*VLOOKUP('Données projet'!$B$10,Paramètres!$A$1:$I$89,3,0)*VLOOKUP('Données projet'!$B$10,Paramètres!$A$1:$I$89,5,0)</f>
        <v>-2.4829205358400943E-13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401.89597032936751</v>
      </c>
      <c r="AO166" s="62">
        <f t="shared" si="144"/>
        <v>417.85733543972361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-5.1159076974727213E-13</v>
      </c>
      <c r="BE166" s="14">
        <f>BD166*VLOOKUP('Données projet'!$B$11,Paramètres!$A$1:$I$89,3,0)*VLOOKUP('Données projet'!$B$11,Paramètres!$A$1:$I$89,5,0)</f>
        <v>-4.6288732846733184E-13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430.40491895612814</v>
      </c>
      <c r="BJ166" s="62">
        <f t="shared" si="146"/>
        <v>231.36959598460686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-1.0818439477588981E-13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367.11183928586667</v>
      </c>
      <c r="CE166" s="62">
        <f t="shared" si="148"/>
        <v>281.52963027844595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-3.4106051316484809E-13</v>
      </c>
      <c r="CU166" s="18">
        <f>CT166*VLOOKUP('Données projet'!$B$13,Paramètres!$A$1:$I$89,3,0)*VLOOKUP('Données projet'!$B$13,Paramètres!$A$1:$I$89,5,0)</f>
        <v>-2.0395418687257919E-13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308.47522272937135</v>
      </c>
      <c r="CZ166" s="62">
        <f t="shared" si="150"/>
        <v>302.54354650449721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9.613308392930342E-2</v>
      </c>
      <c r="DH166" s="23">
        <f>EXP(-LN(2)/2)*DH165+(1-EXP(-LN(2)/2))/(LN(2)/2)*DB166*DE166*VLOOKUP('Données projet'!$B$13,Paramètres!$A$1:$I$89,3,0)*0.475*44/12</f>
        <v>1.6553455787832861E-19</v>
      </c>
      <c r="DI166" s="24">
        <f t="shared" si="175"/>
        <v>9.613308392930342E-2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-5.6843418860808015E-14</v>
      </c>
      <c r="DP166" s="18">
        <f>DO166*VLOOKUP('Données projet'!$B$14,Paramètres!$A$1:$I$89,3,0)*VLOOKUP('Données projet'!$B$14,Paramètres!$A$1:$I$89,5,0)</f>
        <v>-4.5224624045658861E-14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370.58277541710277</v>
      </c>
      <c r="DU166" s="62">
        <f t="shared" si="152"/>
        <v>404.61777090709171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240.22884864766218</v>
      </c>
      <c r="EP166" s="62">
        <f t="shared" si="154"/>
        <v>343.23776884143166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0.25773106807348767</v>
      </c>
      <c r="EX166" s="23">
        <f>EXP(-LN(2)/2)*EX165+(1-EXP(-LN(2)/2))/(LN(2)/2)*ER166*EU166*VLOOKUP('Données projet'!$B$15,Paramètres!$A$1:$I$89,3,0)*0.475*44/12</f>
        <v>1.5830123609328851E-19</v>
      </c>
      <c r="EY166" s="24">
        <f t="shared" si="181"/>
        <v>0.25773106807348767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-1.1368683772161603E-13</v>
      </c>
      <c r="FF166" s="18">
        <f>FE166*VLOOKUP('Données projet'!$B$16,Paramètres!$A$1:$I$89,3,0)*VLOOKUP('Données projet'!$B$16,Paramètres!$A$1:$I$89,5,0)</f>
        <v>-5.3205440053716299E-14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399.92909819003523</v>
      </c>
      <c r="FK166" s="62">
        <f t="shared" si="156"/>
        <v>163.7053537268381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-5.6843418860808015E-14</v>
      </c>
      <c r="GA166" s="18">
        <f>FZ166*VLOOKUP('Données projet'!$B$17,Paramètres!$A$1:$I$89,3,0)*VLOOKUP('Données projet'!$B$17,Paramètres!$A$1:$I$89,5,0)</f>
        <v>-4.1677594708744434E-14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344.4426665022238</v>
      </c>
      <c r="GF166" s="62">
        <f t="shared" si="158"/>
        <v>376.41441893222185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6.8212102632969618E-13</v>
      </c>
      <c r="GV166" s="18">
        <f>GU166*VLOOKUP('Données projet'!$B$18,Paramètres!$A$1:$I$89,3,0)*VLOOKUP('Données projet'!$B$18,Paramètres!$A$1:$I$89,5,0)</f>
        <v>3.2810021366458383E-13</v>
      </c>
      <c r="GW166" s="14">
        <f t="shared" si="188"/>
        <v>4.2923528923937213E-12</v>
      </c>
      <c r="GX166" s="22">
        <f t="shared" si="189"/>
        <v>8.0472891597182151E-12</v>
      </c>
      <c r="GY166" s="62">
        <f t="shared" si="137"/>
        <v>293.33333333334139</v>
      </c>
      <c r="GZ166" s="62">
        <f ca="1">AVERAGE(OFFSET($GY$3,0,0,'Données projet'!$E$18+1,1))-AVERAGE(OFFSET($H$3,0,0,'Données projet'!$E$18+1,1))</f>
        <v>441.17479680509746</v>
      </c>
      <c r="HA166" s="62">
        <f t="shared" si="160"/>
        <v>198.56576128410069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-1.9065282685915009E-13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374.79806286316051</v>
      </c>
      <c r="T167" s="62">
        <f t="shared" si="142"/>
        <v>350.01856672839466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0.17967495632683861</v>
      </c>
      <c r="AB167" s="23">
        <f>EXP(-LN(2)/2)*AB166+(1-EXP(-LN(2)/2))/(LN(2)/2)*V167*Y167*VLOOKUP('Données projet'!$B$9,Paramètres!$A$1:$I$89,3,0)*0.475*44/12</f>
        <v>6.0867407494635884E-20</v>
      </c>
      <c r="AC167" s="24">
        <f t="shared" si="163"/>
        <v>0.17967495632683861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-2.8421709430404007E-13</v>
      </c>
      <c r="AJ167" s="14">
        <f>AI167*VLOOKUP('Données projet'!$B$10,Paramètres!$A$1:$I$89,3,0)*VLOOKUP('Données projet'!$B$10,Paramètres!$A$1:$I$89,5,0)</f>
        <v>-2.4829205358400943E-13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401.89597032936751</v>
      </c>
      <c r="AO167" s="62">
        <f t="shared" si="144"/>
        <v>417.85733543972361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-5.1159076974727213E-13</v>
      </c>
      <c r="BE167" s="14">
        <f>BD167*VLOOKUP('Données projet'!$B$11,Paramètres!$A$1:$I$89,3,0)*VLOOKUP('Données projet'!$B$11,Paramètres!$A$1:$I$89,5,0)</f>
        <v>-4.6288732846733184E-13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430.40491895612814</v>
      </c>
      <c r="BJ167" s="62">
        <f t="shared" si="146"/>
        <v>231.36959598460686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-1.0818439477588981E-13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367.11183928586667</v>
      </c>
      <c r="CE167" s="62">
        <f t="shared" si="148"/>
        <v>281.52963027844595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-3.4106051316484809E-13</v>
      </c>
      <c r="CU167" s="18">
        <f>CT167*VLOOKUP('Données projet'!$B$13,Paramètres!$A$1:$I$89,3,0)*VLOOKUP('Données projet'!$B$13,Paramètres!$A$1:$I$89,5,0)</f>
        <v>-2.0395418687257919E-13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308.47522272937135</v>
      </c>
      <c r="CZ167" s="62">
        <f t="shared" si="150"/>
        <v>302.54354650449721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9.3504319693837448E-2</v>
      </c>
      <c r="DH167" s="23">
        <f>EXP(-LN(2)/2)*DH166+(1-EXP(-LN(2)/2))/(LN(2)/2)*DB167*DE167*VLOOKUP('Données projet'!$B$13,Paramètres!$A$1:$I$89,3,0)*0.475*44/12</f>
        <v>1.1705060839648319E-19</v>
      </c>
      <c r="DI167" s="24">
        <f t="shared" si="175"/>
        <v>9.3504319693837448E-2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-5.6843418860808015E-14</v>
      </c>
      <c r="DP167" s="18">
        <f>DO167*VLOOKUP('Données projet'!$B$14,Paramètres!$A$1:$I$89,3,0)*VLOOKUP('Données projet'!$B$14,Paramètres!$A$1:$I$89,5,0)</f>
        <v>-4.5224624045658861E-14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370.58277541710277</v>
      </c>
      <c r="DU167" s="62">
        <f t="shared" si="152"/>
        <v>404.61777090709171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240.22884864766218</v>
      </c>
      <c r="EP167" s="62">
        <f t="shared" si="154"/>
        <v>343.23776884143166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0.25068339846353033</v>
      </c>
      <c r="EX167" s="23">
        <f>EXP(-LN(2)/2)*EX166+(1-EXP(-LN(2)/2))/(LN(2)/2)*ER167*EU167*VLOOKUP('Données projet'!$B$15,Paramètres!$A$1:$I$89,3,0)*0.475*44/12</f>
        <v>1.1193587751177696E-19</v>
      </c>
      <c r="EY167" s="24">
        <f t="shared" si="181"/>
        <v>0.25068339846353033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-1.1368683772161603E-13</v>
      </c>
      <c r="FF167" s="18">
        <f>FE167*VLOOKUP('Données projet'!$B$16,Paramètres!$A$1:$I$89,3,0)*VLOOKUP('Données projet'!$B$16,Paramètres!$A$1:$I$89,5,0)</f>
        <v>-5.3205440053716299E-14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399.92909819003523</v>
      </c>
      <c r="FK167" s="62">
        <f t="shared" si="156"/>
        <v>163.7053537268381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-5.6843418860808015E-14</v>
      </c>
      <c r="GA167" s="18">
        <f>FZ167*VLOOKUP('Données projet'!$B$17,Paramètres!$A$1:$I$89,3,0)*VLOOKUP('Données projet'!$B$17,Paramètres!$A$1:$I$89,5,0)</f>
        <v>-4.1677594708744434E-14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344.4426665022238</v>
      </c>
      <c r="GF167" s="62">
        <f t="shared" si="158"/>
        <v>376.41441893222185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6.8212102632969618E-13</v>
      </c>
      <c r="GV167" s="18">
        <f>GU167*VLOOKUP('Données projet'!$B$18,Paramètres!$A$1:$I$89,3,0)*VLOOKUP('Données projet'!$B$18,Paramètres!$A$1:$I$89,5,0)</f>
        <v>3.2810021366458383E-13</v>
      </c>
      <c r="GW167" s="14">
        <f t="shared" si="188"/>
        <v>4.2923528923937213E-12</v>
      </c>
      <c r="GX167" s="22">
        <f t="shared" si="189"/>
        <v>8.0472891597182151E-12</v>
      </c>
      <c r="GY167" s="62">
        <f t="shared" si="137"/>
        <v>293.33333333334139</v>
      </c>
      <c r="GZ167" s="62">
        <f ca="1">AVERAGE(OFFSET($GY$3,0,0,'Données projet'!$E$18+1,1))-AVERAGE(OFFSET($H$3,0,0,'Données projet'!$E$18+1,1))</f>
        <v>441.17479680509746</v>
      </c>
      <c r="HA167" s="62">
        <f t="shared" si="160"/>
        <v>198.56576128410069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-1.9065282685915009E-13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374.79806286316051</v>
      </c>
      <c r="T168" s="62">
        <f t="shared" si="142"/>
        <v>350.01856672839466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0.17476173519738591</v>
      </c>
      <c r="AB168" s="23">
        <f>EXP(-LN(2)/2)*AB167+(1-EXP(-LN(2)/2))/(LN(2)/2)*V168*Y168*VLOOKUP('Données projet'!$B$9,Paramètres!$A$1:$I$89,3,0)*0.475*44/12</f>
        <v>4.3039756592701919E-20</v>
      </c>
      <c r="AC168" s="24">
        <f t="shared" si="163"/>
        <v>0.17476173519738591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-2.8421709430404007E-13</v>
      </c>
      <c r="AJ168" s="14">
        <f>AI168*VLOOKUP('Données projet'!$B$10,Paramètres!$A$1:$I$89,3,0)*VLOOKUP('Données projet'!$B$10,Paramètres!$A$1:$I$89,5,0)</f>
        <v>-2.4829205358400943E-13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401.89597032936751</v>
      </c>
      <c r="AO168" s="62">
        <f t="shared" si="144"/>
        <v>417.85733543972361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-5.1159076974727213E-13</v>
      </c>
      <c r="BE168" s="14">
        <f>BD168*VLOOKUP('Données projet'!$B$11,Paramètres!$A$1:$I$89,3,0)*VLOOKUP('Données projet'!$B$11,Paramètres!$A$1:$I$89,5,0)</f>
        <v>-4.6288732846733184E-13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430.40491895612814</v>
      </c>
      <c r="BJ168" s="62">
        <f t="shared" si="146"/>
        <v>231.36959598460686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-1.0818439477588981E-13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367.11183928586667</v>
      </c>
      <c r="CE168" s="62">
        <f t="shared" si="148"/>
        <v>281.52963027844595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-3.4106051316484809E-13</v>
      </c>
      <c r="CU168" s="18">
        <f>CT168*VLOOKUP('Données projet'!$B$13,Paramètres!$A$1:$I$89,3,0)*VLOOKUP('Données projet'!$B$13,Paramètres!$A$1:$I$89,5,0)</f>
        <v>-2.0395418687257919E-13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308.47522272937135</v>
      </c>
      <c r="CZ168" s="62">
        <f t="shared" si="150"/>
        <v>302.54354650449721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9.0947439154630993E-2</v>
      </c>
      <c r="DH168" s="23">
        <f>EXP(-LN(2)/2)*DH167+(1-EXP(-LN(2)/2))/(LN(2)/2)*DB168*DE168*VLOOKUP('Données projet'!$B$13,Paramètres!$A$1:$I$89,3,0)*0.475*44/12</f>
        <v>8.2767278939164306E-20</v>
      </c>
      <c r="DI168" s="24">
        <f t="shared" si="175"/>
        <v>9.0947439154630993E-2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-5.6843418860808015E-14</v>
      </c>
      <c r="DP168" s="18">
        <f>DO168*VLOOKUP('Données projet'!$B$14,Paramètres!$A$1:$I$89,3,0)*VLOOKUP('Données projet'!$B$14,Paramètres!$A$1:$I$89,5,0)</f>
        <v>-4.5224624045658861E-14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370.58277541710277</v>
      </c>
      <c r="DU168" s="62">
        <f t="shared" si="152"/>
        <v>404.61777090709171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240.22884864766218</v>
      </c>
      <c r="EP168" s="62">
        <f t="shared" si="154"/>
        <v>343.23776884143166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0.2438284477496781</v>
      </c>
      <c r="EX168" s="23">
        <f>EXP(-LN(2)/2)*EX167+(1-EXP(-LN(2)/2))/(LN(2)/2)*ER168*EU168*VLOOKUP('Données projet'!$B$15,Paramètres!$A$1:$I$89,3,0)*0.475*44/12</f>
        <v>7.9150618046644255E-20</v>
      </c>
      <c r="EY168" s="24">
        <f t="shared" si="181"/>
        <v>0.2438284477496781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-1.1368683772161603E-13</v>
      </c>
      <c r="FF168" s="18">
        <f>FE168*VLOOKUP('Données projet'!$B$16,Paramètres!$A$1:$I$89,3,0)*VLOOKUP('Données projet'!$B$16,Paramètres!$A$1:$I$89,5,0)</f>
        <v>-5.3205440053716299E-14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399.92909819003523</v>
      </c>
      <c r="FK168" s="62">
        <f t="shared" si="156"/>
        <v>163.7053537268381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-5.6843418860808015E-14</v>
      </c>
      <c r="GA168" s="18">
        <f>FZ168*VLOOKUP('Données projet'!$B$17,Paramètres!$A$1:$I$89,3,0)*VLOOKUP('Données projet'!$B$17,Paramètres!$A$1:$I$89,5,0)</f>
        <v>-4.1677594708744434E-14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344.4426665022238</v>
      </c>
      <c r="GF168" s="62">
        <f t="shared" si="158"/>
        <v>376.41441893222185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6.8212102632969618E-13</v>
      </c>
      <c r="GV168" s="18">
        <f>GU168*VLOOKUP('Données projet'!$B$18,Paramètres!$A$1:$I$89,3,0)*VLOOKUP('Données projet'!$B$18,Paramètres!$A$1:$I$89,5,0)</f>
        <v>3.2810021366458383E-13</v>
      </c>
      <c r="GW168" s="14">
        <f t="shared" si="188"/>
        <v>4.2923528923937213E-12</v>
      </c>
      <c r="GX168" s="22">
        <f t="shared" si="189"/>
        <v>8.0472891597182151E-12</v>
      </c>
      <c r="GY168" s="62">
        <f t="shared" si="137"/>
        <v>293.33333333334139</v>
      </c>
      <c r="GZ168" s="62">
        <f ca="1">AVERAGE(OFFSET($GY$3,0,0,'Données projet'!$E$18+1,1))-AVERAGE(OFFSET($H$3,0,0,'Données projet'!$E$18+1,1))</f>
        <v>441.17479680509746</v>
      </c>
      <c r="HA168" s="62">
        <f t="shared" si="160"/>
        <v>198.56576128410069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-1.9065282685915009E-13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374.79806286316051</v>
      </c>
      <c r="T169" s="62">
        <f t="shared" si="142"/>
        <v>350.01856672839466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0.16998286635809318</v>
      </c>
      <c r="AB169" s="23">
        <f>EXP(-LN(2)/2)*AB168+(1-EXP(-LN(2)/2))/(LN(2)/2)*V169*Y169*VLOOKUP('Données projet'!$B$9,Paramètres!$A$1:$I$89,3,0)*0.475*44/12</f>
        <v>3.0433703747317942E-20</v>
      </c>
      <c r="AC169" s="24">
        <f t="shared" si="163"/>
        <v>0.16998286635809318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-2.8421709430404007E-13</v>
      </c>
      <c r="AJ169" s="14">
        <f>AI169*VLOOKUP('Données projet'!$B$10,Paramètres!$A$1:$I$89,3,0)*VLOOKUP('Données projet'!$B$10,Paramètres!$A$1:$I$89,5,0)</f>
        <v>-2.4829205358400943E-13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401.89597032936751</v>
      </c>
      <c r="AO169" s="62">
        <f t="shared" si="144"/>
        <v>417.85733543972361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-5.1159076974727213E-13</v>
      </c>
      <c r="BE169" s="14">
        <f>BD169*VLOOKUP('Données projet'!$B$11,Paramètres!$A$1:$I$89,3,0)*VLOOKUP('Données projet'!$B$11,Paramètres!$A$1:$I$89,5,0)</f>
        <v>-4.6288732846733184E-13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430.40491895612814</v>
      </c>
      <c r="BJ169" s="62">
        <f t="shared" si="146"/>
        <v>231.36959598460686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-1.0818439477588981E-13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367.11183928586667</v>
      </c>
      <c r="CE169" s="62">
        <f t="shared" si="148"/>
        <v>281.52963027844595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-3.4106051316484809E-13</v>
      </c>
      <c r="CU169" s="18">
        <f>CT169*VLOOKUP('Données projet'!$B$13,Paramètres!$A$1:$I$89,3,0)*VLOOKUP('Données projet'!$B$13,Paramètres!$A$1:$I$89,5,0)</f>
        <v>-2.0395418687257919E-13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308.47522272937135</v>
      </c>
      <c r="CZ169" s="62">
        <f t="shared" si="150"/>
        <v>302.54354650449721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8.8460476648229647E-2</v>
      </c>
      <c r="DH169" s="23">
        <f>EXP(-LN(2)/2)*DH168+(1-EXP(-LN(2)/2))/(LN(2)/2)*DB169*DE169*VLOOKUP('Données projet'!$B$13,Paramètres!$A$1:$I$89,3,0)*0.475*44/12</f>
        <v>5.8525304198241596E-20</v>
      </c>
      <c r="DI169" s="24">
        <f t="shared" si="175"/>
        <v>8.8460476648229647E-2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-5.6843418860808015E-14</v>
      </c>
      <c r="DP169" s="18">
        <f>DO169*VLOOKUP('Données projet'!$B$14,Paramètres!$A$1:$I$89,3,0)*VLOOKUP('Données projet'!$B$14,Paramètres!$A$1:$I$89,5,0)</f>
        <v>-4.5224624045658861E-14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370.58277541710277</v>
      </c>
      <c r="DU169" s="62">
        <f t="shared" si="152"/>
        <v>404.61777090709171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240.22884864766218</v>
      </c>
      <c r="EP169" s="62">
        <f t="shared" si="154"/>
        <v>343.23776884143166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0.23716094602358237</v>
      </c>
      <c r="EX169" s="23">
        <f>EXP(-LN(2)/2)*EX168+(1-EXP(-LN(2)/2))/(LN(2)/2)*ER169*EU169*VLOOKUP('Données projet'!$B$15,Paramètres!$A$1:$I$89,3,0)*0.475*44/12</f>
        <v>5.5967938755888478E-20</v>
      </c>
      <c r="EY169" s="24">
        <f t="shared" si="181"/>
        <v>0.23716094602358237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-1.1368683772161603E-13</v>
      </c>
      <c r="FF169" s="18">
        <f>FE169*VLOOKUP('Données projet'!$B$16,Paramètres!$A$1:$I$89,3,0)*VLOOKUP('Données projet'!$B$16,Paramètres!$A$1:$I$89,5,0)</f>
        <v>-5.3205440053716299E-14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399.92909819003523</v>
      </c>
      <c r="FK169" s="62">
        <f t="shared" si="156"/>
        <v>163.7053537268381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-5.6843418860808015E-14</v>
      </c>
      <c r="GA169" s="18">
        <f>FZ169*VLOOKUP('Données projet'!$B$17,Paramètres!$A$1:$I$89,3,0)*VLOOKUP('Données projet'!$B$17,Paramètres!$A$1:$I$89,5,0)</f>
        <v>-4.1677594708744434E-14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344.4426665022238</v>
      </c>
      <c r="GF169" s="62">
        <f t="shared" si="158"/>
        <v>376.41441893222185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6.8212102632969618E-13</v>
      </c>
      <c r="GV169" s="18">
        <f>GU169*VLOOKUP('Données projet'!$B$18,Paramètres!$A$1:$I$89,3,0)*VLOOKUP('Données projet'!$B$18,Paramètres!$A$1:$I$89,5,0)</f>
        <v>3.2810021366458383E-13</v>
      </c>
      <c r="GW169" s="14">
        <f t="shared" si="188"/>
        <v>4.2923528923937213E-12</v>
      </c>
      <c r="GX169" s="22">
        <f t="shared" si="189"/>
        <v>8.0472891597182151E-12</v>
      </c>
      <c r="GY169" s="62">
        <f t="shared" si="137"/>
        <v>293.33333333334139</v>
      </c>
      <c r="GZ169" s="62">
        <f ca="1">AVERAGE(OFFSET($GY$3,0,0,'Données projet'!$E$18+1,1))-AVERAGE(OFFSET($H$3,0,0,'Données projet'!$E$18+1,1))</f>
        <v>441.17479680509746</v>
      </c>
      <c r="HA169" s="62">
        <f t="shared" si="160"/>
        <v>198.56576128410069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-1.9065282685915009E-13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374.79806286316051</v>
      </c>
      <c r="T170" s="62">
        <f t="shared" si="142"/>
        <v>350.01856672839466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0.16533467593852066</v>
      </c>
      <c r="AB170" s="23">
        <f>EXP(-LN(2)/2)*AB169+(1-EXP(-LN(2)/2))/(LN(2)/2)*V170*Y170*VLOOKUP('Données projet'!$B$9,Paramètres!$A$1:$I$89,3,0)*0.475*44/12</f>
        <v>2.151987829635096E-20</v>
      </c>
      <c r="AC170" s="24">
        <f t="shared" si="163"/>
        <v>0.16533467593852066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-2.8421709430404007E-13</v>
      </c>
      <c r="AJ170" s="14">
        <f>AI170*VLOOKUP('Données projet'!$B$10,Paramètres!$A$1:$I$89,3,0)*VLOOKUP('Données projet'!$B$10,Paramètres!$A$1:$I$89,5,0)</f>
        <v>-2.4829205358400943E-13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401.89597032936751</v>
      </c>
      <c r="AO170" s="62">
        <f t="shared" si="144"/>
        <v>417.85733543972361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-5.1159076974727213E-13</v>
      </c>
      <c r="BE170" s="14">
        <f>BD170*VLOOKUP('Données projet'!$B$11,Paramètres!$A$1:$I$89,3,0)*VLOOKUP('Données projet'!$B$11,Paramètres!$A$1:$I$89,5,0)</f>
        <v>-4.6288732846733184E-13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430.40491895612814</v>
      </c>
      <c r="BJ170" s="62">
        <f t="shared" si="146"/>
        <v>231.36959598460686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-1.0818439477588981E-13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367.11183928586667</v>
      </c>
      <c r="CE170" s="62">
        <f t="shared" si="148"/>
        <v>281.52963027844595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-3.4106051316484809E-13</v>
      </c>
      <c r="CU170" s="18">
        <f>CT170*VLOOKUP('Données projet'!$B$13,Paramètres!$A$1:$I$89,3,0)*VLOOKUP('Données projet'!$B$13,Paramètres!$A$1:$I$89,5,0)</f>
        <v>-2.0395418687257919E-13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308.47522272937135</v>
      </c>
      <c r="CZ170" s="62">
        <f t="shared" si="150"/>
        <v>302.54354650449721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8.6041520262349513E-2</v>
      </c>
      <c r="DH170" s="23">
        <f>EXP(-LN(2)/2)*DH169+(1-EXP(-LN(2)/2))/(LN(2)/2)*DB170*DE170*VLOOKUP('Données projet'!$B$13,Paramètres!$A$1:$I$89,3,0)*0.475*44/12</f>
        <v>4.1383639469582153E-20</v>
      </c>
      <c r="DI170" s="24">
        <f t="shared" si="175"/>
        <v>8.6041520262349513E-2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-5.6843418860808015E-14</v>
      </c>
      <c r="DP170" s="18">
        <f>DO170*VLOOKUP('Données projet'!$B$14,Paramètres!$A$1:$I$89,3,0)*VLOOKUP('Données projet'!$B$14,Paramètres!$A$1:$I$89,5,0)</f>
        <v>-4.5224624045658861E-14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370.58277541710277</v>
      </c>
      <c r="DU170" s="62">
        <f t="shared" si="152"/>
        <v>404.61777090709171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240.22884864766218</v>
      </c>
      <c r="EP170" s="62">
        <f t="shared" si="154"/>
        <v>343.23776884143166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0.2306757674828154</v>
      </c>
      <c r="EX170" s="23">
        <f>EXP(-LN(2)/2)*EX169+(1-EXP(-LN(2)/2))/(LN(2)/2)*ER170*EU170*VLOOKUP('Données projet'!$B$15,Paramètres!$A$1:$I$89,3,0)*0.475*44/12</f>
        <v>3.9575309023322127E-20</v>
      </c>
      <c r="EY170" s="24">
        <f t="shared" si="181"/>
        <v>0.2306757674828154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-1.1368683772161603E-13</v>
      </c>
      <c r="FF170" s="18">
        <f>FE170*VLOOKUP('Données projet'!$B$16,Paramètres!$A$1:$I$89,3,0)*VLOOKUP('Données projet'!$B$16,Paramètres!$A$1:$I$89,5,0)</f>
        <v>-5.3205440053716299E-14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399.92909819003523</v>
      </c>
      <c r="FK170" s="62">
        <f t="shared" si="156"/>
        <v>163.7053537268381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-5.6843418860808015E-14</v>
      </c>
      <c r="GA170" s="18">
        <f>FZ170*VLOOKUP('Données projet'!$B$17,Paramètres!$A$1:$I$89,3,0)*VLOOKUP('Données projet'!$B$17,Paramètres!$A$1:$I$89,5,0)</f>
        <v>-4.1677594708744434E-14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344.4426665022238</v>
      </c>
      <c r="GF170" s="62">
        <f t="shared" si="158"/>
        <v>376.41441893222185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6.8212102632969618E-13</v>
      </c>
      <c r="GV170" s="18">
        <f>GU170*VLOOKUP('Données projet'!$B$18,Paramètres!$A$1:$I$89,3,0)*VLOOKUP('Données projet'!$B$18,Paramètres!$A$1:$I$89,5,0)</f>
        <v>3.2810021366458383E-13</v>
      </c>
      <c r="GW170" s="14">
        <f t="shared" si="188"/>
        <v>4.2923528923937213E-12</v>
      </c>
      <c r="GX170" s="22">
        <f t="shared" si="189"/>
        <v>8.0472891597182151E-12</v>
      </c>
      <c r="GY170" s="62">
        <f t="shared" si="137"/>
        <v>293.33333333334139</v>
      </c>
      <c r="GZ170" s="62">
        <f ca="1">AVERAGE(OFFSET($GY$3,0,0,'Données projet'!$E$18+1,1))-AVERAGE(OFFSET($H$3,0,0,'Données projet'!$E$18+1,1))</f>
        <v>441.17479680509746</v>
      </c>
      <c r="HA170" s="62">
        <f t="shared" si="160"/>
        <v>198.56576128410069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-1.9065282685915009E-13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374.79806286316051</v>
      </c>
      <c r="T171" s="62">
        <f t="shared" si="142"/>
        <v>350.01856672839466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0.16081359053040908</v>
      </c>
      <c r="AB171" s="23">
        <f>EXP(-LN(2)/2)*AB170+(1-EXP(-LN(2)/2))/(LN(2)/2)*V171*Y171*VLOOKUP('Données projet'!$B$9,Paramètres!$A$1:$I$89,3,0)*0.475*44/12</f>
        <v>1.5216851873658971E-20</v>
      </c>
      <c r="AC171" s="24">
        <f t="shared" si="163"/>
        <v>0.16081359053040908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-2.8421709430404007E-13</v>
      </c>
      <c r="AJ171" s="14">
        <f>AI171*VLOOKUP('Données projet'!$B$10,Paramètres!$A$1:$I$89,3,0)*VLOOKUP('Données projet'!$B$10,Paramètres!$A$1:$I$89,5,0)</f>
        <v>-2.4829205358400943E-13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401.89597032936751</v>
      </c>
      <c r="AO171" s="62">
        <f t="shared" si="144"/>
        <v>417.85733543972361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-5.1159076974727213E-13</v>
      </c>
      <c r="BE171" s="14">
        <f>BD171*VLOOKUP('Données projet'!$B$11,Paramètres!$A$1:$I$89,3,0)*VLOOKUP('Données projet'!$B$11,Paramètres!$A$1:$I$89,5,0)</f>
        <v>-4.6288732846733184E-13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430.40491895612814</v>
      </c>
      <c r="BJ171" s="62">
        <f t="shared" si="146"/>
        <v>231.36959598460686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-1.0818439477588981E-13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367.11183928586667</v>
      </c>
      <c r="CE171" s="62">
        <f t="shared" si="148"/>
        <v>281.52963027844595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-3.4106051316484809E-13</v>
      </c>
      <c r="CU171" s="18">
        <f>CT171*VLOOKUP('Données projet'!$B$13,Paramètres!$A$1:$I$89,3,0)*VLOOKUP('Données projet'!$B$13,Paramètres!$A$1:$I$89,5,0)</f>
        <v>-2.0395418687257919E-13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308.47522272937135</v>
      </c>
      <c r="CZ171" s="62">
        <f t="shared" si="150"/>
        <v>302.54354650449721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8.3688710366048663E-2</v>
      </c>
      <c r="DH171" s="23">
        <f>EXP(-LN(2)/2)*DH170+(1-EXP(-LN(2)/2))/(LN(2)/2)*DB171*DE171*VLOOKUP('Données projet'!$B$13,Paramètres!$A$1:$I$89,3,0)*0.475*44/12</f>
        <v>2.9262652099120798E-20</v>
      </c>
      <c r="DI171" s="24">
        <f t="shared" si="175"/>
        <v>8.3688710366048663E-2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-5.6843418860808015E-14</v>
      </c>
      <c r="DP171" s="18">
        <f>DO171*VLOOKUP('Données projet'!$B$14,Paramètres!$A$1:$I$89,3,0)*VLOOKUP('Données projet'!$B$14,Paramètres!$A$1:$I$89,5,0)</f>
        <v>-4.5224624045658861E-14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370.58277541710277</v>
      </c>
      <c r="DU171" s="62">
        <f t="shared" si="152"/>
        <v>404.61777090709171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240.22884864766218</v>
      </c>
      <c r="EP171" s="62">
        <f t="shared" si="154"/>
        <v>343.23776884143166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0.22436792649028642</v>
      </c>
      <c r="EX171" s="23">
        <f>EXP(-LN(2)/2)*EX170+(1-EXP(-LN(2)/2))/(LN(2)/2)*ER171*EU171*VLOOKUP('Données projet'!$B$15,Paramètres!$A$1:$I$89,3,0)*0.475*44/12</f>
        <v>2.7983969377944239E-20</v>
      </c>
      <c r="EY171" s="24">
        <f t="shared" si="181"/>
        <v>0.22436792649028642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-1.1368683772161603E-13</v>
      </c>
      <c r="FF171" s="18">
        <f>FE171*VLOOKUP('Données projet'!$B$16,Paramètres!$A$1:$I$89,3,0)*VLOOKUP('Données projet'!$B$16,Paramètres!$A$1:$I$89,5,0)</f>
        <v>-5.3205440053716299E-14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399.92909819003523</v>
      </c>
      <c r="FK171" s="62">
        <f t="shared" si="156"/>
        <v>163.7053537268381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-5.6843418860808015E-14</v>
      </c>
      <c r="GA171" s="18">
        <f>FZ171*VLOOKUP('Données projet'!$B$17,Paramètres!$A$1:$I$89,3,0)*VLOOKUP('Données projet'!$B$17,Paramètres!$A$1:$I$89,5,0)</f>
        <v>-4.1677594708744434E-14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344.4426665022238</v>
      </c>
      <c r="GF171" s="62">
        <f t="shared" si="158"/>
        <v>376.41441893222185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6.8212102632969618E-13</v>
      </c>
      <c r="GV171" s="18">
        <f>GU171*VLOOKUP('Données projet'!$B$18,Paramètres!$A$1:$I$89,3,0)*VLOOKUP('Données projet'!$B$18,Paramètres!$A$1:$I$89,5,0)</f>
        <v>3.2810021366458383E-13</v>
      </c>
      <c r="GW171" s="14">
        <f t="shared" si="188"/>
        <v>4.2923528923937213E-12</v>
      </c>
      <c r="GX171" s="22">
        <f t="shared" si="189"/>
        <v>8.0472891597182151E-12</v>
      </c>
      <c r="GY171" s="62">
        <f t="shared" si="137"/>
        <v>293.33333333334139</v>
      </c>
      <c r="GZ171" s="62">
        <f ca="1">AVERAGE(OFFSET($GY$3,0,0,'Données projet'!$E$18+1,1))-AVERAGE(OFFSET($H$3,0,0,'Données projet'!$E$18+1,1))</f>
        <v>441.17479680509746</v>
      </c>
      <c r="HA171" s="62">
        <f t="shared" si="160"/>
        <v>198.56576128410069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-1.9065282685915009E-13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374.79806286316051</v>
      </c>
      <c r="T172" s="62">
        <f t="shared" si="142"/>
        <v>350.01856672839466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0.15641613444053587</v>
      </c>
      <c r="AB172" s="23">
        <f>EXP(-LN(2)/2)*AB171+(1-EXP(-LN(2)/2))/(LN(2)/2)*V172*Y172*VLOOKUP('Données projet'!$B$9,Paramètres!$A$1:$I$89,3,0)*0.475*44/12</f>
        <v>1.075993914817548E-20</v>
      </c>
      <c r="AC172" s="24">
        <f t="shared" si="163"/>
        <v>0.15641613444053587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-2.8421709430404007E-13</v>
      </c>
      <c r="AJ172" s="14">
        <f>AI172*VLOOKUP('Données projet'!$B$10,Paramètres!$A$1:$I$89,3,0)*VLOOKUP('Données projet'!$B$10,Paramètres!$A$1:$I$89,5,0)</f>
        <v>-2.4829205358400943E-13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401.89597032936751</v>
      </c>
      <c r="AO172" s="62">
        <f t="shared" si="144"/>
        <v>417.85733543972361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-5.1159076974727213E-13</v>
      </c>
      <c r="BE172" s="14">
        <f>BD172*VLOOKUP('Données projet'!$B$11,Paramètres!$A$1:$I$89,3,0)*VLOOKUP('Données projet'!$B$11,Paramètres!$A$1:$I$89,5,0)</f>
        <v>-4.6288732846733184E-13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430.40491895612814</v>
      </c>
      <c r="BJ172" s="62">
        <f t="shared" si="146"/>
        <v>231.36959598460686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-1.0818439477588981E-13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367.11183928586667</v>
      </c>
      <c r="CE172" s="62">
        <f t="shared" si="148"/>
        <v>281.52963027844595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-3.4106051316484809E-13</v>
      </c>
      <c r="CU172" s="18">
        <f>CT172*VLOOKUP('Données projet'!$B$13,Paramètres!$A$1:$I$89,3,0)*VLOOKUP('Données projet'!$B$13,Paramètres!$A$1:$I$89,5,0)</f>
        <v>-2.0395418687257919E-13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308.47522272937135</v>
      </c>
      <c r="CZ172" s="62">
        <f t="shared" si="150"/>
        <v>302.54354650449721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8.1400238180091053E-2</v>
      </c>
      <c r="DH172" s="23">
        <f>EXP(-LN(2)/2)*DH171+(1-EXP(-LN(2)/2))/(LN(2)/2)*DB172*DE172*VLOOKUP('Données projet'!$B$13,Paramètres!$A$1:$I$89,3,0)*0.475*44/12</f>
        <v>2.0691819734791076E-20</v>
      </c>
      <c r="DI172" s="24">
        <f t="shared" si="175"/>
        <v>8.1400238180091053E-2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-5.6843418860808015E-14</v>
      </c>
      <c r="DP172" s="18">
        <f>DO172*VLOOKUP('Données projet'!$B$14,Paramètres!$A$1:$I$89,3,0)*VLOOKUP('Données projet'!$B$14,Paramètres!$A$1:$I$89,5,0)</f>
        <v>-4.5224624045658861E-14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370.58277541710277</v>
      </c>
      <c r="DU172" s="62">
        <f t="shared" si="152"/>
        <v>404.61777090709171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240.22884864766218</v>
      </c>
      <c r="EP172" s="62">
        <f t="shared" si="154"/>
        <v>343.23776884143166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0.21823257374141308</v>
      </c>
      <c r="EX172" s="23">
        <f>EXP(-LN(2)/2)*EX171+(1-EXP(-LN(2)/2))/(LN(2)/2)*ER172*EU172*VLOOKUP('Données projet'!$B$15,Paramètres!$A$1:$I$89,3,0)*0.475*44/12</f>
        <v>1.9787654511661064E-20</v>
      </c>
      <c r="EY172" s="24">
        <f t="shared" si="181"/>
        <v>0.21823257374141308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-1.1368683772161603E-13</v>
      </c>
      <c r="FF172" s="18">
        <f>FE172*VLOOKUP('Données projet'!$B$16,Paramètres!$A$1:$I$89,3,0)*VLOOKUP('Données projet'!$B$16,Paramètres!$A$1:$I$89,5,0)</f>
        <v>-5.3205440053716299E-14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399.92909819003523</v>
      </c>
      <c r="FK172" s="62">
        <f t="shared" si="156"/>
        <v>163.7053537268381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-5.6843418860808015E-14</v>
      </c>
      <c r="GA172" s="18">
        <f>FZ172*VLOOKUP('Données projet'!$B$17,Paramètres!$A$1:$I$89,3,0)*VLOOKUP('Données projet'!$B$17,Paramètres!$A$1:$I$89,5,0)</f>
        <v>-4.1677594708744434E-14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344.4426665022238</v>
      </c>
      <c r="GF172" s="62">
        <f t="shared" si="158"/>
        <v>376.41441893222185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6.8212102632969618E-13</v>
      </c>
      <c r="GV172" s="18">
        <f>GU172*VLOOKUP('Données projet'!$B$18,Paramètres!$A$1:$I$89,3,0)*VLOOKUP('Données projet'!$B$18,Paramètres!$A$1:$I$89,5,0)</f>
        <v>3.2810021366458383E-13</v>
      </c>
      <c r="GW172" s="14">
        <f t="shared" si="188"/>
        <v>4.2923528923937213E-12</v>
      </c>
      <c r="GX172" s="22">
        <f t="shared" si="189"/>
        <v>8.0472891597182151E-12</v>
      </c>
      <c r="GY172" s="62">
        <f t="shared" si="137"/>
        <v>293.33333333334139</v>
      </c>
      <c r="GZ172" s="62">
        <f ca="1">AVERAGE(OFFSET($GY$3,0,0,'Données projet'!$E$18+1,1))-AVERAGE(OFFSET($H$3,0,0,'Données projet'!$E$18+1,1))</f>
        <v>441.17479680509746</v>
      </c>
      <c r="HA172" s="62">
        <f t="shared" si="160"/>
        <v>198.56576128410069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-1.9065282685915009E-13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374.79806286316051</v>
      </c>
      <c r="T173" s="62">
        <f t="shared" si="142"/>
        <v>350.01856672839466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0.15213892701869239</v>
      </c>
      <c r="AB173" s="23">
        <f>EXP(-LN(2)/2)*AB172+(1-EXP(-LN(2)/2))/(LN(2)/2)*V173*Y173*VLOOKUP('Données projet'!$B$9,Paramètres!$A$1:$I$89,3,0)*0.475*44/12</f>
        <v>7.6084259368294855E-21</v>
      </c>
      <c r="AC173" s="24">
        <f t="shared" si="163"/>
        <v>0.15213892701869239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-2.8421709430404007E-13</v>
      </c>
      <c r="AJ173" s="14">
        <f>AI173*VLOOKUP('Données projet'!$B$10,Paramètres!$A$1:$I$89,3,0)*VLOOKUP('Données projet'!$B$10,Paramètres!$A$1:$I$89,5,0)</f>
        <v>-2.4829205358400943E-13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401.89597032936751</v>
      </c>
      <c r="AO173" s="62">
        <f t="shared" si="144"/>
        <v>417.85733543972361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-5.1159076974727213E-13</v>
      </c>
      <c r="BE173" s="14">
        <f>BD173*VLOOKUP('Données projet'!$B$11,Paramètres!$A$1:$I$89,3,0)*VLOOKUP('Données projet'!$B$11,Paramètres!$A$1:$I$89,5,0)</f>
        <v>-4.6288732846733184E-13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430.40491895612814</v>
      </c>
      <c r="BJ173" s="62">
        <f t="shared" si="146"/>
        <v>231.36959598460686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-1.0818439477588981E-13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367.11183928586667</v>
      </c>
      <c r="CE173" s="62">
        <f t="shared" si="148"/>
        <v>281.52963027844595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-3.4106051316484809E-13</v>
      </c>
      <c r="CU173" s="18">
        <f>CT173*VLOOKUP('Données projet'!$B$13,Paramètres!$A$1:$I$89,3,0)*VLOOKUP('Données projet'!$B$13,Paramètres!$A$1:$I$89,5,0)</f>
        <v>-2.0395418687257919E-13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308.47522272937135</v>
      </c>
      <c r="CZ173" s="62">
        <f t="shared" si="150"/>
        <v>302.54354650449721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7.9174344386403986E-2</v>
      </c>
      <c r="DH173" s="23">
        <f>EXP(-LN(2)/2)*DH172+(1-EXP(-LN(2)/2))/(LN(2)/2)*DB173*DE173*VLOOKUP('Données projet'!$B$13,Paramètres!$A$1:$I$89,3,0)*0.475*44/12</f>
        <v>1.4631326049560399E-20</v>
      </c>
      <c r="DI173" s="24">
        <f t="shared" si="175"/>
        <v>7.9174344386403986E-2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-5.6843418860808015E-14</v>
      </c>
      <c r="DP173" s="18">
        <f>DO173*VLOOKUP('Données projet'!$B$14,Paramètres!$A$1:$I$89,3,0)*VLOOKUP('Données projet'!$B$14,Paramètres!$A$1:$I$89,5,0)</f>
        <v>-4.5224624045658861E-14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370.58277541710277</v>
      </c>
      <c r="DU173" s="62">
        <f t="shared" si="152"/>
        <v>404.61777090709171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240.22884864766218</v>
      </c>
      <c r="EP173" s="62">
        <f t="shared" si="154"/>
        <v>343.23776884143166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0.21226499253610187</v>
      </c>
      <c r="EX173" s="23">
        <f>EXP(-LN(2)/2)*EX172+(1-EXP(-LN(2)/2))/(LN(2)/2)*ER173*EU173*VLOOKUP('Données projet'!$B$15,Paramètres!$A$1:$I$89,3,0)*0.475*44/12</f>
        <v>1.399198468897212E-20</v>
      </c>
      <c r="EY173" s="24">
        <f t="shared" si="181"/>
        <v>0.21226499253610187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-1.1368683772161603E-13</v>
      </c>
      <c r="FF173" s="18">
        <f>FE173*VLOOKUP('Données projet'!$B$16,Paramètres!$A$1:$I$89,3,0)*VLOOKUP('Données projet'!$B$16,Paramètres!$A$1:$I$89,5,0)</f>
        <v>-5.3205440053716299E-14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399.92909819003523</v>
      </c>
      <c r="FK173" s="62">
        <f t="shared" si="156"/>
        <v>163.7053537268381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-5.6843418860808015E-14</v>
      </c>
      <c r="GA173" s="18">
        <f>FZ173*VLOOKUP('Données projet'!$B$17,Paramètres!$A$1:$I$89,3,0)*VLOOKUP('Données projet'!$B$17,Paramètres!$A$1:$I$89,5,0)</f>
        <v>-4.1677594708744434E-14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344.4426665022238</v>
      </c>
      <c r="GF173" s="62">
        <f t="shared" si="158"/>
        <v>376.41441893222185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6.8212102632969618E-13</v>
      </c>
      <c r="GV173" s="18">
        <f>GU173*VLOOKUP('Données projet'!$B$18,Paramètres!$A$1:$I$89,3,0)*VLOOKUP('Données projet'!$B$18,Paramètres!$A$1:$I$89,5,0)</f>
        <v>3.2810021366458383E-13</v>
      </c>
      <c r="GW173" s="14">
        <f t="shared" si="188"/>
        <v>4.2923528923937213E-12</v>
      </c>
      <c r="GX173" s="22">
        <f t="shared" si="189"/>
        <v>8.0472891597182151E-12</v>
      </c>
      <c r="GY173" s="62">
        <f t="shared" si="137"/>
        <v>293.33333333334139</v>
      </c>
      <c r="GZ173" s="62">
        <f ca="1">AVERAGE(OFFSET($GY$3,0,0,'Données projet'!$E$18+1,1))-AVERAGE(OFFSET($H$3,0,0,'Données projet'!$E$18+1,1))</f>
        <v>441.17479680509746</v>
      </c>
      <c r="HA173" s="62">
        <f t="shared" si="160"/>
        <v>198.56576128410069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-1.9065282685915009E-13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374.79806286316051</v>
      </c>
      <c r="T174" s="62">
        <f t="shared" si="142"/>
        <v>350.01856672839466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0.1479786800587278</v>
      </c>
      <c r="AB174" s="23">
        <f>EXP(-LN(2)/2)*AB173+(1-EXP(-LN(2)/2))/(LN(2)/2)*V174*Y174*VLOOKUP('Données projet'!$B$9,Paramètres!$A$1:$I$89,3,0)*0.475*44/12</f>
        <v>5.3799695740877399E-21</v>
      </c>
      <c r="AC174" s="24">
        <f t="shared" si="163"/>
        <v>0.1479786800587278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-2.8421709430404007E-13</v>
      </c>
      <c r="AJ174" s="14">
        <f>AI174*VLOOKUP('Données projet'!$B$10,Paramètres!$A$1:$I$89,3,0)*VLOOKUP('Données projet'!$B$10,Paramètres!$A$1:$I$89,5,0)</f>
        <v>-2.4829205358400943E-13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401.89597032936751</v>
      </c>
      <c r="AO174" s="62">
        <f t="shared" si="144"/>
        <v>417.85733543972361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-5.1159076974727213E-13</v>
      </c>
      <c r="BE174" s="14">
        <f>BD174*VLOOKUP('Données projet'!$B$11,Paramètres!$A$1:$I$89,3,0)*VLOOKUP('Données projet'!$B$11,Paramètres!$A$1:$I$89,5,0)</f>
        <v>-4.6288732846733184E-13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430.40491895612814</v>
      </c>
      <c r="BJ174" s="62">
        <f t="shared" si="146"/>
        <v>231.36959598460686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-1.0818439477588981E-13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367.11183928586667</v>
      </c>
      <c r="CE174" s="62">
        <f t="shared" si="148"/>
        <v>281.52963027844595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-3.4106051316484809E-13</v>
      </c>
      <c r="CU174" s="18">
        <f>CT174*VLOOKUP('Données projet'!$B$13,Paramètres!$A$1:$I$89,3,0)*VLOOKUP('Données projet'!$B$13,Paramètres!$A$1:$I$89,5,0)</f>
        <v>-2.0395418687257919E-13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308.47522272937135</v>
      </c>
      <c r="CZ174" s="62">
        <f t="shared" si="150"/>
        <v>302.54354650449721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7.7009317775559957E-2</v>
      </c>
      <c r="DH174" s="23">
        <f>EXP(-LN(2)/2)*DH173+(1-EXP(-LN(2)/2))/(LN(2)/2)*DB174*DE174*VLOOKUP('Données projet'!$B$13,Paramètres!$A$1:$I$89,3,0)*0.475*44/12</f>
        <v>1.0345909867395538E-20</v>
      </c>
      <c r="DI174" s="24">
        <f t="shared" si="175"/>
        <v>7.7009317775559957E-2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-5.6843418860808015E-14</v>
      </c>
      <c r="DP174" s="18">
        <f>DO174*VLOOKUP('Données projet'!$B$14,Paramètres!$A$1:$I$89,3,0)*VLOOKUP('Données projet'!$B$14,Paramètres!$A$1:$I$89,5,0)</f>
        <v>-4.5224624045658861E-14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370.58277541710277</v>
      </c>
      <c r="DU174" s="62">
        <f t="shared" si="152"/>
        <v>404.61777090709171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240.22884864766218</v>
      </c>
      <c r="EP174" s="62">
        <f t="shared" si="154"/>
        <v>343.23776884143166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0.20646059515267134</v>
      </c>
      <c r="EX174" s="23">
        <f>EXP(-LN(2)/2)*EX173+(1-EXP(-LN(2)/2))/(LN(2)/2)*ER174*EU174*VLOOKUP('Données projet'!$B$15,Paramètres!$A$1:$I$89,3,0)*0.475*44/12</f>
        <v>9.8938272558305319E-21</v>
      </c>
      <c r="EY174" s="24">
        <f t="shared" si="181"/>
        <v>0.20646059515267134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-1.1368683772161603E-13</v>
      </c>
      <c r="FF174" s="18">
        <f>FE174*VLOOKUP('Données projet'!$B$16,Paramètres!$A$1:$I$89,3,0)*VLOOKUP('Données projet'!$B$16,Paramètres!$A$1:$I$89,5,0)</f>
        <v>-5.3205440053716299E-14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399.92909819003523</v>
      </c>
      <c r="FK174" s="62">
        <f t="shared" si="156"/>
        <v>163.7053537268381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-5.6843418860808015E-14</v>
      </c>
      <c r="GA174" s="18">
        <f>FZ174*VLOOKUP('Données projet'!$B$17,Paramètres!$A$1:$I$89,3,0)*VLOOKUP('Données projet'!$B$17,Paramètres!$A$1:$I$89,5,0)</f>
        <v>-4.1677594708744434E-14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344.4426665022238</v>
      </c>
      <c r="GF174" s="62">
        <f t="shared" si="158"/>
        <v>376.41441893222185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6.8212102632969618E-13</v>
      </c>
      <c r="GV174" s="18">
        <f>GU174*VLOOKUP('Données projet'!$B$18,Paramètres!$A$1:$I$89,3,0)*VLOOKUP('Données projet'!$B$18,Paramètres!$A$1:$I$89,5,0)</f>
        <v>3.2810021366458383E-13</v>
      </c>
      <c r="GW174" s="14">
        <f t="shared" si="188"/>
        <v>4.2923528923937213E-12</v>
      </c>
      <c r="GX174" s="22">
        <f t="shared" si="189"/>
        <v>8.0472891597182151E-12</v>
      </c>
      <c r="GY174" s="62">
        <f t="shared" si="137"/>
        <v>293.33333333334139</v>
      </c>
      <c r="GZ174" s="62">
        <f ca="1">AVERAGE(OFFSET($GY$3,0,0,'Données projet'!$E$18+1,1))-AVERAGE(OFFSET($H$3,0,0,'Données projet'!$E$18+1,1))</f>
        <v>441.17479680509746</v>
      </c>
      <c r="HA174" s="62">
        <f t="shared" si="160"/>
        <v>198.56576128410069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-1.9065282685915009E-13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374.79806286316051</v>
      </c>
      <c r="T175" s="62">
        <f t="shared" si="142"/>
        <v>350.01856672839466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0.14393219527066131</v>
      </c>
      <c r="AB175" s="23">
        <f>EXP(-LN(2)/2)*AB174+(1-EXP(-LN(2)/2))/(LN(2)/2)*V175*Y175*VLOOKUP('Données projet'!$B$9,Paramètres!$A$1:$I$89,3,0)*0.475*44/12</f>
        <v>3.8042129684147428E-21</v>
      </c>
      <c r="AC175" s="24">
        <f t="shared" si="163"/>
        <v>0.14393219527066131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-2.8421709430404007E-13</v>
      </c>
      <c r="AJ175" s="14">
        <f>AI175*VLOOKUP('Données projet'!$B$10,Paramètres!$A$1:$I$89,3,0)*VLOOKUP('Données projet'!$B$10,Paramètres!$A$1:$I$89,5,0)</f>
        <v>-2.4829205358400943E-13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401.89597032936751</v>
      </c>
      <c r="AO175" s="62">
        <f t="shared" si="144"/>
        <v>417.85733543972361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-5.1159076974727213E-13</v>
      </c>
      <c r="BE175" s="14">
        <f>BD175*VLOOKUP('Données projet'!$B$11,Paramètres!$A$1:$I$89,3,0)*VLOOKUP('Données projet'!$B$11,Paramètres!$A$1:$I$89,5,0)</f>
        <v>-4.6288732846733184E-13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430.40491895612814</v>
      </c>
      <c r="BJ175" s="62">
        <f t="shared" si="146"/>
        <v>231.36959598460686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-1.0818439477588981E-13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367.11183928586667</v>
      </c>
      <c r="CE175" s="62">
        <f t="shared" si="148"/>
        <v>281.52963027844595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-3.4106051316484809E-13</v>
      </c>
      <c r="CU175" s="18">
        <f>CT175*VLOOKUP('Données projet'!$B$13,Paramètres!$A$1:$I$89,3,0)*VLOOKUP('Données projet'!$B$13,Paramètres!$A$1:$I$89,5,0)</f>
        <v>-2.0395418687257919E-13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308.47522272937135</v>
      </c>
      <c r="CZ175" s="62">
        <f t="shared" si="150"/>
        <v>302.54354650449721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7.4903493931243251E-2</v>
      </c>
      <c r="DH175" s="23">
        <f>EXP(-LN(2)/2)*DH174+(1-EXP(-LN(2)/2))/(LN(2)/2)*DB175*DE175*VLOOKUP('Données projet'!$B$13,Paramètres!$A$1:$I$89,3,0)*0.475*44/12</f>
        <v>7.3156630247801996E-21</v>
      </c>
      <c r="DI175" s="24">
        <f t="shared" si="175"/>
        <v>7.4903493931243251E-2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-5.6843418860808015E-14</v>
      </c>
      <c r="DP175" s="18">
        <f>DO175*VLOOKUP('Données projet'!$B$14,Paramètres!$A$1:$I$89,3,0)*VLOOKUP('Données projet'!$B$14,Paramètres!$A$1:$I$89,5,0)</f>
        <v>-4.5224624045658861E-14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370.58277541710277</v>
      </c>
      <c r="DU175" s="62">
        <f t="shared" si="152"/>
        <v>404.61777090709171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240.22884864766218</v>
      </c>
      <c r="EP175" s="62">
        <f t="shared" si="154"/>
        <v>343.23776884143166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0.20081491932093071</v>
      </c>
      <c r="EX175" s="23">
        <f>EXP(-LN(2)/2)*EX174+(1-EXP(-LN(2)/2))/(LN(2)/2)*ER175*EU175*VLOOKUP('Données projet'!$B$15,Paramètres!$A$1:$I$89,3,0)*0.475*44/12</f>
        <v>6.9959923444860598E-21</v>
      </c>
      <c r="EY175" s="24">
        <f t="shared" si="181"/>
        <v>0.20081491932093071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-1.1368683772161603E-13</v>
      </c>
      <c r="FF175" s="18">
        <f>FE175*VLOOKUP('Données projet'!$B$16,Paramètres!$A$1:$I$89,3,0)*VLOOKUP('Données projet'!$B$16,Paramètres!$A$1:$I$89,5,0)</f>
        <v>-5.3205440053716299E-14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399.92909819003523</v>
      </c>
      <c r="FK175" s="62">
        <f t="shared" si="156"/>
        <v>163.7053537268381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-5.6843418860808015E-14</v>
      </c>
      <c r="GA175" s="18">
        <f>FZ175*VLOOKUP('Données projet'!$B$17,Paramètres!$A$1:$I$89,3,0)*VLOOKUP('Données projet'!$B$17,Paramètres!$A$1:$I$89,5,0)</f>
        <v>-4.1677594708744434E-14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344.4426665022238</v>
      </c>
      <c r="GF175" s="62">
        <f t="shared" si="158"/>
        <v>376.41441893222185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6.8212102632969618E-13</v>
      </c>
      <c r="GV175" s="18">
        <f>GU175*VLOOKUP('Données projet'!$B$18,Paramètres!$A$1:$I$89,3,0)*VLOOKUP('Données projet'!$B$18,Paramètres!$A$1:$I$89,5,0)</f>
        <v>3.2810021366458383E-13</v>
      </c>
      <c r="GW175" s="14">
        <f t="shared" si="188"/>
        <v>4.2923528923937213E-12</v>
      </c>
      <c r="GX175" s="22">
        <f t="shared" si="189"/>
        <v>8.0472891597182151E-12</v>
      </c>
      <c r="GY175" s="62">
        <f t="shared" si="137"/>
        <v>293.33333333334139</v>
      </c>
      <c r="GZ175" s="62">
        <f ca="1">AVERAGE(OFFSET($GY$3,0,0,'Données projet'!$E$18+1,1))-AVERAGE(OFFSET($H$3,0,0,'Données projet'!$E$18+1,1))</f>
        <v>441.17479680509746</v>
      </c>
      <c r="HA175" s="62">
        <f t="shared" si="160"/>
        <v>198.56576128410069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-1.9065282685915009E-13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374.79806286316051</v>
      </c>
      <c r="T176" s="62">
        <f t="shared" si="142"/>
        <v>350.01856672839466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0.13999636182191988</v>
      </c>
      <c r="AB176" s="23">
        <f>EXP(-LN(2)/2)*AB175+(1-EXP(-LN(2)/2))/(LN(2)/2)*V176*Y176*VLOOKUP('Données projet'!$B$9,Paramètres!$A$1:$I$89,3,0)*0.475*44/12</f>
        <v>2.68998478704387E-21</v>
      </c>
      <c r="AC176" s="24">
        <f t="shared" si="163"/>
        <v>0.13999636182191988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-2.8421709430404007E-13</v>
      </c>
      <c r="AJ176" s="14">
        <f>AI176*VLOOKUP('Données projet'!$B$10,Paramètres!$A$1:$I$89,3,0)*VLOOKUP('Données projet'!$B$10,Paramètres!$A$1:$I$89,5,0)</f>
        <v>-2.4829205358400943E-13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401.89597032936751</v>
      </c>
      <c r="AO176" s="62">
        <f t="shared" si="144"/>
        <v>417.85733543972361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-5.1159076974727213E-13</v>
      </c>
      <c r="BE176" s="14">
        <f>BD176*VLOOKUP('Données projet'!$B$11,Paramètres!$A$1:$I$89,3,0)*VLOOKUP('Données projet'!$B$11,Paramètres!$A$1:$I$89,5,0)</f>
        <v>-4.6288732846733184E-13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430.40491895612814</v>
      </c>
      <c r="BJ176" s="62">
        <f t="shared" si="146"/>
        <v>231.36959598460686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-1.0818439477588981E-13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367.11183928586667</v>
      </c>
      <c r="CE176" s="62">
        <f t="shared" si="148"/>
        <v>281.52963027844595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-3.4106051316484809E-13</v>
      </c>
      <c r="CU176" s="18">
        <f>CT176*VLOOKUP('Données projet'!$B$13,Paramètres!$A$1:$I$89,3,0)*VLOOKUP('Données projet'!$B$13,Paramètres!$A$1:$I$89,5,0)</f>
        <v>-2.0395418687257919E-13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308.47522272937135</v>
      </c>
      <c r="CZ176" s="62">
        <f t="shared" si="150"/>
        <v>302.54354650449721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7.2855253950689855E-2</v>
      </c>
      <c r="DH176" s="23">
        <f>EXP(-LN(2)/2)*DH175+(1-EXP(-LN(2)/2))/(LN(2)/2)*DB176*DE176*VLOOKUP('Données projet'!$B$13,Paramètres!$A$1:$I$89,3,0)*0.475*44/12</f>
        <v>5.1729549336977691E-21</v>
      </c>
      <c r="DI176" s="24">
        <f t="shared" si="175"/>
        <v>7.2855253950689855E-2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-5.6843418860808015E-14</v>
      </c>
      <c r="DP176" s="18">
        <f>DO176*VLOOKUP('Données projet'!$B$14,Paramètres!$A$1:$I$89,3,0)*VLOOKUP('Données projet'!$B$14,Paramètres!$A$1:$I$89,5,0)</f>
        <v>-4.5224624045658861E-14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370.58277541710277</v>
      </c>
      <c r="DU176" s="62">
        <f t="shared" si="152"/>
        <v>404.61777090709171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240.22884864766218</v>
      </c>
      <c r="EP176" s="62">
        <f t="shared" si="154"/>
        <v>343.23776884143166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0.19532362479170221</v>
      </c>
      <c r="EX176" s="23">
        <f>EXP(-LN(2)/2)*EX175+(1-EXP(-LN(2)/2))/(LN(2)/2)*ER176*EU176*VLOOKUP('Données projet'!$B$15,Paramètres!$A$1:$I$89,3,0)*0.475*44/12</f>
        <v>4.9469136279152659E-21</v>
      </c>
      <c r="EY176" s="24">
        <f t="shared" si="181"/>
        <v>0.19532362479170221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-1.1368683772161603E-13</v>
      </c>
      <c r="FF176" s="18">
        <f>FE176*VLOOKUP('Données projet'!$B$16,Paramètres!$A$1:$I$89,3,0)*VLOOKUP('Données projet'!$B$16,Paramètres!$A$1:$I$89,5,0)</f>
        <v>-5.3205440053716299E-14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399.92909819003523</v>
      </c>
      <c r="FK176" s="62">
        <f t="shared" si="156"/>
        <v>163.7053537268381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-5.6843418860808015E-14</v>
      </c>
      <c r="GA176" s="18">
        <f>FZ176*VLOOKUP('Données projet'!$B$17,Paramètres!$A$1:$I$89,3,0)*VLOOKUP('Données projet'!$B$17,Paramètres!$A$1:$I$89,5,0)</f>
        <v>-4.1677594708744434E-14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344.4426665022238</v>
      </c>
      <c r="GF176" s="62">
        <f t="shared" si="158"/>
        <v>376.41441893222185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6.8212102632969618E-13</v>
      </c>
      <c r="GV176" s="18">
        <f>GU176*VLOOKUP('Données projet'!$B$18,Paramètres!$A$1:$I$89,3,0)*VLOOKUP('Données projet'!$B$18,Paramètres!$A$1:$I$89,5,0)</f>
        <v>3.2810021366458383E-13</v>
      </c>
      <c r="GW176" s="14">
        <f t="shared" si="188"/>
        <v>4.2923528923937213E-12</v>
      </c>
      <c r="GX176" s="22">
        <f t="shared" si="189"/>
        <v>8.0472891597182151E-12</v>
      </c>
      <c r="GY176" s="62">
        <f t="shared" si="137"/>
        <v>293.33333333334139</v>
      </c>
      <c r="GZ176" s="62">
        <f ca="1">AVERAGE(OFFSET($GY$3,0,0,'Données projet'!$E$18+1,1))-AVERAGE(OFFSET($H$3,0,0,'Données projet'!$E$18+1,1))</f>
        <v>441.17479680509746</v>
      </c>
      <c r="HA176" s="62">
        <f t="shared" si="160"/>
        <v>198.56576128410069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-1.9065282685915009E-13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374.79806286316051</v>
      </c>
      <c r="T177" s="62">
        <f t="shared" si="142"/>
        <v>350.01856672839466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0.13616815394581078</v>
      </c>
      <c r="AB177" s="23">
        <f>EXP(-LN(2)/2)*AB176+(1-EXP(-LN(2)/2))/(LN(2)/2)*V177*Y177*VLOOKUP('Données projet'!$B$9,Paramètres!$A$1:$I$89,3,0)*0.475*44/12</f>
        <v>1.9021064842073714E-21</v>
      </c>
      <c r="AC177" s="24">
        <f t="shared" si="163"/>
        <v>0.13616815394581078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-2.8421709430404007E-13</v>
      </c>
      <c r="AJ177" s="14">
        <f>AI177*VLOOKUP('Données projet'!$B$10,Paramètres!$A$1:$I$89,3,0)*VLOOKUP('Données projet'!$B$10,Paramètres!$A$1:$I$89,5,0)</f>
        <v>-2.4829205358400943E-13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401.89597032936751</v>
      </c>
      <c r="AO177" s="62">
        <f t="shared" si="144"/>
        <v>417.85733543972361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-5.1159076974727213E-13</v>
      </c>
      <c r="BE177" s="14">
        <f>BD177*VLOOKUP('Données projet'!$B$11,Paramètres!$A$1:$I$89,3,0)*VLOOKUP('Données projet'!$B$11,Paramètres!$A$1:$I$89,5,0)</f>
        <v>-4.6288732846733184E-13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430.40491895612814</v>
      </c>
      <c r="BJ177" s="62">
        <f t="shared" si="146"/>
        <v>231.36959598460686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-1.0818439477588981E-13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367.11183928586667</v>
      </c>
      <c r="CE177" s="62">
        <f t="shared" si="148"/>
        <v>281.52963027844595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-3.4106051316484809E-13</v>
      </c>
      <c r="CU177" s="18">
        <f>CT177*VLOOKUP('Données projet'!$B$13,Paramètres!$A$1:$I$89,3,0)*VLOOKUP('Données projet'!$B$13,Paramètres!$A$1:$I$89,5,0)</f>
        <v>-2.0395418687257919E-13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308.47522272937135</v>
      </c>
      <c r="CZ177" s="62">
        <f t="shared" si="150"/>
        <v>302.54354650449721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7.0863023200116948E-2</v>
      </c>
      <c r="DH177" s="23">
        <f>EXP(-LN(2)/2)*DH176+(1-EXP(-LN(2)/2))/(LN(2)/2)*DB177*DE177*VLOOKUP('Données projet'!$B$13,Paramètres!$A$1:$I$89,3,0)*0.475*44/12</f>
        <v>3.6578315123900998E-21</v>
      </c>
      <c r="DI177" s="24">
        <f t="shared" si="175"/>
        <v>7.0863023200116948E-2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-5.6843418860808015E-14</v>
      </c>
      <c r="DP177" s="18">
        <f>DO177*VLOOKUP('Données projet'!$B$14,Paramètres!$A$1:$I$89,3,0)*VLOOKUP('Données projet'!$B$14,Paramètres!$A$1:$I$89,5,0)</f>
        <v>-4.5224624045658861E-14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370.58277541710277</v>
      </c>
      <c r="DU177" s="62">
        <f t="shared" si="152"/>
        <v>404.61777090709171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240.22884864766218</v>
      </c>
      <c r="EP177" s="62">
        <f t="shared" si="154"/>
        <v>343.23776884143166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0.18998249000015011</v>
      </c>
      <c r="EX177" s="23">
        <f>EXP(-LN(2)/2)*EX176+(1-EXP(-LN(2)/2))/(LN(2)/2)*ER177*EU177*VLOOKUP('Données projet'!$B$15,Paramètres!$A$1:$I$89,3,0)*0.475*44/12</f>
        <v>3.4979961722430299E-21</v>
      </c>
      <c r="EY177" s="24">
        <f t="shared" si="181"/>
        <v>0.18998249000015011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-1.1368683772161603E-13</v>
      </c>
      <c r="FF177" s="18">
        <f>FE177*VLOOKUP('Données projet'!$B$16,Paramètres!$A$1:$I$89,3,0)*VLOOKUP('Données projet'!$B$16,Paramètres!$A$1:$I$89,5,0)</f>
        <v>-5.3205440053716299E-14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399.92909819003523</v>
      </c>
      <c r="FK177" s="62">
        <f t="shared" si="156"/>
        <v>163.7053537268381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-5.6843418860808015E-14</v>
      </c>
      <c r="GA177" s="18">
        <f>FZ177*VLOOKUP('Données projet'!$B$17,Paramètres!$A$1:$I$89,3,0)*VLOOKUP('Données projet'!$B$17,Paramètres!$A$1:$I$89,5,0)</f>
        <v>-4.1677594708744434E-14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344.4426665022238</v>
      </c>
      <c r="GF177" s="62">
        <f t="shared" si="158"/>
        <v>376.41441893222185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6.8212102632969618E-13</v>
      </c>
      <c r="GV177" s="18">
        <f>GU177*VLOOKUP('Données projet'!$B$18,Paramètres!$A$1:$I$89,3,0)*VLOOKUP('Données projet'!$B$18,Paramètres!$A$1:$I$89,5,0)</f>
        <v>3.2810021366458383E-13</v>
      </c>
      <c r="GW177" s="14">
        <f t="shared" si="188"/>
        <v>4.2923528923937213E-12</v>
      </c>
      <c r="GX177" s="22">
        <f t="shared" si="189"/>
        <v>8.0472891597182151E-12</v>
      </c>
      <c r="GY177" s="62">
        <f t="shared" si="137"/>
        <v>293.33333333334139</v>
      </c>
      <c r="GZ177" s="62">
        <f ca="1">AVERAGE(OFFSET($GY$3,0,0,'Données projet'!$E$18+1,1))-AVERAGE(OFFSET($H$3,0,0,'Données projet'!$E$18+1,1))</f>
        <v>441.17479680509746</v>
      </c>
      <c r="HA177" s="62">
        <f t="shared" si="160"/>
        <v>198.56576128410069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-1.9065282685915009E-13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374.79806286316051</v>
      </c>
      <c r="T178" s="62">
        <f t="shared" si="142"/>
        <v>350.01856672839466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0.13244462861539058</v>
      </c>
      <c r="AB178" s="23">
        <f>EXP(-LN(2)/2)*AB177+(1-EXP(-LN(2)/2))/(LN(2)/2)*V178*Y178*VLOOKUP('Données projet'!$B$9,Paramètres!$A$1:$I$89,3,0)*0.475*44/12</f>
        <v>1.344992393521935E-21</v>
      </c>
      <c r="AC178" s="24">
        <f t="shared" si="163"/>
        <v>0.13244462861539058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-2.8421709430404007E-13</v>
      </c>
      <c r="AJ178" s="14">
        <f>AI178*VLOOKUP('Données projet'!$B$10,Paramètres!$A$1:$I$89,3,0)*VLOOKUP('Données projet'!$B$10,Paramètres!$A$1:$I$89,5,0)</f>
        <v>-2.4829205358400943E-13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401.89597032936751</v>
      </c>
      <c r="AO178" s="62">
        <f t="shared" si="144"/>
        <v>417.85733543972361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-5.1159076974727213E-13</v>
      </c>
      <c r="BE178" s="14">
        <f>BD178*VLOOKUP('Données projet'!$B$11,Paramètres!$A$1:$I$89,3,0)*VLOOKUP('Données projet'!$B$11,Paramètres!$A$1:$I$89,5,0)</f>
        <v>-4.6288732846733184E-13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430.40491895612814</v>
      </c>
      <c r="BJ178" s="62">
        <f t="shared" si="146"/>
        <v>231.36959598460686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-1.0818439477588981E-13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367.11183928586667</v>
      </c>
      <c r="CE178" s="62">
        <f t="shared" si="148"/>
        <v>281.52963027844595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-3.4106051316484809E-13</v>
      </c>
      <c r="CU178" s="18">
        <f>CT178*VLOOKUP('Données projet'!$B$13,Paramètres!$A$1:$I$89,3,0)*VLOOKUP('Données projet'!$B$13,Paramètres!$A$1:$I$89,5,0)</f>
        <v>-2.0395418687257919E-13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308.47522272937135</v>
      </c>
      <c r="CZ178" s="62">
        <f t="shared" si="150"/>
        <v>302.54354650449721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6.8925270104185324E-2</v>
      </c>
      <c r="DH178" s="23">
        <f>EXP(-LN(2)/2)*DH177+(1-EXP(-LN(2)/2))/(LN(2)/2)*DB178*DE178*VLOOKUP('Données projet'!$B$13,Paramètres!$A$1:$I$89,3,0)*0.475*44/12</f>
        <v>2.5864774668488846E-21</v>
      </c>
      <c r="DI178" s="24">
        <f t="shared" si="175"/>
        <v>6.8925270104185324E-2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-5.6843418860808015E-14</v>
      </c>
      <c r="DP178" s="18">
        <f>DO178*VLOOKUP('Données projet'!$B$14,Paramètres!$A$1:$I$89,3,0)*VLOOKUP('Données projet'!$B$14,Paramètres!$A$1:$I$89,5,0)</f>
        <v>-4.5224624045658861E-14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370.58277541710277</v>
      </c>
      <c r="DU178" s="62">
        <f t="shared" si="152"/>
        <v>404.61777090709171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240.22884864766218</v>
      </c>
      <c r="EP178" s="62">
        <f t="shared" si="154"/>
        <v>343.23776884143166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0.18478740882035105</v>
      </c>
      <c r="EX178" s="23">
        <f>EXP(-LN(2)/2)*EX177+(1-EXP(-LN(2)/2))/(LN(2)/2)*ER178*EU178*VLOOKUP('Données projet'!$B$15,Paramètres!$A$1:$I$89,3,0)*0.475*44/12</f>
        <v>2.473456813957633E-21</v>
      </c>
      <c r="EY178" s="24">
        <f t="shared" si="181"/>
        <v>0.18478740882035105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-1.1368683772161603E-13</v>
      </c>
      <c r="FF178" s="18">
        <f>FE178*VLOOKUP('Données projet'!$B$16,Paramètres!$A$1:$I$89,3,0)*VLOOKUP('Données projet'!$B$16,Paramètres!$A$1:$I$89,5,0)</f>
        <v>-5.3205440053716299E-14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399.92909819003523</v>
      </c>
      <c r="FK178" s="62">
        <f t="shared" si="156"/>
        <v>163.7053537268381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-5.6843418860808015E-14</v>
      </c>
      <c r="GA178" s="18">
        <f>FZ178*VLOOKUP('Données projet'!$B$17,Paramètres!$A$1:$I$89,3,0)*VLOOKUP('Données projet'!$B$17,Paramètres!$A$1:$I$89,5,0)</f>
        <v>-4.1677594708744434E-14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344.4426665022238</v>
      </c>
      <c r="GF178" s="62">
        <f t="shared" si="158"/>
        <v>376.41441893222185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6.8212102632969618E-13</v>
      </c>
      <c r="GV178" s="18">
        <f>GU178*VLOOKUP('Données projet'!$B$18,Paramètres!$A$1:$I$89,3,0)*VLOOKUP('Données projet'!$B$18,Paramètres!$A$1:$I$89,5,0)</f>
        <v>3.2810021366458383E-13</v>
      </c>
      <c r="GW178" s="14">
        <f t="shared" si="188"/>
        <v>4.2923528923937213E-12</v>
      </c>
      <c r="GX178" s="22">
        <f t="shared" si="189"/>
        <v>8.0472891597182151E-12</v>
      </c>
      <c r="GY178" s="62">
        <f t="shared" si="137"/>
        <v>293.33333333334139</v>
      </c>
      <c r="GZ178" s="62">
        <f ca="1">AVERAGE(OFFSET($GY$3,0,0,'Données projet'!$E$18+1,1))-AVERAGE(OFFSET($H$3,0,0,'Données projet'!$E$18+1,1))</f>
        <v>441.17479680509746</v>
      </c>
      <c r="HA178" s="62">
        <f t="shared" si="160"/>
        <v>198.56576128410069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-1.9065282685915009E-13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374.79806286316051</v>
      </c>
      <c r="T179" s="62">
        <f t="shared" si="142"/>
        <v>350.01856672839466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0.12882292328094241</v>
      </c>
      <c r="AB179" s="23">
        <f>EXP(-LN(2)/2)*AB178+(1-EXP(-LN(2)/2))/(LN(2)/2)*V179*Y179*VLOOKUP('Données projet'!$B$9,Paramètres!$A$1:$I$89,3,0)*0.475*44/12</f>
        <v>9.5105324210368569E-22</v>
      </c>
      <c r="AC179" s="24">
        <f t="shared" si="163"/>
        <v>0.12882292328094241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-2.8421709430404007E-13</v>
      </c>
      <c r="AJ179" s="14">
        <f>AI179*VLOOKUP('Données projet'!$B$10,Paramètres!$A$1:$I$89,3,0)*VLOOKUP('Données projet'!$B$10,Paramètres!$A$1:$I$89,5,0)</f>
        <v>-2.4829205358400943E-13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401.89597032936751</v>
      </c>
      <c r="AO179" s="62">
        <f t="shared" si="144"/>
        <v>417.85733543972361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-5.1159076974727213E-13</v>
      </c>
      <c r="BE179" s="14">
        <f>BD179*VLOOKUP('Données projet'!$B$11,Paramètres!$A$1:$I$89,3,0)*VLOOKUP('Données projet'!$B$11,Paramètres!$A$1:$I$89,5,0)</f>
        <v>-4.6288732846733184E-13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430.40491895612814</v>
      </c>
      <c r="BJ179" s="62">
        <f t="shared" si="146"/>
        <v>231.36959598460686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-1.0818439477588981E-13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367.11183928586667</v>
      </c>
      <c r="CE179" s="62">
        <f t="shared" si="148"/>
        <v>281.52963027844595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-3.4106051316484809E-13</v>
      </c>
      <c r="CU179" s="18">
        <f>CT179*VLOOKUP('Données projet'!$B$13,Paramètres!$A$1:$I$89,3,0)*VLOOKUP('Données projet'!$B$13,Paramètres!$A$1:$I$89,5,0)</f>
        <v>-2.0395418687257919E-13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308.47522272937135</v>
      </c>
      <c r="CZ179" s="62">
        <f t="shared" si="150"/>
        <v>302.54354650449721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6.7040504968563952E-2</v>
      </c>
      <c r="DH179" s="23">
        <f>EXP(-LN(2)/2)*DH178+(1-EXP(-LN(2)/2))/(LN(2)/2)*DB179*DE179*VLOOKUP('Données projet'!$B$13,Paramètres!$A$1:$I$89,3,0)*0.475*44/12</f>
        <v>1.8289157561950499E-21</v>
      </c>
      <c r="DI179" s="24">
        <f t="shared" si="175"/>
        <v>6.7040504968563952E-2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-5.6843418860808015E-14</v>
      </c>
      <c r="DP179" s="18">
        <f>DO179*VLOOKUP('Données projet'!$B$14,Paramètres!$A$1:$I$89,3,0)*VLOOKUP('Données projet'!$B$14,Paramètres!$A$1:$I$89,5,0)</f>
        <v>-4.5224624045658861E-14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370.58277541710277</v>
      </c>
      <c r="DU179" s="62">
        <f t="shared" si="152"/>
        <v>404.61777090709171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240.22884864766218</v>
      </c>
      <c r="EP179" s="62">
        <f t="shared" si="154"/>
        <v>343.23776884143166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0.17973438740861106</v>
      </c>
      <c r="EX179" s="23">
        <f>EXP(-LN(2)/2)*EX178+(1-EXP(-LN(2)/2))/(LN(2)/2)*ER179*EU179*VLOOKUP('Données projet'!$B$15,Paramètres!$A$1:$I$89,3,0)*0.475*44/12</f>
        <v>1.7489980861215149E-21</v>
      </c>
      <c r="EY179" s="24">
        <f t="shared" si="181"/>
        <v>0.17973438740861106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-1.1368683772161603E-13</v>
      </c>
      <c r="FF179" s="18">
        <f>FE179*VLOOKUP('Données projet'!$B$16,Paramètres!$A$1:$I$89,3,0)*VLOOKUP('Données projet'!$B$16,Paramètres!$A$1:$I$89,5,0)</f>
        <v>-5.3205440053716299E-14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399.92909819003523</v>
      </c>
      <c r="FK179" s="62">
        <f t="shared" si="156"/>
        <v>163.7053537268381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-5.6843418860808015E-14</v>
      </c>
      <c r="GA179" s="18">
        <f>FZ179*VLOOKUP('Données projet'!$B$17,Paramètres!$A$1:$I$89,3,0)*VLOOKUP('Données projet'!$B$17,Paramètres!$A$1:$I$89,5,0)</f>
        <v>-4.1677594708744434E-14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344.4426665022238</v>
      </c>
      <c r="GF179" s="62">
        <f t="shared" si="158"/>
        <v>376.41441893222185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6.8212102632969618E-13</v>
      </c>
      <c r="GV179" s="18">
        <f>GU179*VLOOKUP('Données projet'!$B$18,Paramètres!$A$1:$I$89,3,0)*VLOOKUP('Données projet'!$B$18,Paramètres!$A$1:$I$89,5,0)</f>
        <v>3.2810021366458383E-13</v>
      </c>
      <c r="GW179" s="14">
        <f t="shared" si="188"/>
        <v>4.2923528923937213E-12</v>
      </c>
      <c r="GX179" s="22">
        <f t="shared" si="189"/>
        <v>8.0472891597182151E-12</v>
      </c>
      <c r="GY179" s="62">
        <f t="shared" si="137"/>
        <v>293.33333333334139</v>
      </c>
      <c r="GZ179" s="62">
        <f ca="1">AVERAGE(OFFSET($GY$3,0,0,'Données projet'!$E$18+1,1))-AVERAGE(OFFSET($H$3,0,0,'Données projet'!$E$18+1,1))</f>
        <v>441.17479680509746</v>
      </c>
      <c r="HA179" s="62">
        <f t="shared" si="160"/>
        <v>198.56576128410069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-1.9065282685915009E-13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374.79806286316051</v>
      </c>
      <c r="T180" s="62">
        <f t="shared" si="142"/>
        <v>350.01856672839466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0.12530025366932193</v>
      </c>
      <c r="AB180" s="23">
        <f>EXP(-LN(2)/2)*AB179+(1-EXP(-LN(2)/2))/(LN(2)/2)*V180*Y180*VLOOKUP('Données projet'!$B$9,Paramètres!$A$1:$I$89,3,0)*0.475*44/12</f>
        <v>6.7249619676096749E-22</v>
      </c>
      <c r="AC180" s="24">
        <f t="shared" si="163"/>
        <v>0.12530025366932193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-2.8421709430404007E-13</v>
      </c>
      <c r="AJ180" s="14">
        <f>AI180*VLOOKUP('Données projet'!$B$10,Paramètres!$A$1:$I$89,3,0)*VLOOKUP('Données projet'!$B$10,Paramètres!$A$1:$I$89,5,0)</f>
        <v>-2.4829205358400943E-13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401.89597032936751</v>
      </c>
      <c r="AO180" s="62">
        <f t="shared" si="144"/>
        <v>417.85733543972361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-5.1159076974727213E-13</v>
      </c>
      <c r="BE180" s="14">
        <f>BD180*VLOOKUP('Données projet'!$B$11,Paramètres!$A$1:$I$89,3,0)*VLOOKUP('Données projet'!$B$11,Paramètres!$A$1:$I$89,5,0)</f>
        <v>-4.6288732846733184E-13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430.40491895612814</v>
      </c>
      <c r="BJ180" s="62">
        <f t="shared" si="146"/>
        <v>231.36959598460686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-1.0818439477588981E-13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367.11183928586667</v>
      </c>
      <c r="CE180" s="62">
        <f t="shared" si="148"/>
        <v>281.52963027844595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-3.4106051316484809E-13</v>
      </c>
      <c r="CU180" s="18">
        <f>CT180*VLOOKUP('Données projet'!$B$13,Paramètres!$A$1:$I$89,3,0)*VLOOKUP('Données projet'!$B$13,Paramètres!$A$1:$I$89,5,0)</f>
        <v>-2.0395418687257919E-13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308.47522272937135</v>
      </c>
      <c r="CZ180" s="62">
        <f t="shared" si="150"/>
        <v>302.54354650449721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6.5207278834691643E-2</v>
      </c>
      <c r="DH180" s="23">
        <f>EXP(-LN(2)/2)*DH179+(1-EXP(-LN(2)/2))/(LN(2)/2)*DB180*DE180*VLOOKUP('Données projet'!$B$13,Paramètres!$A$1:$I$89,3,0)*0.475*44/12</f>
        <v>1.2932387334244423E-21</v>
      </c>
      <c r="DI180" s="24">
        <f t="shared" si="175"/>
        <v>6.5207278834691643E-2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-5.6843418860808015E-14</v>
      </c>
      <c r="DP180" s="18">
        <f>DO180*VLOOKUP('Données projet'!$B$14,Paramètres!$A$1:$I$89,3,0)*VLOOKUP('Données projet'!$B$14,Paramètres!$A$1:$I$89,5,0)</f>
        <v>-4.5224624045658861E-14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370.58277541710277</v>
      </c>
      <c r="DU180" s="62">
        <f t="shared" si="152"/>
        <v>404.61777090709171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240.22884864766218</v>
      </c>
      <c r="EP180" s="62">
        <f t="shared" si="154"/>
        <v>343.23776884143166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0.17481954113310194</v>
      </c>
      <c r="EX180" s="23">
        <f>EXP(-LN(2)/2)*EX179+(1-EXP(-LN(2)/2))/(LN(2)/2)*ER180*EU180*VLOOKUP('Données projet'!$B$15,Paramètres!$A$1:$I$89,3,0)*0.475*44/12</f>
        <v>1.2367284069788165E-21</v>
      </c>
      <c r="EY180" s="24">
        <f t="shared" si="181"/>
        <v>0.17481954113310194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-1.1368683772161603E-13</v>
      </c>
      <c r="FF180" s="18">
        <f>FE180*VLOOKUP('Données projet'!$B$16,Paramètres!$A$1:$I$89,3,0)*VLOOKUP('Données projet'!$B$16,Paramètres!$A$1:$I$89,5,0)</f>
        <v>-5.3205440053716299E-14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399.92909819003523</v>
      </c>
      <c r="FK180" s="62">
        <f t="shared" si="156"/>
        <v>163.7053537268381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-5.6843418860808015E-14</v>
      </c>
      <c r="GA180" s="18">
        <f>FZ180*VLOOKUP('Données projet'!$B$17,Paramètres!$A$1:$I$89,3,0)*VLOOKUP('Données projet'!$B$17,Paramètres!$A$1:$I$89,5,0)</f>
        <v>-4.1677594708744434E-14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344.4426665022238</v>
      </c>
      <c r="GF180" s="62">
        <f t="shared" si="158"/>
        <v>376.41441893222185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6.8212102632969618E-13</v>
      </c>
      <c r="GV180" s="18">
        <f>GU180*VLOOKUP('Données projet'!$B$18,Paramètres!$A$1:$I$89,3,0)*VLOOKUP('Données projet'!$B$18,Paramètres!$A$1:$I$89,5,0)</f>
        <v>3.2810021366458383E-13</v>
      </c>
      <c r="GW180" s="14">
        <f t="shared" si="188"/>
        <v>4.2923528923937213E-12</v>
      </c>
      <c r="GX180" s="22">
        <f t="shared" si="189"/>
        <v>8.0472891597182151E-12</v>
      </c>
      <c r="GY180" s="62">
        <f t="shared" si="137"/>
        <v>293.33333333334139</v>
      </c>
      <c r="GZ180" s="62">
        <f ca="1">AVERAGE(OFFSET($GY$3,0,0,'Données projet'!$E$18+1,1))-AVERAGE(OFFSET($H$3,0,0,'Données projet'!$E$18+1,1))</f>
        <v>441.17479680509746</v>
      </c>
      <c r="HA180" s="62">
        <f t="shared" si="160"/>
        <v>198.56576128410069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-1.9065282685915009E-13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374.79806286316051</v>
      </c>
      <c r="T181" s="62">
        <f t="shared" si="142"/>
        <v>350.01856672839466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0.12187391164348035</v>
      </c>
      <c r="AB181" s="23">
        <f>EXP(-LN(2)/2)*AB180+(1-EXP(-LN(2)/2))/(LN(2)/2)*V181*Y181*VLOOKUP('Données projet'!$B$9,Paramètres!$A$1:$I$89,3,0)*0.475*44/12</f>
        <v>4.7552662105184285E-22</v>
      </c>
      <c r="AC181" s="24">
        <f t="shared" si="163"/>
        <v>0.12187391164348035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-2.8421709430404007E-13</v>
      </c>
      <c r="AJ181" s="14">
        <f>AI181*VLOOKUP('Données projet'!$B$10,Paramètres!$A$1:$I$89,3,0)*VLOOKUP('Données projet'!$B$10,Paramètres!$A$1:$I$89,5,0)</f>
        <v>-2.4829205358400943E-13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401.89597032936751</v>
      </c>
      <c r="AO181" s="62">
        <f t="shared" si="144"/>
        <v>417.85733543972361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-5.1159076974727213E-13</v>
      </c>
      <c r="BE181" s="14">
        <f>BD181*VLOOKUP('Données projet'!$B$11,Paramètres!$A$1:$I$89,3,0)*VLOOKUP('Données projet'!$B$11,Paramètres!$A$1:$I$89,5,0)</f>
        <v>-4.6288732846733184E-13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430.40491895612814</v>
      </c>
      <c r="BJ181" s="62">
        <f t="shared" si="146"/>
        <v>231.36959598460686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-1.0818439477588981E-13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367.11183928586667</v>
      </c>
      <c r="CE181" s="62">
        <f t="shared" si="148"/>
        <v>281.52963027844595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-3.4106051316484809E-13</v>
      </c>
      <c r="CU181" s="18">
        <f>CT181*VLOOKUP('Données projet'!$B$13,Paramètres!$A$1:$I$89,3,0)*VLOOKUP('Données projet'!$B$13,Paramètres!$A$1:$I$89,5,0)</f>
        <v>-2.0395418687257919E-13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308.47522272937135</v>
      </c>
      <c r="CZ181" s="62">
        <f t="shared" si="150"/>
        <v>302.54354650449721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6.3424182365855244E-2</v>
      </c>
      <c r="DH181" s="23">
        <f>EXP(-LN(2)/2)*DH180+(1-EXP(-LN(2)/2))/(LN(2)/2)*DB181*DE181*VLOOKUP('Données projet'!$B$13,Paramètres!$A$1:$I$89,3,0)*0.475*44/12</f>
        <v>9.1445787809752494E-22</v>
      </c>
      <c r="DI181" s="24">
        <f t="shared" si="175"/>
        <v>6.3424182365855244E-2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-5.6843418860808015E-14</v>
      </c>
      <c r="DP181" s="18">
        <f>DO181*VLOOKUP('Données projet'!$B$14,Paramètres!$A$1:$I$89,3,0)*VLOOKUP('Données projet'!$B$14,Paramètres!$A$1:$I$89,5,0)</f>
        <v>-4.5224624045658861E-14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370.58277541710277</v>
      </c>
      <c r="DU181" s="62">
        <f t="shared" si="152"/>
        <v>404.61777090709171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240.22884864766218</v>
      </c>
      <c r="EP181" s="62">
        <f t="shared" si="154"/>
        <v>343.23776884143166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0.17003909158745717</v>
      </c>
      <c r="EX181" s="23">
        <f>EXP(-LN(2)/2)*EX180+(1-EXP(-LN(2)/2))/(LN(2)/2)*ER181*EU181*VLOOKUP('Données projet'!$B$15,Paramètres!$A$1:$I$89,3,0)*0.475*44/12</f>
        <v>8.7449904306075747E-22</v>
      </c>
      <c r="EY181" s="24">
        <f t="shared" si="181"/>
        <v>0.17003909158745717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-1.1368683772161603E-13</v>
      </c>
      <c r="FF181" s="18">
        <f>FE181*VLOOKUP('Données projet'!$B$16,Paramètres!$A$1:$I$89,3,0)*VLOOKUP('Données projet'!$B$16,Paramètres!$A$1:$I$89,5,0)</f>
        <v>-5.3205440053716299E-14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399.92909819003523</v>
      </c>
      <c r="FK181" s="62">
        <f t="shared" si="156"/>
        <v>163.7053537268381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-5.6843418860808015E-14</v>
      </c>
      <c r="GA181" s="18">
        <f>FZ181*VLOOKUP('Données projet'!$B$17,Paramètres!$A$1:$I$89,3,0)*VLOOKUP('Données projet'!$B$17,Paramètres!$A$1:$I$89,5,0)</f>
        <v>-4.1677594708744434E-14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344.4426665022238</v>
      </c>
      <c r="GF181" s="62">
        <f t="shared" si="158"/>
        <v>376.41441893222185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6.8212102632969618E-13</v>
      </c>
      <c r="GV181" s="18">
        <f>GU181*VLOOKUP('Données projet'!$B$18,Paramètres!$A$1:$I$89,3,0)*VLOOKUP('Données projet'!$B$18,Paramètres!$A$1:$I$89,5,0)</f>
        <v>3.2810021366458383E-13</v>
      </c>
      <c r="GW181" s="14">
        <f t="shared" si="188"/>
        <v>4.2923528923937213E-12</v>
      </c>
      <c r="GX181" s="22">
        <f t="shared" si="189"/>
        <v>8.0472891597182151E-12</v>
      </c>
      <c r="GY181" s="62">
        <f t="shared" si="137"/>
        <v>293.33333333334139</v>
      </c>
      <c r="GZ181" s="62">
        <f ca="1">AVERAGE(OFFSET($GY$3,0,0,'Données projet'!$E$18+1,1))-AVERAGE(OFFSET($H$3,0,0,'Données projet'!$E$18+1,1))</f>
        <v>441.17479680509746</v>
      </c>
      <c r="HA181" s="62">
        <f t="shared" si="160"/>
        <v>198.56576128410069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-1.9065282685915009E-13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374.79806286316051</v>
      </c>
      <c r="T182" s="62">
        <f t="shared" si="142"/>
        <v>350.01856672839466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0.11854126312051892</v>
      </c>
      <c r="AB182" s="23">
        <f>EXP(-LN(2)/2)*AB181+(1-EXP(-LN(2)/2))/(LN(2)/2)*V182*Y182*VLOOKUP('Données projet'!$B$9,Paramètres!$A$1:$I$89,3,0)*0.475*44/12</f>
        <v>3.3624809838048374E-22</v>
      </c>
      <c r="AC182" s="24">
        <f t="shared" si="163"/>
        <v>0.11854126312051892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-2.8421709430404007E-13</v>
      </c>
      <c r="AJ182" s="14">
        <f>AI182*VLOOKUP('Données projet'!$B$10,Paramètres!$A$1:$I$89,3,0)*VLOOKUP('Données projet'!$B$10,Paramètres!$A$1:$I$89,5,0)</f>
        <v>-2.4829205358400943E-13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401.89597032936751</v>
      </c>
      <c r="AO182" s="62">
        <f t="shared" si="144"/>
        <v>417.85733543972361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-5.1159076974727213E-13</v>
      </c>
      <c r="BE182" s="14">
        <f>BD182*VLOOKUP('Données projet'!$B$11,Paramètres!$A$1:$I$89,3,0)*VLOOKUP('Données projet'!$B$11,Paramètres!$A$1:$I$89,5,0)</f>
        <v>-4.6288732846733184E-13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430.40491895612814</v>
      </c>
      <c r="BJ182" s="62">
        <f t="shared" si="146"/>
        <v>231.36959598460686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-1.0818439477588981E-13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367.11183928586667</v>
      </c>
      <c r="CE182" s="62">
        <f t="shared" si="148"/>
        <v>281.52963027844595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-3.4106051316484809E-13</v>
      </c>
      <c r="CU182" s="18">
        <f>CT182*VLOOKUP('Données projet'!$B$13,Paramètres!$A$1:$I$89,3,0)*VLOOKUP('Données projet'!$B$13,Paramètres!$A$1:$I$89,5,0)</f>
        <v>-2.0395418687257919E-13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308.47522272937135</v>
      </c>
      <c r="CZ182" s="62">
        <f t="shared" si="150"/>
        <v>302.54354650449721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6.1689844763728137E-2</v>
      </c>
      <c r="DH182" s="23">
        <f>EXP(-LN(2)/2)*DH181+(1-EXP(-LN(2)/2))/(LN(2)/2)*DB182*DE182*VLOOKUP('Données projet'!$B$13,Paramètres!$A$1:$I$89,3,0)*0.475*44/12</f>
        <v>6.4661936671222114E-22</v>
      </c>
      <c r="DI182" s="24">
        <f t="shared" si="175"/>
        <v>6.1689844763728137E-2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-5.6843418860808015E-14</v>
      </c>
      <c r="DP182" s="18">
        <f>DO182*VLOOKUP('Données projet'!$B$14,Paramètres!$A$1:$I$89,3,0)*VLOOKUP('Données projet'!$B$14,Paramètres!$A$1:$I$89,5,0)</f>
        <v>-4.5224624045658861E-14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370.58277541710277</v>
      </c>
      <c r="DU182" s="62">
        <f t="shared" si="152"/>
        <v>404.61777090709171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240.22884864766218</v>
      </c>
      <c r="EP182" s="62">
        <f t="shared" si="154"/>
        <v>343.23776884143166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0.16538936368603097</v>
      </c>
      <c r="EX182" s="23">
        <f>EXP(-LN(2)/2)*EX181+(1-EXP(-LN(2)/2))/(LN(2)/2)*ER182*EU182*VLOOKUP('Données projet'!$B$15,Paramètres!$A$1:$I$89,3,0)*0.475*44/12</f>
        <v>6.1836420348940824E-22</v>
      </c>
      <c r="EY182" s="24">
        <f t="shared" si="181"/>
        <v>0.16538936368603097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-1.1368683772161603E-13</v>
      </c>
      <c r="FF182" s="18">
        <f>FE182*VLOOKUP('Données projet'!$B$16,Paramètres!$A$1:$I$89,3,0)*VLOOKUP('Données projet'!$B$16,Paramètres!$A$1:$I$89,5,0)</f>
        <v>-5.3205440053716299E-14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399.92909819003523</v>
      </c>
      <c r="FK182" s="62">
        <f t="shared" si="156"/>
        <v>163.7053537268381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-5.6843418860808015E-14</v>
      </c>
      <c r="GA182" s="18">
        <f>FZ182*VLOOKUP('Données projet'!$B$17,Paramètres!$A$1:$I$89,3,0)*VLOOKUP('Données projet'!$B$17,Paramètres!$A$1:$I$89,5,0)</f>
        <v>-4.1677594708744434E-14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344.4426665022238</v>
      </c>
      <c r="GF182" s="62">
        <f t="shared" si="158"/>
        <v>376.41441893222185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6.8212102632969618E-13</v>
      </c>
      <c r="GV182" s="18">
        <f>GU182*VLOOKUP('Données projet'!$B$18,Paramètres!$A$1:$I$89,3,0)*VLOOKUP('Données projet'!$B$18,Paramètres!$A$1:$I$89,5,0)</f>
        <v>3.2810021366458383E-13</v>
      </c>
      <c r="GW182" s="14">
        <f t="shared" si="188"/>
        <v>4.2923528923937213E-12</v>
      </c>
      <c r="GX182" s="22">
        <f t="shared" si="189"/>
        <v>8.0472891597182151E-12</v>
      </c>
      <c r="GY182" s="62">
        <f t="shared" si="137"/>
        <v>293.33333333334139</v>
      </c>
      <c r="GZ182" s="62">
        <f ca="1">AVERAGE(OFFSET($GY$3,0,0,'Données projet'!$E$18+1,1))-AVERAGE(OFFSET($H$3,0,0,'Données projet'!$E$18+1,1))</f>
        <v>441.17479680509746</v>
      </c>
      <c r="HA182" s="62">
        <f t="shared" si="160"/>
        <v>198.56576128410069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-1.9065282685915009E-13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374.79806286316051</v>
      </c>
      <c r="T183" s="62">
        <f t="shared" si="142"/>
        <v>350.01856672839466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0.11529974604667423</v>
      </c>
      <c r="AB183" s="23">
        <f>EXP(-LN(2)/2)*AB182+(1-EXP(-LN(2)/2))/(LN(2)/2)*V183*Y183*VLOOKUP('Données projet'!$B$9,Paramètres!$A$1:$I$89,3,0)*0.475*44/12</f>
        <v>2.3776331052592142E-22</v>
      </c>
      <c r="AC183" s="24">
        <f t="shared" si="163"/>
        <v>0.11529974604667423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-2.8421709430404007E-13</v>
      </c>
      <c r="AJ183" s="14">
        <f>AI183*VLOOKUP('Données projet'!$B$10,Paramètres!$A$1:$I$89,3,0)*VLOOKUP('Données projet'!$B$10,Paramètres!$A$1:$I$89,5,0)</f>
        <v>-2.4829205358400943E-13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401.89597032936751</v>
      </c>
      <c r="AO183" s="62">
        <f t="shared" si="144"/>
        <v>417.85733543972361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-5.1159076974727213E-13</v>
      </c>
      <c r="BE183" s="14">
        <f>BD183*VLOOKUP('Données projet'!$B$11,Paramètres!$A$1:$I$89,3,0)*VLOOKUP('Données projet'!$B$11,Paramètres!$A$1:$I$89,5,0)</f>
        <v>-4.6288732846733184E-13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430.40491895612814</v>
      </c>
      <c r="BJ183" s="62">
        <f t="shared" si="146"/>
        <v>231.36959598460686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-1.0818439477588981E-13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367.11183928586667</v>
      </c>
      <c r="CE183" s="62">
        <f t="shared" si="148"/>
        <v>281.52963027844595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-3.4106051316484809E-13</v>
      </c>
      <c r="CU183" s="18">
        <f>CT183*VLOOKUP('Données projet'!$B$13,Paramètres!$A$1:$I$89,3,0)*VLOOKUP('Données projet'!$B$13,Paramètres!$A$1:$I$89,5,0)</f>
        <v>-2.0395418687257919E-13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308.47522272937135</v>
      </c>
      <c r="CZ183" s="62">
        <f t="shared" si="150"/>
        <v>302.54354650449721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6.000293271453605E-2</v>
      </c>
      <c r="DH183" s="23">
        <f>EXP(-LN(2)/2)*DH182+(1-EXP(-LN(2)/2))/(LN(2)/2)*DB183*DE183*VLOOKUP('Données projet'!$B$13,Paramètres!$A$1:$I$89,3,0)*0.475*44/12</f>
        <v>4.5722893904876247E-22</v>
      </c>
      <c r="DI183" s="24">
        <f t="shared" si="175"/>
        <v>6.000293271453605E-2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-5.6843418860808015E-14</v>
      </c>
      <c r="DP183" s="18">
        <f>DO183*VLOOKUP('Données projet'!$B$14,Paramètres!$A$1:$I$89,3,0)*VLOOKUP('Données projet'!$B$14,Paramètres!$A$1:$I$89,5,0)</f>
        <v>-4.5224624045658861E-14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370.58277541710277</v>
      </c>
      <c r="DU183" s="62">
        <f t="shared" si="152"/>
        <v>404.61777090709171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240.22884864766218</v>
      </c>
      <c r="EP183" s="62">
        <f t="shared" si="154"/>
        <v>343.23776884143166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0.16086678283858782</v>
      </c>
      <c r="EX183" s="23">
        <f>EXP(-LN(2)/2)*EX182+(1-EXP(-LN(2)/2))/(LN(2)/2)*ER183*EU183*VLOOKUP('Données projet'!$B$15,Paramètres!$A$1:$I$89,3,0)*0.475*44/12</f>
        <v>4.3724952153037874E-22</v>
      </c>
      <c r="EY183" s="24">
        <f t="shared" si="181"/>
        <v>0.16086678283858782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-1.1368683772161603E-13</v>
      </c>
      <c r="FF183" s="18">
        <f>FE183*VLOOKUP('Données projet'!$B$16,Paramètres!$A$1:$I$89,3,0)*VLOOKUP('Données projet'!$B$16,Paramètres!$A$1:$I$89,5,0)</f>
        <v>-5.3205440053716299E-14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399.92909819003523</v>
      </c>
      <c r="FK183" s="62">
        <f t="shared" si="156"/>
        <v>163.7053537268381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-5.6843418860808015E-14</v>
      </c>
      <c r="GA183" s="18">
        <f>FZ183*VLOOKUP('Données projet'!$B$17,Paramètres!$A$1:$I$89,3,0)*VLOOKUP('Données projet'!$B$17,Paramètres!$A$1:$I$89,5,0)</f>
        <v>-4.1677594708744434E-14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344.4426665022238</v>
      </c>
      <c r="GF183" s="62">
        <f t="shared" si="158"/>
        <v>376.41441893222185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6.8212102632969618E-13</v>
      </c>
      <c r="GV183" s="18">
        <f>GU183*VLOOKUP('Données projet'!$B$18,Paramètres!$A$1:$I$89,3,0)*VLOOKUP('Données projet'!$B$18,Paramètres!$A$1:$I$89,5,0)</f>
        <v>3.2810021366458383E-13</v>
      </c>
      <c r="GW183" s="14">
        <f t="shared" si="188"/>
        <v>4.2923528923937213E-12</v>
      </c>
      <c r="GX183" s="22">
        <f t="shared" si="189"/>
        <v>8.0472891597182151E-12</v>
      </c>
      <c r="GY183" s="62">
        <f t="shared" si="137"/>
        <v>293.33333333334139</v>
      </c>
      <c r="GZ183" s="62">
        <f ca="1">AVERAGE(OFFSET($GY$3,0,0,'Données projet'!$E$18+1,1))-AVERAGE(OFFSET($H$3,0,0,'Données projet'!$E$18+1,1))</f>
        <v>441.17479680509746</v>
      </c>
      <c r="HA183" s="62">
        <f t="shared" si="160"/>
        <v>198.56576128410069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-1.9065282685915009E-13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374.79806286316051</v>
      </c>
      <c r="T184" s="62">
        <f t="shared" si="142"/>
        <v>350.01856672839466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0.11214686842767779</v>
      </c>
      <c r="AB184" s="23">
        <f>EXP(-LN(2)/2)*AB183+(1-EXP(-LN(2)/2))/(LN(2)/2)*V184*Y184*VLOOKUP('Données projet'!$B$9,Paramètres!$A$1:$I$89,3,0)*0.475*44/12</f>
        <v>1.6812404919024187E-22</v>
      </c>
      <c r="AC184" s="24">
        <f t="shared" si="163"/>
        <v>0.11214686842767779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-2.8421709430404007E-13</v>
      </c>
      <c r="AJ184" s="14">
        <f>AI184*VLOOKUP('Données projet'!$B$10,Paramètres!$A$1:$I$89,3,0)*VLOOKUP('Données projet'!$B$10,Paramètres!$A$1:$I$89,5,0)</f>
        <v>-2.4829205358400943E-13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401.89597032936751</v>
      </c>
      <c r="AO184" s="62">
        <f t="shared" si="144"/>
        <v>417.85733543972361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-5.1159076974727213E-13</v>
      </c>
      <c r="BE184" s="14">
        <f>BD184*VLOOKUP('Données projet'!$B$11,Paramètres!$A$1:$I$89,3,0)*VLOOKUP('Données projet'!$B$11,Paramètres!$A$1:$I$89,5,0)</f>
        <v>-4.6288732846733184E-13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430.40491895612814</v>
      </c>
      <c r="BJ184" s="62">
        <f t="shared" si="146"/>
        <v>231.36959598460686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-1.0818439477588981E-13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367.11183928586667</v>
      </c>
      <c r="CE184" s="62">
        <f t="shared" si="148"/>
        <v>281.52963027844595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-3.4106051316484809E-13</v>
      </c>
      <c r="CU184" s="18">
        <f>CT184*VLOOKUP('Données projet'!$B$13,Paramètres!$A$1:$I$89,3,0)*VLOOKUP('Données projet'!$B$13,Paramètres!$A$1:$I$89,5,0)</f>
        <v>-2.0395418687257919E-13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308.47522272937135</v>
      </c>
      <c r="CZ184" s="62">
        <f t="shared" si="150"/>
        <v>302.54354650449721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5.8362149364039967E-2</v>
      </c>
      <c r="DH184" s="23">
        <f>EXP(-LN(2)/2)*DH183+(1-EXP(-LN(2)/2))/(LN(2)/2)*DB184*DE184*VLOOKUP('Données projet'!$B$13,Paramètres!$A$1:$I$89,3,0)*0.475*44/12</f>
        <v>3.2330968335611057E-22</v>
      </c>
      <c r="DI184" s="24">
        <f t="shared" si="175"/>
        <v>5.8362149364039967E-2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-5.6843418860808015E-14</v>
      </c>
      <c r="DP184" s="18">
        <f>DO184*VLOOKUP('Données projet'!$B$14,Paramètres!$A$1:$I$89,3,0)*VLOOKUP('Données projet'!$B$14,Paramètres!$A$1:$I$89,5,0)</f>
        <v>-4.5224624045658861E-14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370.58277541710277</v>
      </c>
      <c r="DU184" s="62">
        <f t="shared" si="152"/>
        <v>404.61777090709171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240.22884864766218</v>
      </c>
      <c r="EP184" s="62">
        <f t="shared" si="154"/>
        <v>343.23776884143166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0.1564678722022502</v>
      </c>
      <c r="EX184" s="23">
        <f>EXP(-LN(2)/2)*EX183+(1-EXP(-LN(2)/2))/(LN(2)/2)*ER184*EU184*VLOOKUP('Données projet'!$B$15,Paramètres!$A$1:$I$89,3,0)*0.475*44/12</f>
        <v>3.0918210174470412E-22</v>
      </c>
      <c r="EY184" s="24">
        <f t="shared" si="181"/>
        <v>0.1564678722022502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-1.1368683772161603E-13</v>
      </c>
      <c r="FF184" s="18">
        <f>FE184*VLOOKUP('Données projet'!$B$16,Paramètres!$A$1:$I$89,3,0)*VLOOKUP('Données projet'!$B$16,Paramètres!$A$1:$I$89,5,0)</f>
        <v>-5.3205440053716299E-14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399.92909819003523</v>
      </c>
      <c r="FK184" s="62">
        <f t="shared" si="156"/>
        <v>163.7053537268381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-5.6843418860808015E-14</v>
      </c>
      <c r="GA184" s="18">
        <f>FZ184*VLOOKUP('Données projet'!$B$17,Paramètres!$A$1:$I$89,3,0)*VLOOKUP('Données projet'!$B$17,Paramètres!$A$1:$I$89,5,0)</f>
        <v>-4.1677594708744434E-14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344.4426665022238</v>
      </c>
      <c r="GF184" s="62">
        <f t="shared" si="158"/>
        <v>376.41441893222185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6.8212102632969618E-13</v>
      </c>
      <c r="GV184" s="18">
        <f>GU184*VLOOKUP('Données projet'!$B$18,Paramètres!$A$1:$I$89,3,0)*VLOOKUP('Données projet'!$B$18,Paramètres!$A$1:$I$89,5,0)</f>
        <v>3.2810021366458383E-13</v>
      </c>
      <c r="GW184" s="14">
        <f t="shared" si="188"/>
        <v>4.2923528923937213E-12</v>
      </c>
      <c r="GX184" s="22">
        <f t="shared" si="189"/>
        <v>8.0472891597182151E-12</v>
      </c>
      <c r="GY184" s="62">
        <f t="shared" si="137"/>
        <v>293.33333333334139</v>
      </c>
      <c r="GZ184" s="62">
        <f ca="1">AVERAGE(OFFSET($GY$3,0,0,'Données projet'!$E$18+1,1))-AVERAGE(OFFSET($H$3,0,0,'Données projet'!$E$18+1,1))</f>
        <v>441.17479680509746</v>
      </c>
      <c r="HA184" s="62">
        <f t="shared" si="160"/>
        <v>198.56576128410069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-1.9065282685915009E-13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374.79806286316051</v>
      </c>
      <c r="T185" s="62">
        <f t="shared" si="142"/>
        <v>350.01856672839466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0.10908020641297544</v>
      </c>
      <c r="AB185" s="23">
        <f>EXP(-LN(2)/2)*AB184+(1-EXP(-LN(2)/2))/(LN(2)/2)*V185*Y185*VLOOKUP('Données projet'!$B$9,Paramètres!$A$1:$I$89,3,0)*0.475*44/12</f>
        <v>1.1888165526296071E-22</v>
      </c>
      <c r="AC185" s="24">
        <f t="shared" si="163"/>
        <v>0.10908020641297544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-2.8421709430404007E-13</v>
      </c>
      <c r="AJ185" s="14">
        <f>AI185*VLOOKUP('Données projet'!$B$10,Paramètres!$A$1:$I$89,3,0)*VLOOKUP('Données projet'!$B$10,Paramètres!$A$1:$I$89,5,0)</f>
        <v>-2.4829205358400943E-13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401.89597032936751</v>
      </c>
      <c r="AO185" s="62">
        <f t="shared" si="144"/>
        <v>417.85733543972361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-5.1159076974727213E-13</v>
      </c>
      <c r="BE185" s="14">
        <f>BD185*VLOOKUP('Données projet'!$B$11,Paramètres!$A$1:$I$89,3,0)*VLOOKUP('Données projet'!$B$11,Paramètres!$A$1:$I$89,5,0)</f>
        <v>-4.6288732846733184E-13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430.40491895612814</v>
      </c>
      <c r="BJ185" s="62">
        <f t="shared" si="146"/>
        <v>231.36959598460686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-1.0818439477588981E-13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367.11183928586667</v>
      </c>
      <c r="CE185" s="62">
        <f t="shared" si="148"/>
        <v>281.52963027844595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-3.4106051316484809E-13</v>
      </c>
      <c r="CU185" s="18">
        <f>CT185*VLOOKUP('Données projet'!$B$13,Paramètres!$A$1:$I$89,3,0)*VLOOKUP('Données projet'!$B$13,Paramètres!$A$1:$I$89,5,0)</f>
        <v>-2.0395418687257919E-13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308.47522272937135</v>
      </c>
      <c r="CZ185" s="62">
        <f t="shared" si="150"/>
        <v>302.54354650449721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5.6766233320548247E-2</v>
      </c>
      <c r="DH185" s="23">
        <f>EXP(-LN(2)/2)*DH184+(1-EXP(-LN(2)/2))/(LN(2)/2)*DB185*DE185*VLOOKUP('Données projet'!$B$13,Paramètres!$A$1:$I$89,3,0)*0.475*44/12</f>
        <v>2.2861446952438124E-22</v>
      </c>
      <c r="DI185" s="24">
        <f t="shared" si="175"/>
        <v>5.6766233320548247E-2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-5.6843418860808015E-14</v>
      </c>
      <c r="DP185" s="18">
        <f>DO185*VLOOKUP('Données projet'!$B$14,Paramètres!$A$1:$I$89,3,0)*VLOOKUP('Données projet'!$B$14,Paramètres!$A$1:$I$89,5,0)</f>
        <v>-4.5224624045658861E-14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370.58277541710277</v>
      </c>
      <c r="DU185" s="62">
        <f t="shared" si="152"/>
        <v>404.61777090709171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240.22884864766218</v>
      </c>
      <c r="EP185" s="62">
        <f t="shared" si="154"/>
        <v>343.23776884143166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0.15218925000859188</v>
      </c>
      <c r="EX185" s="23">
        <f>EXP(-LN(2)/2)*EX184+(1-EXP(-LN(2)/2))/(LN(2)/2)*ER185*EU185*VLOOKUP('Données projet'!$B$15,Paramètres!$A$1:$I$89,3,0)*0.475*44/12</f>
        <v>2.1862476076518937E-22</v>
      </c>
      <c r="EY185" s="24">
        <f t="shared" si="181"/>
        <v>0.15218925000859188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-1.1368683772161603E-13</v>
      </c>
      <c r="FF185" s="18">
        <f>FE185*VLOOKUP('Données projet'!$B$16,Paramètres!$A$1:$I$89,3,0)*VLOOKUP('Données projet'!$B$16,Paramètres!$A$1:$I$89,5,0)</f>
        <v>-5.3205440053716299E-14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399.92909819003523</v>
      </c>
      <c r="FK185" s="62">
        <f t="shared" si="156"/>
        <v>163.7053537268381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-5.6843418860808015E-14</v>
      </c>
      <c r="GA185" s="18">
        <f>FZ185*VLOOKUP('Données projet'!$B$17,Paramètres!$A$1:$I$89,3,0)*VLOOKUP('Données projet'!$B$17,Paramètres!$A$1:$I$89,5,0)</f>
        <v>-4.1677594708744434E-14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344.4426665022238</v>
      </c>
      <c r="GF185" s="62">
        <f t="shared" si="158"/>
        <v>376.41441893222185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6.8212102632969618E-13</v>
      </c>
      <c r="GV185" s="18">
        <f>GU185*VLOOKUP('Données projet'!$B$18,Paramètres!$A$1:$I$89,3,0)*VLOOKUP('Données projet'!$B$18,Paramètres!$A$1:$I$89,5,0)</f>
        <v>3.2810021366458383E-13</v>
      </c>
      <c r="GW185" s="14">
        <f t="shared" si="188"/>
        <v>4.2923528923937213E-12</v>
      </c>
      <c r="GX185" s="22">
        <f t="shared" si="189"/>
        <v>8.0472891597182151E-12</v>
      </c>
      <c r="GY185" s="62">
        <f t="shared" si="137"/>
        <v>293.33333333334139</v>
      </c>
      <c r="GZ185" s="62">
        <f ca="1">AVERAGE(OFFSET($GY$3,0,0,'Données projet'!$E$18+1,1))-AVERAGE(OFFSET($H$3,0,0,'Données projet'!$E$18+1,1))</f>
        <v>441.17479680509746</v>
      </c>
      <c r="HA185" s="62">
        <f t="shared" si="160"/>
        <v>198.56576128410069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-1.9065282685915009E-13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374.79806286316051</v>
      </c>
      <c r="T186" s="62">
        <f t="shared" si="142"/>
        <v>350.01856672839466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0.10609740243233388</v>
      </c>
      <c r="AB186" s="23">
        <f>EXP(-LN(2)/2)*AB185+(1-EXP(-LN(2)/2))/(LN(2)/2)*V186*Y186*VLOOKUP('Données projet'!$B$9,Paramètres!$A$1:$I$89,3,0)*0.475*44/12</f>
        <v>8.4062024595120936E-23</v>
      </c>
      <c r="AC186" s="24">
        <f t="shared" si="163"/>
        <v>0.10609740243233388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-2.8421709430404007E-13</v>
      </c>
      <c r="AJ186" s="14">
        <f>AI186*VLOOKUP('Données projet'!$B$10,Paramètres!$A$1:$I$89,3,0)*VLOOKUP('Données projet'!$B$10,Paramètres!$A$1:$I$89,5,0)</f>
        <v>-2.4829205358400943E-13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401.89597032936751</v>
      </c>
      <c r="AO186" s="62">
        <f t="shared" si="144"/>
        <v>417.85733543972361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-5.1159076974727213E-13</v>
      </c>
      <c r="BE186" s="14">
        <f>BD186*VLOOKUP('Données projet'!$B$11,Paramètres!$A$1:$I$89,3,0)*VLOOKUP('Données projet'!$B$11,Paramètres!$A$1:$I$89,5,0)</f>
        <v>-4.6288732846733184E-13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430.40491895612814</v>
      </c>
      <c r="BJ186" s="62">
        <f t="shared" si="146"/>
        <v>231.36959598460686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-1.0818439477588981E-13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367.11183928586667</v>
      </c>
      <c r="CE186" s="62">
        <f t="shared" si="148"/>
        <v>281.52963027844595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-3.4106051316484809E-13</v>
      </c>
      <c r="CU186" s="18">
        <f>CT186*VLOOKUP('Données projet'!$B$13,Paramètres!$A$1:$I$89,3,0)*VLOOKUP('Données projet'!$B$13,Paramètres!$A$1:$I$89,5,0)</f>
        <v>-2.0395418687257919E-13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308.47522272937135</v>
      </c>
      <c r="CZ186" s="62">
        <f t="shared" si="150"/>
        <v>302.54354650449721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5.5213957685191384E-2</v>
      </c>
      <c r="DH186" s="23">
        <f>EXP(-LN(2)/2)*DH185+(1-EXP(-LN(2)/2))/(LN(2)/2)*DB186*DE186*VLOOKUP('Données projet'!$B$13,Paramètres!$A$1:$I$89,3,0)*0.475*44/12</f>
        <v>1.6165484167805528E-22</v>
      </c>
      <c r="DI186" s="24">
        <f t="shared" si="175"/>
        <v>5.5213957685191384E-2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-5.6843418860808015E-14</v>
      </c>
      <c r="DP186" s="18">
        <f>DO186*VLOOKUP('Données projet'!$B$14,Paramètres!$A$1:$I$89,3,0)*VLOOKUP('Données projet'!$B$14,Paramètres!$A$1:$I$89,5,0)</f>
        <v>-4.5224624045658861E-14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370.58277541710277</v>
      </c>
      <c r="DU186" s="62">
        <f t="shared" si="152"/>
        <v>404.61777090709171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240.22884864766218</v>
      </c>
      <c r="EP186" s="62">
        <f t="shared" si="154"/>
        <v>343.23776884143166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0.1480276269638221</v>
      </c>
      <c r="EX186" s="23">
        <f>EXP(-LN(2)/2)*EX185+(1-EXP(-LN(2)/2))/(LN(2)/2)*ER186*EU186*VLOOKUP('Données projet'!$B$15,Paramètres!$A$1:$I$89,3,0)*0.475*44/12</f>
        <v>1.5459105087235206E-22</v>
      </c>
      <c r="EY186" s="24">
        <f t="shared" si="181"/>
        <v>0.1480276269638221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-1.1368683772161603E-13</v>
      </c>
      <c r="FF186" s="18">
        <f>FE186*VLOOKUP('Données projet'!$B$16,Paramètres!$A$1:$I$89,3,0)*VLOOKUP('Données projet'!$B$16,Paramètres!$A$1:$I$89,5,0)</f>
        <v>-5.3205440053716299E-14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399.92909819003523</v>
      </c>
      <c r="FK186" s="62">
        <f t="shared" si="156"/>
        <v>163.7053537268381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-5.6843418860808015E-14</v>
      </c>
      <c r="GA186" s="18">
        <f>FZ186*VLOOKUP('Données projet'!$B$17,Paramètres!$A$1:$I$89,3,0)*VLOOKUP('Données projet'!$B$17,Paramètres!$A$1:$I$89,5,0)</f>
        <v>-4.1677594708744434E-14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344.4426665022238</v>
      </c>
      <c r="GF186" s="62">
        <f t="shared" si="158"/>
        <v>376.41441893222185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6.8212102632969618E-13</v>
      </c>
      <c r="GV186" s="18">
        <f>GU186*VLOOKUP('Données projet'!$B$18,Paramètres!$A$1:$I$89,3,0)*VLOOKUP('Données projet'!$B$18,Paramètres!$A$1:$I$89,5,0)</f>
        <v>3.2810021366458383E-13</v>
      </c>
      <c r="GW186" s="14">
        <f t="shared" si="188"/>
        <v>4.2923528923937213E-12</v>
      </c>
      <c r="GX186" s="22">
        <f t="shared" si="189"/>
        <v>8.0472891597182151E-12</v>
      </c>
      <c r="GY186" s="62">
        <f t="shared" si="137"/>
        <v>293.33333333334139</v>
      </c>
      <c r="GZ186" s="62">
        <f ca="1">AVERAGE(OFFSET($GY$3,0,0,'Données projet'!$E$18+1,1))-AVERAGE(OFFSET($H$3,0,0,'Données projet'!$E$18+1,1))</f>
        <v>441.17479680509746</v>
      </c>
      <c r="HA186" s="62">
        <f t="shared" si="160"/>
        <v>198.56576128410069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-1.9065282685915009E-13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374.79806286316051</v>
      </c>
      <c r="T187" s="62">
        <f t="shared" si="142"/>
        <v>350.01856672839466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0.1031961633834018</v>
      </c>
      <c r="AB187" s="23">
        <f>EXP(-LN(2)/2)*AB186+(1-EXP(-LN(2)/2))/(LN(2)/2)*V187*Y187*VLOOKUP('Données projet'!$B$9,Paramètres!$A$1:$I$89,3,0)*0.475*44/12</f>
        <v>5.9440827631480356E-23</v>
      </c>
      <c r="AC187" s="24">
        <f t="shared" si="163"/>
        <v>0.1031961633834018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-2.8421709430404007E-13</v>
      </c>
      <c r="AJ187" s="14">
        <f>AI187*VLOOKUP('Données projet'!$B$10,Paramètres!$A$1:$I$89,3,0)*VLOOKUP('Données projet'!$B$10,Paramètres!$A$1:$I$89,5,0)</f>
        <v>-2.4829205358400943E-13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401.89597032936751</v>
      </c>
      <c r="AO187" s="62">
        <f t="shared" si="144"/>
        <v>417.85733543972361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-5.1159076974727213E-13</v>
      </c>
      <c r="BE187" s="14">
        <f>BD187*VLOOKUP('Données projet'!$B$11,Paramètres!$A$1:$I$89,3,0)*VLOOKUP('Données projet'!$B$11,Paramètres!$A$1:$I$89,5,0)</f>
        <v>-4.6288732846733184E-13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430.40491895612814</v>
      </c>
      <c r="BJ187" s="62">
        <f t="shared" si="146"/>
        <v>231.36959598460686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-1.0818439477588981E-13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367.11183928586667</v>
      </c>
      <c r="CE187" s="62">
        <f t="shared" si="148"/>
        <v>281.52963027844595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-3.4106051316484809E-13</v>
      </c>
      <c r="CU187" s="18">
        <f>CT187*VLOOKUP('Données projet'!$B$13,Paramètres!$A$1:$I$89,3,0)*VLOOKUP('Données projet'!$B$13,Paramètres!$A$1:$I$89,5,0)</f>
        <v>-2.0395418687257919E-13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308.47522272937135</v>
      </c>
      <c r="CZ187" s="62">
        <f t="shared" si="150"/>
        <v>302.54354650449721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5.3704129108713985E-2</v>
      </c>
      <c r="DH187" s="23">
        <f>EXP(-LN(2)/2)*DH186+(1-EXP(-LN(2)/2))/(LN(2)/2)*DB187*DE187*VLOOKUP('Données projet'!$B$13,Paramètres!$A$1:$I$89,3,0)*0.475*44/12</f>
        <v>1.1430723476219062E-22</v>
      </c>
      <c r="DI187" s="24">
        <f t="shared" si="175"/>
        <v>5.3704129108713985E-2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-5.6843418860808015E-14</v>
      </c>
      <c r="DP187" s="18">
        <f>DO187*VLOOKUP('Données projet'!$B$14,Paramètres!$A$1:$I$89,3,0)*VLOOKUP('Données projet'!$B$14,Paramètres!$A$1:$I$89,5,0)</f>
        <v>-4.5224624045658861E-14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370.58277541710277</v>
      </c>
      <c r="DU187" s="62">
        <f t="shared" si="152"/>
        <v>404.61777090709171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240.22884864766218</v>
      </c>
      <c r="EP187" s="62">
        <f t="shared" si="154"/>
        <v>343.23776884143166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0.14397980372006181</v>
      </c>
      <c r="EX187" s="23">
        <f>EXP(-LN(2)/2)*EX186+(1-EXP(-LN(2)/2))/(LN(2)/2)*ER187*EU187*VLOOKUP('Données projet'!$B$15,Paramètres!$A$1:$I$89,3,0)*0.475*44/12</f>
        <v>1.0931238038259468E-22</v>
      </c>
      <c r="EY187" s="24">
        <f t="shared" si="181"/>
        <v>0.14397980372006181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-1.1368683772161603E-13</v>
      </c>
      <c r="FF187" s="18">
        <f>FE187*VLOOKUP('Données projet'!$B$16,Paramètres!$A$1:$I$89,3,0)*VLOOKUP('Données projet'!$B$16,Paramètres!$A$1:$I$89,5,0)</f>
        <v>-5.3205440053716299E-14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399.92909819003523</v>
      </c>
      <c r="FK187" s="62">
        <f t="shared" si="156"/>
        <v>163.7053537268381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-5.6843418860808015E-14</v>
      </c>
      <c r="GA187" s="18">
        <f>FZ187*VLOOKUP('Données projet'!$B$17,Paramètres!$A$1:$I$89,3,0)*VLOOKUP('Données projet'!$B$17,Paramètres!$A$1:$I$89,5,0)</f>
        <v>-4.1677594708744434E-14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344.4426665022238</v>
      </c>
      <c r="GF187" s="62">
        <f t="shared" si="158"/>
        <v>376.41441893222185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6.8212102632969618E-13</v>
      </c>
      <c r="GV187" s="18">
        <f>GU187*VLOOKUP('Données projet'!$B$18,Paramètres!$A$1:$I$89,3,0)*VLOOKUP('Données projet'!$B$18,Paramètres!$A$1:$I$89,5,0)</f>
        <v>3.2810021366458383E-13</v>
      </c>
      <c r="GW187" s="14">
        <f t="shared" si="188"/>
        <v>4.2923528923937213E-12</v>
      </c>
      <c r="GX187" s="22">
        <f t="shared" si="189"/>
        <v>8.0472891597182151E-12</v>
      </c>
      <c r="GY187" s="62">
        <f t="shared" si="137"/>
        <v>293.33333333334139</v>
      </c>
      <c r="GZ187" s="62">
        <f ca="1">AVERAGE(OFFSET($GY$3,0,0,'Données projet'!$E$18+1,1))-AVERAGE(OFFSET($H$3,0,0,'Données projet'!$E$18+1,1))</f>
        <v>441.17479680509746</v>
      </c>
      <c r="HA187" s="62">
        <f t="shared" si="160"/>
        <v>198.56576128410069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-1.9065282685915009E-13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374.79806286316051</v>
      </c>
      <c r="T188" s="62">
        <f t="shared" si="142"/>
        <v>350.01856672839466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0.10037425886883231</v>
      </c>
      <c r="AB188" s="23">
        <f>EXP(-LN(2)/2)*AB187+(1-EXP(-LN(2)/2))/(LN(2)/2)*V188*Y188*VLOOKUP('Données projet'!$B$9,Paramètres!$A$1:$I$89,3,0)*0.475*44/12</f>
        <v>4.2031012297560468E-23</v>
      </c>
      <c r="AC188" s="24">
        <f t="shared" si="163"/>
        <v>0.10037425886883231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-2.8421709430404007E-13</v>
      </c>
      <c r="AJ188" s="14">
        <f>AI188*VLOOKUP('Données projet'!$B$10,Paramètres!$A$1:$I$89,3,0)*VLOOKUP('Données projet'!$B$10,Paramètres!$A$1:$I$89,5,0)</f>
        <v>-2.4829205358400943E-13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401.89597032936751</v>
      </c>
      <c r="AO188" s="62">
        <f t="shared" si="144"/>
        <v>417.85733543972361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-5.1159076974727213E-13</v>
      </c>
      <c r="BE188" s="14">
        <f>BD188*VLOOKUP('Données projet'!$B$11,Paramètres!$A$1:$I$89,3,0)*VLOOKUP('Données projet'!$B$11,Paramètres!$A$1:$I$89,5,0)</f>
        <v>-4.6288732846733184E-13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430.40491895612814</v>
      </c>
      <c r="BJ188" s="62">
        <f t="shared" si="146"/>
        <v>231.36959598460686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-1.0818439477588981E-13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367.11183928586667</v>
      </c>
      <c r="CE188" s="62">
        <f t="shared" si="148"/>
        <v>281.52963027844595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-3.4106051316484809E-13</v>
      </c>
      <c r="CU188" s="18">
        <f>CT188*VLOOKUP('Données projet'!$B$13,Paramètres!$A$1:$I$89,3,0)*VLOOKUP('Données projet'!$B$13,Paramètres!$A$1:$I$89,5,0)</f>
        <v>-2.0395418687257919E-13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308.47522272937135</v>
      </c>
      <c r="CZ188" s="62">
        <f t="shared" si="150"/>
        <v>302.54354650449721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5.2235586874058791E-2</v>
      </c>
      <c r="DH188" s="23">
        <f>EXP(-LN(2)/2)*DH187+(1-EXP(-LN(2)/2))/(LN(2)/2)*DB188*DE188*VLOOKUP('Données projet'!$B$13,Paramètres!$A$1:$I$89,3,0)*0.475*44/12</f>
        <v>8.0827420839027642E-23</v>
      </c>
      <c r="DI188" s="24">
        <f t="shared" si="175"/>
        <v>5.2235586874058791E-2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-5.6843418860808015E-14</v>
      </c>
      <c r="DP188" s="18">
        <f>DO188*VLOOKUP('Données projet'!$B$14,Paramètres!$A$1:$I$89,3,0)*VLOOKUP('Données projet'!$B$14,Paramètres!$A$1:$I$89,5,0)</f>
        <v>-4.5224624045658861E-14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370.58277541710277</v>
      </c>
      <c r="DU188" s="62">
        <f t="shared" si="152"/>
        <v>404.61777090709171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240.22884864766218</v>
      </c>
      <c r="EP188" s="62">
        <f t="shared" si="154"/>
        <v>343.23776884143166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0.1400426684157679</v>
      </c>
      <c r="EX188" s="23">
        <f>EXP(-LN(2)/2)*EX187+(1-EXP(-LN(2)/2))/(LN(2)/2)*ER188*EU188*VLOOKUP('Données projet'!$B$15,Paramètres!$A$1:$I$89,3,0)*0.475*44/12</f>
        <v>7.729552543617603E-23</v>
      </c>
      <c r="EY188" s="24">
        <f t="shared" si="181"/>
        <v>0.1400426684157679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-1.1368683772161603E-13</v>
      </c>
      <c r="FF188" s="18">
        <f>FE188*VLOOKUP('Données projet'!$B$16,Paramètres!$A$1:$I$89,3,0)*VLOOKUP('Données projet'!$B$16,Paramètres!$A$1:$I$89,5,0)</f>
        <v>-5.3205440053716299E-14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399.92909819003523</v>
      </c>
      <c r="FK188" s="62">
        <f t="shared" si="156"/>
        <v>163.7053537268381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-5.6843418860808015E-14</v>
      </c>
      <c r="GA188" s="18">
        <f>FZ188*VLOOKUP('Données projet'!$B$17,Paramètres!$A$1:$I$89,3,0)*VLOOKUP('Données projet'!$B$17,Paramètres!$A$1:$I$89,5,0)</f>
        <v>-4.1677594708744434E-14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344.4426665022238</v>
      </c>
      <c r="GF188" s="62">
        <f t="shared" si="158"/>
        <v>376.41441893222185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6.8212102632969618E-13</v>
      </c>
      <c r="GV188" s="18">
        <f>GU188*VLOOKUP('Données projet'!$B$18,Paramètres!$A$1:$I$89,3,0)*VLOOKUP('Données projet'!$B$18,Paramètres!$A$1:$I$89,5,0)</f>
        <v>3.2810021366458383E-13</v>
      </c>
      <c r="GW188" s="14">
        <f t="shared" si="188"/>
        <v>4.2923528923937213E-12</v>
      </c>
      <c r="GX188" s="22">
        <f t="shared" si="189"/>
        <v>8.0472891597182151E-12</v>
      </c>
      <c r="GY188" s="62">
        <f t="shared" si="137"/>
        <v>293.33333333334139</v>
      </c>
      <c r="GZ188" s="62">
        <f ca="1">AVERAGE(OFFSET($GY$3,0,0,'Données projet'!$E$18+1,1))-AVERAGE(OFFSET($H$3,0,0,'Données projet'!$E$18+1,1))</f>
        <v>441.17479680509746</v>
      </c>
      <c r="HA188" s="62">
        <f t="shared" si="160"/>
        <v>198.56576128410069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-1.9065282685915009E-13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374.79806286316051</v>
      </c>
      <c r="T189" s="62">
        <f t="shared" si="142"/>
        <v>350.01856672839466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9.7629519481611221E-2</v>
      </c>
      <c r="AB189" s="23">
        <f>EXP(-LN(2)/2)*AB188+(1-EXP(-LN(2)/2))/(LN(2)/2)*V189*Y189*VLOOKUP('Données projet'!$B$9,Paramètres!$A$1:$I$89,3,0)*0.475*44/12</f>
        <v>2.9720413815740178E-23</v>
      </c>
      <c r="AC189" s="24">
        <f t="shared" si="163"/>
        <v>9.7629519481611221E-2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-2.8421709430404007E-13</v>
      </c>
      <c r="AJ189" s="14">
        <f>AI189*VLOOKUP('Données projet'!$B$10,Paramètres!$A$1:$I$89,3,0)*VLOOKUP('Données projet'!$B$10,Paramètres!$A$1:$I$89,5,0)</f>
        <v>-2.4829205358400943E-13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401.89597032936751</v>
      </c>
      <c r="AO189" s="62">
        <f t="shared" si="144"/>
        <v>417.85733543972361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-5.1159076974727213E-13</v>
      </c>
      <c r="BE189" s="14">
        <f>BD189*VLOOKUP('Données projet'!$B$11,Paramètres!$A$1:$I$89,3,0)*VLOOKUP('Données projet'!$B$11,Paramètres!$A$1:$I$89,5,0)</f>
        <v>-4.6288732846733184E-13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430.40491895612814</v>
      </c>
      <c r="BJ189" s="62">
        <f t="shared" si="146"/>
        <v>231.36959598460686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-1.0818439477588981E-13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367.11183928586667</v>
      </c>
      <c r="CE189" s="62">
        <f t="shared" si="148"/>
        <v>281.52963027844595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-3.4106051316484809E-13</v>
      </c>
      <c r="CU189" s="18">
        <f>CT189*VLOOKUP('Données projet'!$B$13,Paramètres!$A$1:$I$89,3,0)*VLOOKUP('Données projet'!$B$13,Paramètres!$A$1:$I$89,5,0)</f>
        <v>-2.0395418687257919E-13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308.47522272937135</v>
      </c>
      <c r="CZ189" s="62">
        <f t="shared" si="150"/>
        <v>302.54354650449721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5.0807202004037523E-2</v>
      </c>
      <c r="DH189" s="23">
        <f>EXP(-LN(2)/2)*DH188+(1-EXP(-LN(2)/2))/(LN(2)/2)*DB189*DE189*VLOOKUP('Données projet'!$B$13,Paramètres!$A$1:$I$89,3,0)*0.475*44/12</f>
        <v>5.7153617381095309E-23</v>
      </c>
      <c r="DI189" s="24">
        <f t="shared" si="175"/>
        <v>5.0807202004037523E-2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-5.6843418860808015E-14</v>
      </c>
      <c r="DP189" s="18">
        <f>DO189*VLOOKUP('Données projet'!$B$14,Paramètres!$A$1:$I$89,3,0)*VLOOKUP('Données projet'!$B$14,Paramètres!$A$1:$I$89,5,0)</f>
        <v>-4.5224624045658861E-14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370.58277541710277</v>
      </c>
      <c r="DU189" s="62">
        <f t="shared" si="152"/>
        <v>404.61777090709171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240.22884864766218</v>
      </c>
      <c r="EP189" s="62">
        <f t="shared" si="154"/>
        <v>343.23776884143166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0.13621319428341486</v>
      </c>
      <c r="EX189" s="23">
        <f>EXP(-LN(2)/2)*EX188+(1-EXP(-LN(2)/2))/(LN(2)/2)*ER189*EU189*VLOOKUP('Données projet'!$B$15,Paramètres!$A$1:$I$89,3,0)*0.475*44/12</f>
        <v>5.4656190191297342E-23</v>
      </c>
      <c r="EY189" s="24">
        <f t="shared" si="181"/>
        <v>0.13621319428341486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-1.1368683772161603E-13</v>
      </c>
      <c r="FF189" s="18">
        <f>FE189*VLOOKUP('Données projet'!$B$16,Paramètres!$A$1:$I$89,3,0)*VLOOKUP('Données projet'!$B$16,Paramètres!$A$1:$I$89,5,0)</f>
        <v>-5.3205440053716299E-14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399.92909819003523</v>
      </c>
      <c r="FK189" s="62">
        <f t="shared" si="156"/>
        <v>163.7053537268381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-5.6843418860808015E-14</v>
      </c>
      <c r="GA189" s="18">
        <f>FZ189*VLOOKUP('Données projet'!$B$17,Paramètres!$A$1:$I$89,3,0)*VLOOKUP('Données projet'!$B$17,Paramètres!$A$1:$I$89,5,0)</f>
        <v>-4.1677594708744434E-14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344.4426665022238</v>
      </c>
      <c r="GF189" s="62">
        <f t="shared" si="158"/>
        <v>376.41441893222185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6.8212102632969618E-13</v>
      </c>
      <c r="GV189" s="18">
        <f>GU189*VLOOKUP('Données projet'!$B$18,Paramètres!$A$1:$I$89,3,0)*VLOOKUP('Données projet'!$B$18,Paramètres!$A$1:$I$89,5,0)</f>
        <v>3.2810021366458383E-13</v>
      </c>
      <c r="GW189" s="14">
        <f t="shared" si="188"/>
        <v>4.2923528923937213E-12</v>
      </c>
      <c r="GX189" s="22">
        <f t="shared" si="189"/>
        <v>8.0472891597182151E-12</v>
      </c>
      <c r="GY189" s="62">
        <f t="shared" si="137"/>
        <v>293.33333333334139</v>
      </c>
      <c r="GZ189" s="62">
        <f ca="1">AVERAGE(OFFSET($GY$3,0,0,'Données projet'!$E$18+1,1))-AVERAGE(OFFSET($H$3,0,0,'Données projet'!$E$18+1,1))</f>
        <v>441.17479680509746</v>
      </c>
      <c r="HA189" s="62">
        <f t="shared" si="160"/>
        <v>198.56576128410069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-1.9065282685915009E-13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374.79806286316051</v>
      </c>
      <c r="T190" s="62">
        <f t="shared" si="142"/>
        <v>350.01856672839466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9.4959835137273269E-2</v>
      </c>
      <c r="AB190" s="23">
        <f>EXP(-LN(2)/2)*AB189+(1-EXP(-LN(2)/2))/(LN(2)/2)*V190*Y190*VLOOKUP('Données projet'!$B$9,Paramètres!$A$1:$I$89,3,0)*0.475*44/12</f>
        <v>2.1015506148780234E-23</v>
      </c>
      <c r="AC190" s="24">
        <f t="shared" si="163"/>
        <v>9.4959835137273269E-2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-2.8421709430404007E-13</v>
      </c>
      <c r="AJ190" s="14">
        <f>AI190*VLOOKUP('Données projet'!$B$10,Paramètres!$A$1:$I$89,3,0)*VLOOKUP('Données projet'!$B$10,Paramètres!$A$1:$I$89,5,0)</f>
        <v>-2.4829205358400943E-13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401.89597032936751</v>
      </c>
      <c r="AO190" s="62">
        <f t="shared" si="144"/>
        <v>417.85733543972361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-5.1159076974727213E-13</v>
      </c>
      <c r="BE190" s="14">
        <f>BD190*VLOOKUP('Données projet'!$B$11,Paramètres!$A$1:$I$89,3,0)*VLOOKUP('Données projet'!$B$11,Paramètres!$A$1:$I$89,5,0)</f>
        <v>-4.6288732846733184E-13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430.40491895612814</v>
      </c>
      <c r="BJ190" s="62">
        <f t="shared" si="146"/>
        <v>231.36959598460686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-1.0818439477588981E-13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367.11183928586667</v>
      </c>
      <c r="CE190" s="62">
        <f t="shared" si="148"/>
        <v>281.52963027844595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-3.4106051316484809E-13</v>
      </c>
      <c r="CU190" s="18">
        <f>CT190*VLOOKUP('Données projet'!$B$13,Paramètres!$A$1:$I$89,3,0)*VLOOKUP('Données projet'!$B$13,Paramètres!$A$1:$I$89,5,0)</f>
        <v>-2.0395418687257919E-13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308.47522272937135</v>
      </c>
      <c r="CZ190" s="62">
        <f t="shared" si="150"/>
        <v>302.54354650449721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4.9417876393402484E-2</v>
      </c>
      <c r="DH190" s="23">
        <f>EXP(-LN(2)/2)*DH189+(1-EXP(-LN(2)/2))/(LN(2)/2)*DB190*DE190*VLOOKUP('Données projet'!$B$13,Paramètres!$A$1:$I$89,3,0)*0.475*44/12</f>
        <v>4.0413710419513821E-23</v>
      </c>
      <c r="DI190" s="24">
        <f t="shared" si="175"/>
        <v>4.9417876393402484E-2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-5.6843418860808015E-14</v>
      </c>
      <c r="DP190" s="18">
        <f>DO190*VLOOKUP('Données projet'!$B$14,Paramètres!$A$1:$I$89,3,0)*VLOOKUP('Données projet'!$B$14,Paramètres!$A$1:$I$89,5,0)</f>
        <v>-4.5224624045658861E-14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370.58277541710277</v>
      </c>
      <c r="DU190" s="62">
        <f t="shared" si="152"/>
        <v>404.61777090709171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240.22884864766218</v>
      </c>
      <c r="EP190" s="62">
        <f t="shared" si="154"/>
        <v>343.23776884143166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0.1324884373225943</v>
      </c>
      <c r="EX190" s="23">
        <f>EXP(-LN(2)/2)*EX189+(1-EXP(-LN(2)/2))/(LN(2)/2)*ER190*EU190*VLOOKUP('Données projet'!$B$15,Paramètres!$A$1:$I$89,3,0)*0.475*44/12</f>
        <v>3.8647762718088015E-23</v>
      </c>
      <c r="EY190" s="24">
        <f t="shared" si="181"/>
        <v>0.1324884373225943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-1.1368683772161603E-13</v>
      </c>
      <c r="FF190" s="18">
        <f>FE190*VLOOKUP('Données projet'!$B$16,Paramètres!$A$1:$I$89,3,0)*VLOOKUP('Données projet'!$B$16,Paramètres!$A$1:$I$89,5,0)</f>
        <v>-5.3205440053716299E-14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399.92909819003523</v>
      </c>
      <c r="FK190" s="62">
        <f t="shared" si="156"/>
        <v>163.7053537268381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-5.6843418860808015E-14</v>
      </c>
      <c r="GA190" s="18">
        <f>FZ190*VLOOKUP('Données projet'!$B$17,Paramètres!$A$1:$I$89,3,0)*VLOOKUP('Données projet'!$B$17,Paramètres!$A$1:$I$89,5,0)</f>
        <v>-4.1677594708744434E-14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344.4426665022238</v>
      </c>
      <c r="GF190" s="62">
        <f t="shared" si="158"/>
        <v>376.41441893222185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6.8212102632969618E-13</v>
      </c>
      <c r="GV190" s="18">
        <f>GU190*VLOOKUP('Données projet'!$B$18,Paramètres!$A$1:$I$89,3,0)*VLOOKUP('Données projet'!$B$18,Paramètres!$A$1:$I$89,5,0)</f>
        <v>3.2810021366458383E-13</v>
      </c>
      <c r="GW190" s="14">
        <f t="shared" si="188"/>
        <v>4.2923528923937213E-12</v>
      </c>
      <c r="GX190" s="22">
        <f t="shared" si="189"/>
        <v>8.0472891597182151E-12</v>
      </c>
      <c r="GY190" s="62">
        <f t="shared" si="137"/>
        <v>293.33333333334139</v>
      </c>
      <c r="GZ190" s="62">
        <f ca="1">AVERAGE(OFFSET($GY$3,0,0,'Données projet'!$E$18+1,1))-AVERAGE(OFFSET($H$3,0,0,'Données projet'!$E$18+1,1))</f>
        <v>441.17479680509746</v>
      </c>
      <c r="HA190" s="62">
        <f t="shared" si="160"/>
        <v>198.56576128410069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-1.9065282685915009E-13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374.79806286316051</v>
      </c>
      <c r="T191" s="62">
        <f t="shared" si="142"/>
        <v>350.01856672839466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9.2363153451723828E-2</v>
      </c>
      <c r="AB191" s="23">
        <f>EXP(-LN(2)/2)*AB190+(1-EXP(-LN(2)/2))/(LN(2)/2)*V191*Y191*VLOOKUP('Données projet'!$B$9,Paramètres!$A$1:$I$89,3,0)*0.475*44/12</f>
        <v>1.4860206907870089E-23</v>
      </c>
      <c r="AC191" s="24">
        <f t="shared" si="163"/>
        <v>9.2363153451723828E-2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-2.8421709430404007E-13</v>
      </c>
      <c r="AJ191" s="14">
        <f>AI191*VLOOKUP('Données projet'!$B$10,Paramètres!$A$1:$I$89,3,0)*VLOOKUP('Données projet'!$B$10,Paramètres!$A$1:$I$89,5,0)</f>
        <v>-2.4829205358400943E-13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401.89597032936751</v>
      </c>
      <c r="AO191" s="62">
        <f t="shared" si="144"/>
        <v>417.85733543972361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-5.1159076974727213E-13</v>
      </c>
      <c r="BE191" s="14">
        <f>BD191*VLOOKUP('Données projet'!$B$11,Paramètres!$A$1:$I$89,3,0)*VLOOKUP('Données projet'!$B$11,Paramètres!$A$1:$I$89,5,0)</f>
        <v>-4.6288732846733184E-13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430.40491895612814</v>
      </c>
      <c r="BJ191" s="62">
        <f t="shared" si="146"/>
        <v>231.36959598460686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-1.0818439477588981E-13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367.11183928586667</v>
      </c>
      <c r="CE191" s="62">
        <f t="shared" si="148"/>
        <v>281.52963027844595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-3.4106051316484809E-13</v>
      </c>
      <c r="CU191" s="18">
        <f>CT191*VLOOKUP('Données projet'!$B$13,Paramètres!$A$1:$I$89,3,0)*VLOOKUP('Données projet'!$B$13,Paramètres!$A$1:$I$89,5,0)</f>
        <v>-2.0395418687257919E-13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308.47522272937135</v>
      </c>
      <c r="CZ191" s="62">
        <f t="shared" si="150"/>
        <v>302.54354650449721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4.8066541964651717E-2</v>
      </c>
      <c r="DH191" s="23">
        <f>EXP(-LN(2)/2)*DH190+(1-EXP(-LN(2)/2))/(LN(2)/2)*DB191*DE191*VLOOKUP('Données projet'!$B$13,Paramètres!$A$1:$I$89,3,0)*0.475*44/12</f>
        <v>2.8576808690547655E-23</v>
      </c>
      <c r="DI191" s="24">
        <f t="shared" si="175"/>
        <v>4.8066541964651717E-2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-5.6843418860808015E-14</v>
      </c>
      <c r="DP191" s="18">
        <f>DO191*VLOOKUP('Données projet'!$B$14,Paramètres!$A$1:$I$89,3,0)*VLOOKUP('Données projet'!$B$14,Paramètres!$A$1:$I$89,5,0)</f>
        <v>-4.5224624045658861E-14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370.58277541710277</v>
      </c>
      <c r="DU191" s="62">
        <f t="shared" si="152"/>
        <v>404.61777090709171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240.22884864766218</v>
      </c>
      <c r="EP191" s="62">
        <f t="shared" si="154"/>
        <v>343.23776884143166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0.12886553403674383</v>
      </c>
      <c r="EX191" s="23">
        <f>EXP(-LN(2)/2)*EX190+(1-EXP(-LN(2)/2))/(LN(2)/2)*ER191*EU191*VLOOKUP('Données projet'!$B$15,Paramètres!$A$1:$I$89,3,0)*0.475*44/12</f>
        <v>2.7328095095648671E-23</v>
      </c>
      <c r="EY191" s="24">
        <f t="shared" si="181"/>
        <v>0.12886553403674383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-1.1368683772161603E-13</v>
      </c>
      <c r="FF191" s="18">
        <f>FE191*VLOOKUP('Données projet'!$B$16,Paramètres!$A$1:$I$89,3,0)*VLOOKUP('Données projet'!$B$16,Paramètres!$A$1:$I$89,5,0)</f>
        <v>-5.3205440053716299E-14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399.92909819003523</v>
      </c>
      <c r="FK191" s="62">
        <f t="shared" si="156"/>
        <v>163.7053537268381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-5.6843418860808015E-14</v>
      </c>
      <c r="GA191" s="18">
        <f>FZ191*VLOOKUP('Données projet'!$B$17,Paramètres!$A$1:$I$89,3,0)*VLOOKUP('Données projet'!$B$17,Paramètres!$A$1:$I$89,5,0)</f>
        <v>-4.1677594708744434E-14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344.4426665022238</v>
      </c>
      <c r="GF191" s="62">
        <f t="shared" si="158"/>
        <v>376.41441893222185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6.8212102632969618E-13</v>
      </c>
      <c r="GV191" s="18">
        <f>GU191*VLOOKUP('Données projet'!$B$18,Paramètres!$A$1:$I$89,3,0)*VLOOKUP('Données projet'!$B$18,Paramètres!$A$1:$I$89,5,0)</f>
        <v>3.2810021366458383E-13</v>
      </c>
      <c r="GW191" s="14">
        <f t="shared" si="188"/>
        <v>4.2923528923937213E-12</v>
      </c>
      <c r="GX191" s="22">
        <f t="shared" si="189"/>
        <v>8.0472891597182151E-12</v>
      </c>
      <c r="GY191" s="62">
        <f t="shared" si="137"/>
        <v>293.33333333334139</v>
      </c>
      <c r="GZ191" s="62">
        <f ca="1">AVERAGE(OFFSET($GY$3,0,0,'Données projet'!$E$18+1,1))-AVERAGE(OFFSET($H$3,0,0,'Données projet'!$E$18+1,1))</f>
        <v>441.17479680509746</v>
      </c>
      <c r="HA191" s="62">
        <f t="shared" si="160"/>
        <v>198.56576128410069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-1.9065282685915009E-13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374.79806286316051</v>
      </c>
      <c r="T192" s="62">
        <f t="shared" si="142"/>
        <v>350.01856672839466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8.9837478163419304E-2</v>
      </c>
      <c r="AB192" s="23">
        <f>EXP(-LN(2)/2)*AB191+(1-EXP(-LN(2)/2))/(LN(2)/2)*V192*Y192*VLOOKUP('Données projet'!$B$9,Paramètres!$A$1:$I$89,3,0)*0.475*44/12</f>
        <v>1.0507753074390117E-23</v>
      </c>
      <c r="AC192" s="24">
        <f t="shared" si="163"/>
        <v>8.9837478163419304E-2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-2.8421709430404007E-13</v>
      </c>
      <c r="AJ192" s="14">
        <f>AI192*VLOOKUP('Données projet'!$B$10,Paramètres!$A$1:$I$89,3,0)*VLOOKUP('Données projet'!$B$10,Paramètres!$A$1:$I$89,5,0)</f>
        <v>-2.4829205358400943E-13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401.89597032936751</v>
      </c>
      <c r="AO192" s="62">
        <f t="shared" si="144"/>
        <v>417.85733543972361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-5.1159076974727213E-13</v>
      </c>
      <c r="BE192" s="14">
        <f>BD192*VLOOKUP('Données projet'!$B$11,Paramètres!$A$1:$I$89,3,0)*VLOOKUP('Données projet'!$B$11,Paramètres!$A$1:$I$89,5,0)</f>
        <v>-4.6288732846733184E-13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430.40491895612814</v>
      </c>
      <c r="BJ192" s="62">
        <f t="shared" si="146"/>
        <v>231.36959598460686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-1.0818439477588981E-13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367.11183928586667</v>
      </c>
      <c r="CE192" s="62">
        <f t="shared" si="148"/>
        <v>281.52963027844595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-3.4106051316484809E-13</v>
      </c>
      <c r="CU192" s="18">
        <f>CT192*VLOOKUP('Données projet'!$B$13,Paramètres!$A$1:$I$89,3,0)*VLOOKUP('Données projet'!$B$13,Paramètres!$A$1:$I$89,5,0)</f>
        <v>-2.0395418687257919E-13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308.47522272937135</v>
      </c>
      <c r="CZ192" s="62">
        <f t="shared" si="150"/>
        <v>302.54354650449721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4.6752159846918731E-2</v>
      </c>
      <c r="DH192" s="23">
        <f>EXP(-LN(2)/2)*DH191+(1-EXP(-LN(2)/2))/(LN(2)/2)*DB192*DE192*VLOOKUP('Données projet'!$B$13,Paramètres!$A$1:$I$89,3,0)*0.475*44/12</f>
        <v>2.0206855209756911E-23</v>
      </c>
      <c r="DI192" s="24">
        <f t="shared" si="175"/>
        <v>4.6752159846918731E-2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-5.6843418860808015E-14</v>
      </c>
      <c r="DP192" s="18">
        <f>DO192*VLOOKUP('Données projet'!$B$14,Paramètres!$A$1:$I$89,3,0)*VLOOKUP('Données projet'!$B$14,Paramètres!$A$1:$I$89,5,0)</f>
        <v>-4.5224624045658861E-14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370.58277541710277</v>
      </c>
      <c r="DU192" s="62">
        <f t="shared" si="152"/>
        <v>404.61777090709171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240.22884864766218</v>
      </c>
      <c r="EP192" s="62">
        <f t="shared" si="154"/>
        <v>343.23776884143166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0.12534169923176516</v>
      </c>
      <c r="EX192" s="23">
        <f>EXP(-LN(2)/2)*EX191+(1-EXP(-LN(2)/2))/(LN(2)/2)*ER192*EU192*VLOOKUP('Données projet'!$B$15,Paramètres!$A$1:$I$89,3,0)*0.475*44/12</f>
        <v>1.9323881359044008E-23</v>
      </c>
      <c r="EY192" s="24">
        <f t="shared" si="181"/>
        <v>0.12534169923176516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-1.1368683772161603E-13</v>
      </c>
      <c r="FF192" s="18">
        <f>FE192*VLOOKUP('Données projet'!$B$16,Paramètres!$A$1:$I$89,3,0)*VLOOKUP('Données projet'!$B$16,Paramètres!$A$1:$I$89,5,0)</f>
        <v>-5.3205440053716299E-14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399.92909819003523</v>
      </c>
      <c r="FK192" s="62">
        <f t="shared" si="156"/>
        <v>163.7053537268381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-5.6843418860808015E-14</v>
      </c>
      <c r="GA192" s="18">
        <f>FZ192*VLOOKUP('Données projet'!$B$17,Paramètres!$A$1:$I$89,3,0)*VLOOKUP('Données projet'!$B$17,Paramètres!$A$1:$I$89,5,0)</f>
        <v>-4.1677594708744434E-14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344.4426665022238</v>
      </c>
      <c r="GF192" s="62">
        <f t="shared" si="158"/>
        <v>376.41441893222185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6.8212102632969618E-13</v>
      </c>
      <c r="GV192" s="18">
        <f>GU192*VLOOKUP('Données projet'!$B$18,Paramètres!$A$1:$I$89,3,0)*VLOOKUP('Données projet'!$B$18,Paramètres!$A$1:$I$89,5,0)</f>
        <v>3.2810021366458383E-13</v>
      </c>
      <c r="GW192" s="14">
        <f t="shared" si="188"/>
        <v>4.2923528923937213E-12</v>
      </c>
      <c r="GX192" s="22">
        <f t="shared" si="189"/>
        <v>8.0472891597182151E-12</v>
      </c>
      <c r="GY192" s="62">
        <f t="shared" si="137"/>
        <v>293.33333333334139</v>
      </c>
      <c r="GZ192" s="62">
        <f ca="1">AVERAGE(OFFSET($GY$3,0,0,'Données projet'!$E$18+1,1))-AVERAGE(OFFSET($H$3,0,0,'Données projet'!$E$18+1,1))</f>
        <v>441.17479680509746</v>
      </c>
      <c r="HA192" s="62">
        <f t="shared" si="160"/>
        <v>198.56576128410069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-1.9065282685915009E-13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374.79806286316051</v>
      </c>
      <c r="T193" s="62">
        <f t="shared" si="142"/>
        <v>350.01856672839466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8.7380867598692957E-2</v>
      </c>
      <c r="AB193" s="23">
        <f>EXP(-LN(2)/2)*AB192+(1-EXP(-LN(2)/2))/(LN(2)/2)*V193*Y193*VLOOKUP('Données projet'!$B$9,Paramètres!$A$1:$I$89,3,0)*0.475*44/12</f>
        <v>7.4301034539350445E-24</v>
      </c>
      <c r="AC193" s="24">
        <f t="shared" si="163"/>
        <v>8.7380867598692957E-2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-2.8421709430404007E-13</v>
      </c>
      <c r="AJ193" s="14">
        <f>AI193*VLOOKUP('Données projet'!$B$10,Paramètres!$A$1:$I$89,3,0)*VLOOKUP('Données projet'!$B$10,Paramètres!$A$1:$I$89,5,0)</f>
        <v>-2.4829205358400943E-13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401.89597032936751</v>
      </c>
      <c r="AO193" s="62">
        <f t="shared" si="144"/>
        <v>417.85733543972361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-5.1159076974727213E-13</v>
      </c>
      <c r="BE193" s="14">
        <f>BD193*VLOOKUP('Données projet'!$B$11,Paramètres!$A$1:$I$89,3,0)*VLOOKUP('Données projet'!$B$11,Paramètres!$A$1:$I$89,5,0)</f>
        <v>-4.6288732846733184E-13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430.40491895612814</v>
      </c>
      <c r="BJ193" s="62">
        <f t="shared" si="146"/>
        <v>231.36959598460686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-1.0818439477588981E-13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367.11183928586667</v>
      </c>
      <c r="CE193" s="62">
        <f t="shared" si="148"/>
        <v>281.52963027844595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-3.4106051316484809E-13</v>
      </c>
      <c r="CU193" s="18">
        <f>CT193*VLOOKUP('Données projet'!$B$13,Paramètres!$A$1:$I$89,3,0)*VLOOKUP('Données projet'!$B$13,Paramètres!$A$1:$I$89,5,0)</f>
        <v>-2.0395418687257919E-13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308.47522272937135</v>
      </c>
      <c r="CZ193" s="62">
        <f t="shared" si="150"/>
        <v>302.54354650449721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4.5473719577315504E-2</v>
      </c>
      <c r="DH193" s="23">
        <f>EXP(-LN(2)/2)*DH192+(1-EXP(-LN(2)/2))/(LN(2)/2)*DB193*DE193*VLOOKUP('Données projet'!$B$13,Paramètres!$A$1:$I$89,3,0)*0.475*44/12</f>
        <v>1.4288404345273827E-23</v>
      </c>
      <c r="DI193" s="24">
        <f t="shared" si="175"/>
        <v>4.5473719577315504E-2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-5.6843418860808015E-14</v>
      </c>
      <c r="DP193" s="18">
        <f>DO193*VLOOKUP('Données projet'!$B$14,Paramètres!$A$1:$I$89,3,0)*VLOOKUP('Données projet'!$B$14,Paramètres!$A$1:$I$89,5,0)</f>
        <v>-4.5224624045658861E-14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370.58277541710277</v>
      </c>
      <c r="DU193" s="62">
        <f t="shared" si="152"/>
        <v>404.61777090709171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240.22884864766218</v>
      </c>
      <c r="EP193" s="62">
        <f t="shared" si="154"/>
        <v>343.23776884143166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0.12191422387483905</v>
      </c>
      <c r="EX193" s="23">
        <f>EXP(-LN(2)/2)*EX192+(1-EXP(-LN(2)/2))/(LN(2)/2)*ER193*EU193*VLOOKUP('Données projet'!$B$15,Paramètres!$A$1:$I$89,3,0)*0.475*44/12</f>
        <v>1.3664047547824336E-23</v>
      </c>
      <c r="EY193" s="24">
        <f t="shared" si="181"/>
        <v>0.12191422387483905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-1.1368683772161603E-13</v>
      </c>
      <c r="FF193" s="18">
        <f>FE193*VLOOKUP('Données projet'!$B$16,Paramètres!$A$1:$I$89,3,0)*VLOOKUP('Données projet'!$B$16,Paramètres!$A$1:$I$89,5,0)</f>
        <v>-5.3205440053716299E-14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399.92909819003523</v>
      </c>
      <c r="FK193" s="62">
        <f t="shared" si="156"/>
        <v>163.7053537268381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-5.6843418860808015E-14</v>
      </c>
      <c r="GA193" s="18">
        <f>FZ193*VLOOKUP('Données projet'!$B$17,Paramètres!$A$1:$I$89,3,0)*VLOOKUP('Données projet'!$B$17,Paramètres!$A$1:$I$89,5,0)</f>
        <v>-4.1677594708744434E-14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344.4426665022238</v>
      </c>
      <c r="GF193" s="62">
        <f t="shared" si="158"/>
        <v>376.41441893222185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6.8212102632969618E-13</v>
      </c>
      <c r="GV193" s="18">
        <f>GU193*VLOOKUP('Données projet'!$B$18,Paramètres!$A$1:$I$89,3,0)*VLOOKUP('Données projet'!$B$18,Paramètres!$A$1:$I$89,5,0)</f>
        <v>3.2810021366458383E-13</v>
      </c>
      <c r="GW193" s="14">
        <f t="shared" si="188"/>
        <v>4.2923528923937213E-12</v>
      </c>
      <c r="GX193" s="22">
        <f t="shared" si="189"/>
        <v>8.0472891597182151E-12</v>
      </c>
      <c r="GY193" s="62">
        <f t="shared" si="137"/>
        <v>293.33333333334139</v>
      </c>
      <c r="GZ193" s="62">
        <f ca="1">AVERAGE(OFFSET($GY$3,0,0,'Données projet'!$E$18+1,1))-AVERAGE(OFFSET($H$3,0,0,'Données projet'!$E$18+1,1))</f>
        <v>441.17479680509746</v>
      </c>
      <c r="HA193" s="62">
        <f t="shared" si="160"/>
        <v>198.56576128410069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-1.9065282685915009E-13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374.79806286316051</v>
      </c>
      <c r="T194" s="62">
        <f t="shared" si="142"/>
        <v>350.01856672839466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8.4991433179046588E-2</v>
      </c>
      <c r="AB194" s="23">
        <f>EXP(-LN(2)/2)*AB193+(1-EXP(-LN(2)/2))/(LN(2)/2)*V194*Y194*VLOOKUP('Données projet'!$B$9,Paramètres!$A$1:$I$89,3,0)*0.475*44/12</f>
        <v>5.2538765371950585E-24</v>
      </c>
      <c r="AC194" s="24">
        <f t="shared" si="163"/>
        <v>8.4991433179046588E-2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-2.8421709430404007E-13</v>
      </c>
      <c r="AJ194" s="14">
        <f>AI194*VLOOKUP('Données projet'!$B$10,Paramètres!$A$1:$I$89,3,0)*VLOOKUP('Données projet'!$B$10,Paramètres!$A$1:$I$89,5,0)</f>
        <v>-2.4829205358400943E-13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401.89597032936751</v>
      </c>
      <c r="AO194" s="62">
        <f t="shared" si="144"/>
        <v>417.85733543972361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-5.1159076974727213E-13</v>
      </c>
      <c r="BE194" s="14">
        <f>BD194*VLOOKUP('Données projet'!$B$11,Paramètres!$A$1:$I$89,3,0)*VLOOKUP('Données projet'!$B$11,Paramètres!$A$1:$I$89,5,0)</f>
        <v>-4.6288732846733184E-13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430.40491895612814</v>
      </c>
      <c r="BJ194" s="62">
        <f t="shared" si="146"/>
        <v>231.36959598460686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-1.0818439477588981E-13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367.11183928586667</v>
      </c>
      <c r="CE194" s="62">
        <f t="shared" si="148"/>
        <v>281.52963027844595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-3.4106051316484809E-13</v>
      </c>
      <c r="CU194" s="18">
        <f>CT194*VLOOKUP('Données projet'!$B$13,Paramètres!$A$1:$I$89,3,0)*VLOOKUP('Données projet'!$B$13,Paramètres!$A$1:$I$89,5,0)</f>
        <v>-2.0395418687257919E-13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308.47522272937135</v>
      </c>
      <c r="CZ194" s="62">
        <f t="shared" si="150"/>
        <v>302.54354650449721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4.423023832411483E-2</v>
      </c>
      <c r="DH194" s="23">
        <f>EXP(-LN(2)/2)*DH193+(1-EXP(-LN(2)/2))/(LN(2)/2)*DB194*DE194*VLOOKUP('Données projet'!$B$13,Paramètres!$A$1:$I$89,3,0)*0.475*44/12</f>
        <v>1.0103427604878455E-23</v>
      </c>
      <c r="DI194" s="24">
        <f t="shared" si="175"/>
        <v>4.423023832411483E-2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-5.6843418860808015E-14</v>
      </c>
      <c r="DP194" s="18">
        <f>DO194*VLOOKUP('Données projet'!$B$14,Paramètres!$A$1:$I$89,3,0)*VLOOKUP('Données projet'!$B$14,Paramètres!$A$1:$I$89,5,0)</f>
        <v>-4.5224624045658861E-14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370.58277541710277</v>
      </c>
      <c r="DU194" s="62">
        <f t="shared" si="152"/>
        <v>404.61777090709171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240.22884864766218</v>
      </c>
      <c r="EP194" s="62">
        <f t="shared" si="154"/>
        <v>343.23776884143166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0.11858047301179118</v>
      </c>
      <c r="EX194" s="23">
        <f>EXP(-LN(2)/2)*EX193+(1-EXP(-LN(2)/2))/(LN(2)/2)*ER194*EU194*VLOOKUP('Données projet'!$B$15,Paramètres!$A$1:$I$89,3,0)*0.475*44/12</f>
        <v>9.6619406795220038E-24</v>
      </c>
      <c r="EY194" s="24">
        <f t="shared" si="181"/>
        <v>0.11858047301179118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-1.1368683772161603E-13</v>
      </c>
      <c r="FF194" s="18">
        <f>FE194*VLOOKUP('Données projet'!$B$16,Paramètres!$A$1:$I$89,3,0)*VLOOKUP('Données projet'!$B$16,Paramètres!$A$1:$I$89,5,0)</f>
        <v>-5.3205440053716299E-14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399.92909819003523</v>
      </c>
      <c r="FK194" s="62">
        <f t="shared" si="156"/>
        <v>163.7053537268381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-5.6843418860808015E-14</v>
      </c>
      <c r="GA194" s="18">
        <f>FZ194*VLOOKUP('Données projet'!$B$17,Paramètres!$A$1:$I$89,3,0)*VLOOKUP('Données projet'!$B$17,Paramètres!$A$1:$I$89,5,0)</f>
        <v>-4.1677594708744434E-14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344.4426665022238</v>
      </c>
      <c r="GF194" s="62">
        <f t="shared" si="158"/>
        <v>376.41441893222185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6.8212102632969618E-13</v>
      </c>
      <c r="GV194" s="18">
        <f>GU194*VLOOKUP('Données projet'!$B$18,Paramètres!$A$1:$I$89,3,0)*VLOOKUP('Données projet'!$B$18,Paramètres!$A$1:$I$89,5,0)</f>
        <v>3.2810021366458383E-13</v>
      </c>
      <c r="GW194" s="14">
        <f t="shared" si="188"/>
        <v>4.2923528923937213E-12</v>
      </c>
      <c r="GX194" s="22">
        <f t="shared" si="189"/>
        <v>8.0472891597182151E-12</v>
      </c>
      <c r="GY194" s="62">
        <f t="shared" si="137"/>
        <v>293.33333333334139</v>
      </c>
      <c r="GZ194" s="62">
        <f ca="1">AVERAGE(OFFSET($GY$3,0,0,'Données projet'!$E$18+1,1))-AVERAGE(OFFSET($H$3,0,0,'Données projet'!$E$18+1,1))</f>
        <v>441.17479680509746</v>
      </c>
      <c r="HA194" s="62">
        <f t="shared" si="160"/>
        <v>198.56576128410069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-1.9065282685915009E-13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374.79806286316051</v>
      </c>
      <c r="T195" s="62">
        <f t="shared" si="142"/>
        <v>350.01856672839466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8.2667337969260332E-2</v>
      </c>
      <c r="AB195" s="23">
        <f>EXP(-LN(2)/2)*AB194+(1-EXP(-LN(2)/2))/(LN(2)/2)*V195*Y195*VLOOKUP('Données projet'!$B$9,Paramètres!$A$1:$I$89,3,0)*0.475*44/12</f>
        <v>3.7150517269675222E-24</v>
      </c>
      <c r="AC195" s="24">
        <f t="shared" si="163"/>
        <v>8.2667337969260332E-2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-2.8421709430404007E-13</v>
      </c>
      <c r="AJ195" s="14">
        <f>AI195*VLOOKUP('Données projet'!$B$10,Paramètres!$A$1:$I$89,3,0)*VLOOKUP('Données projet'!$B$10,Paramètres!$A$1:$I$89,5,0)</f>
        <v>-2.4829205358400943E-13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401.89597032936751</v>
      </c>
      <c r="AO195" s="62">
        <f t="shared" si="144"/>
        <v>417.85733543972361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-5.1159076974727213E-13</v>
      </c>
      <c r="BE195" s="14">
        <f>BD195*VLOOKUP('Données projet'!$B$11,Paramètres!$A$1:$I$89,3,0)*VLOOKUP('Données projet'!$B$11,Paramètres!$A$1:$I$89,5,0)</f>
        <v>-4.6288732846733184E-13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430.40491895612814</v>
      </c>
      <c r="BJ195" s="62">
        <f t="shared" si="146"/>
        <v>231.36959598460686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-1.0818439477588981E-13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367.11183928586667</v>
      </c>
      <c r="CE195" s="62">
        <f t="shared" si="148"/>
        <v>281.52963027844595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-3.4106051316484809E-13</v>
      </c>
      <c r="CU195" s="18">
        <f>CT195*VLOOKUP('Données projet'!$B$13,Paramètres!$A$1:$I$89,3,0)*VLOOKUP('Données projet'!$B$13,Paramètres!$A$1:$I$89,5,0)</f>
        <v>-2.0395418687257919E-13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308.47522272937135</v>
      </c>
      <c r="CZ195" s="62">
        <f t="shared" si="150"/>
        <v>302.54354650449721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4.3020760131174764E-2</v>
      </c>
      <c r="DH195" s="23">
        <f>EXP(-LN(2)/2)*DH194+(1-EXP(-LN(2)/2))/(LN(2)/2)*DB195*DE195*VLOOKUP('Données projet'!$B$13,Paramètres!$A$1:$I$89,3,0)*0.475*44/12</f>
        <v>7.1442021726369136E-24</v>
      </c>
      <c r="DI195" s="24">
        <f t="shared" si="175"/>
        <v>4.3020760131174764E-2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-5.6843418860808015E-14</v>
      </c>
      <c r="DP195" s="18">
        <f>DO195*VLOOKUP('Données projet'!$B$14,Paramètres!$A$1:$I$89,3,0)*VLOOKUP('Données projet'!$B$14,Paramètres!$A$1:$I$89,5,0)</f>
        <v>-4.5224624045658861E-14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370.58277541710277</v>
      </c>
      <c r="DU195" s="62">
        <f t="shared" si="152"/>
        <v>404.61777090709171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240.22884864766218</v>
      </c>
      <c r="EP195" s="62">
        <f t="shared" si="154"/>
        <v>343.23776884143166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0.1153378837414077</v>
      </c>
      <c r="EX195" s="23">
        <f>EXP(-LN(2)/2)*EX194+(1-EXP(-LN(2)/2))/(LN(2)/2)*ER195*EU195*VLOOKUP('Données projet'!$B$15,Paramètres!$A$1:$I$89,3,0)*0.475*44/12</f>
        <v>6.8320237739121678E-24</v>
      </c>
      <c r="EY195" s="24">
        <f t="shared" si="181"/>
        <v>0.1153378837414077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-1.1368683772161603E-13</v>
      </c>
      <c r="FF195" s="18">
        <f>FE195*VLOOKUP('Données projet'!$B$16,Paramètres!$A$1:$I$89,3,0)*VLOOKUP('Données projet'!$B$16,Paramètres!$A$1:$I$89,5,0)</f>
        <v>-5.3205440053716299E-14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399.92909819003523</v>
      </c>
      <c r="FK195" s="62">
        <f t="shared" si="156"/>
        <v>163.7053537268381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-5.6843418860808015E-14</v>
      </c>
      <c r="GA195" s="18">
        <f>FZ195*VLOOKUP('Données projet'!$B$17,Paramètres!$A$1:$I$89,3,0)*VLOOKUP('Données projet'!$B$17,Paramètres!$A$1:$I$89,5,0)</f>
        <v>-4.1677594708744434E-14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344.4426665022238</v>
      </c>
      <c r="GF195" s="62">
        <f t="shared" si="158"/>
        <v>376.41441893222185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6.8212102632969618E-13</v>
      </c>
      <c r="GV195" s="18">
        <f>GU195*VLOOKUP('Données projet'!$B$18,Paramètres!$A$1:$I$89,3,0)*VLOOKUP('Données projet'!$B$18,Paramètres!$A$1:$I$89,5,0)</f>
        <v>3.2810021366458383E-13</v>
      </c>
      <c r="GW195" s="14">
        <f t="shared" si="188"/>
        <v>4.2923528923937213E-12</v>
      </c>
      <c r="GX195" s="22">
        <f t="shared" si="189"/>
        <v>8.0472891597182151E-12</v>
      </c>
      <c r="GY195" s="62">
        <f t="shared" si="137"/>
        <v>293.33333333334139</v>
      </c>
      <c r="GZ195" s="62">
        <f ca="1">AVERAGE(OFFSET($GY$3,0,0,'Données projet'!$E$18+1,1))-AVERAGE(OFFSET($H$3,0,0,'Données projet'!$E$18+1,1))</f>
        <v>441.17479680509746</v>
      </c>
      <c r="HA195" s="62">
        <f t="shared" si="160"/>
        <v>198.56576128410069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-1.9065282685915009E-13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374.79806286316051</v>
      </c>
      <c r="T196" s="62">
        <f t="shared" si="142"/>
        <v>350.01856672839466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8.0406795265204542E-2</v>
      </c>
      <c r="AB196" s="23">
        <f>EXP(-LN(2)/2)*AB195+(1-EXP(-LN(2)/2))/(LN(2)/2)*V196*Y196*VLOOKUP('Données projet'!$B$9,Paramètres!$A$1:$I$89,3,0)*0.475*44/12</f>
        <v>2.6269382685975293E-24</v>
      </c>
      <c r="AC196" s="24">
        <f t="shared" si="163"/>
        <v>8.0406795265204542E-2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-2.8421709430404007E-13</v>
      </c>
      <c r="AJ196" s="14">
        <f>AI196*VLOOKUP('Données projet'!$B$10,Paramètres!$A$1:$I$89,3,0)*VLOOKUP('Données projet'!$B$10,Paramètres!$A$1:$I$89,5,0)</f>
        <v>-2.4829205358400943E-13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401.89597032936751</v>
      </c>
      <c r="AO196" s="62">
        <f t="shared" si="144"/>
        <v>417.85733543972361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-5.1159076974727213E-13</v>
      </c>
      <c r="BE196" s="14">
        <f>BD196*VLOOKUP('Données projet'!$B$11,Paramètres!$A$1:$I$89,3,0)*VLOOKUP('Données projet'!$B$11,Paramètres!$A$1:$I$89,5,0)</f>
        <v>-4.6288732846733184E-13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430.40491895612814</v>
      </c>
      <c r="BJ196" s="62">
        <f t="shared" si="146"/>
        <v>231.36959598460686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-1.0818439477588981E-13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367.11183928586667</v>
      </c>
      <c r="CE196" s="62">
        <f t="shared" si="148"/>
        <v>281.52963027844595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-3.4106051316484809E-13</v>
      </c>
      <c r="CU196" s="18">
        <f>CT196*VLOOKUP('Données projet'!$B$13,Paramètres!$A$1:$I$89,3,0)*VLOOKUP('Données projet'!$B$13,Paramètres!$A$1:$I$89,5,0)</f>
        <v>-2.0395418687257919E-13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308.47522272937135</v>
      </c>
      <c r="CZ196" s="62">
        <f t="shared" si="150"/>
        <v>302.54354650449721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4.1844355183024338E-2</v>
      </c>
      <c r="DH196" s="23">
        <f>EXP(-LN(2)/2)*DH195+(1-EXP(-LN(2)/2))/(LN(2)/2)*DB196*DE196*VLOOKUP('Données projet'!$B$13,Paramètres!$A$1:$I$89,3,0)*0.475*44/12</f>
        <v>5.0517138024392276E-24</v>
      </c>
      <c r="DI196" s="24">
        <f t="shared" si="175"/>
        <v>4.1844355183024338E-2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-5.6843418860808015E-14</v>
      </c>
      <c r="DP196" s="18">
        <f>DO196*VLOOKUP('Données projet'!$B$14,Paramètres!$A$1:$I$89,3,0)*VLOOKUP('Données projet'!$B$14,Paramètres!$A$1:$I$89,5,0)</f>
        <v>-4.5224624045658861E-14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370.58277541710277</v>
      </c>
      <c r="DU196" s="62">
        <f t="shared" si="152"/>
        <v>404.61777090709171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240.22884864766218</v>
      </c>
      <c r="EP196" s="62">
        <f t="shared" si="154"/>
        <v>343.23776884143166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0.11218396324514321</v>
      </c>
      <c r="EX196" s="23">
        <f>EXP(-LN(2)/2)*EX195+(1-EXP(-LN(2)/2))/(LN(2)/2)*ER196*EU196*VLOOKUP('Données projet'!$B$15,Paramètres!$A$1:$I$89,3,0)*0.475*44/12</f>
        <v>4.8309703397610019E-24</v>
      </c>
      <c r="EY196" s="24">
        <f t="shared" si="181"/>
        <v>0.11218396324514321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-1.1368683772161603E-13</v>
      </c>
      <c r="FF196" s="18">
        <f>FE196*VLOOKUP('Données projet'!$B$16,Paramètres!$A$1:$I$89,3,0)*VLOOKUP('Données projet'!$B$16,Paramètres!$A$1:$I$89,5,0)</f>
        <v>-5.3205440053716299E-14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399.92909819003523</v>
      </c>
      <c r="FK196" s="62">
        <f t="shared" si="156"/>
        <v>163.7053537268381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-5.6843418860808015E-14</v>
      </c>
      <c r="GA196" s="18">
        <f>FZ196*VLOOKUP('Données projet'!$B$17,Paramètres!$A$1:$I$89,3,0)*VLOOKUP('Données projet'!$B$17,Paramètres!$A$1:$I$89,5,0)</f>
        <v>-4.1677594708744434E-14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344.4426665022238</v>
      </c>
      <c r="GF196" s="62">
        <f t="shared" si="158"/>
        <v>376.41441893222185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6.8212102632969618E-13</v>
      </c>
      <c r="GV196" s="18">
        <f>GU196*VLOOKUP('Données projet'!$B$18,Paramètres!$A$1:$I$89,3,0)*VLOOKUP('Données projet'!$B$18,Paramètres!$A$1:$I$89,5,0)</f>
        <v>3.2810021366458383E-13</v>
      </c>
      <c r="GW196" s="14">
        <f t="shared" si="188"/>
        <v>4.2923528923937213E-12</v>
      </c>
      <c r="GX196" s="22">
        <f t="shared" si="189"/>
        <v>8.0472891597182151E-12</v>
      </c>
      <c r="GY196" s="62">
        <f t="shared" ref="GY196:GY203" si="201">GX196+(GP196+GQ196)*44/12</f>
        <v>293.33333333334139</v>
      </c>
      <c r="GZ196" s="62">
        <f ca="1">AVERAGE(OFFSET($GY$3,0,0,'Données projet'!$E$18+1,1))-AVERAGE(OFFSET($H$3,0,0,'Données projet'!$E$18+1,1))</f>
        <v>441.17479680509746</v>
      </c>
      <c r="HA196" s="62">
        <f t="shared" si="160"/>
        <v>198.56576128410069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-1.9065282685915009E-13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374.79806286316051</v>
      </c>
      <c r="T197" s="62">
        <f t="shared" ref="T197:T203" si="204">$T$3</f>
        <v>350.01856672839466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7.8208067220267935E-2</v>
      </c>
      <c r="AB197" s="23">
        <f>EXP(-LN(2)/2)*AB196+(1-EXP(-LN(2)/2))/(LN(2)/2)*V197*Y197*VLOOKUP('Données projet'!$B$9,Paramètres!$A$1:$I$89,3,0)*0.475*44/12</f>
        <v>1.8575258634837611E-24</v>
      </c>
      <c r="AC197" s="24">
        <f t="shared" si="163"/>
        <v>7.8208067220267935E-2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-2.8421709430404007E-13</v>
      </c>
      <c r="AJ197" s="14">
        <f>AI197*VLOOKUP('Données projet'!$B$10,Paramètres!$A$1:$I$89,3,0)*VLOOKUP('Données projet'!$B$10,Paramètres!$A$1:$I$89,5,0)</f>
        <v>-2.4829205358400943E-13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401.89597032936751</v>
      </c>
      <c r="AO197" s="62">
        <f t="shared" ref="AO197:AO203" si="205">$AO$3</f>
        <v>417.85733543972361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-5.1159076974727213E-13</v>
      </c>
      <c r="BE197" s="14">
        <f>BD197*VLOOKUP('Données projet'!$B$11,Paramètres!$A$1:$I$89,3,0)*VLOOKUP('Données projet'!$B$11,Paramètres!$A$1:$I$89,5,0)</f>
        <v>-4.6288732846733184E-13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430.40491895612814</v>
      </c>
      <c r="BJ197" s="62">
        <f t="shared" ref="BJ197:BJ203" si="206">$BJ$3</f>
        <v>231.36959598460686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-1.0818439477588981E-13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367.11183928586667</v>
      </c>
      <c r="CE197" s="62">
        <f t="shared" ref="CE197:CE203" si="207">$CE$3</f>
        <v>281.52963027844595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-3.4106051316484809E-13</v>
      </c>
      <c r="CU197" s="18">
        <f>CT197*VLOOKUP('Données projet'!$B$13,Paramètres!$A$1:$I$89,3,0)*VLOOKUP('Données projet'!$B$13,Paramètres!$A$1:$I$89,5,0)</f>
        <v>-2.0395418687257919E-13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308.47522272937135</v>
      </c>
      <c r="CZ197" s="62">
        <f t="shared" ref="CZ197:CZ203" si="208">$CZ$3</f>
        <v>302.54354650449721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4.0700119090045533E-2</v>
      </c>
      <c r="DH197" s="23">
        <f>EXP(-LN(2)/2)*DH196+(1-EXP(-LN(2)/2))/(LN(2)/2)*DB197*DE197*VLOOKUP('Données projet'!$B$13,Paramètres!$A$1:$I$89,3,0)*0.475*44/12</f>
        <v>3.5721010863184568E-24</v>
      </c>
      <c r="DI197" s="24">
        <f t="shared" si="175"/>
        <v>4.0700119090045533E-2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-5.6843418860808015E-14</v>
      </c>
      <c r="DP197" s="18">
        <f>DO197*VLOOKUP('Données projet'!$B$14,Paramètres!$A$1:$I$89,3,0)*VLOOKUP('Données projet'!$B$14,Paramètres!$A$1:$I$89,5,0)</f>
        <v>-4.5224624045658861E-14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370.58277541710277</v>
      </c>
      <c r="DU197" s="62">
        <f t="shared" ref="DU197:DU203" si="209">$DU$3</f>
        <v>404.61777090709171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240.22884864766218</v>
      </c>
      <c r="EP197" s="62">
        <f t="shared" ref="EP197:EP203" si="210">$EP$3</f>
        <v>343.23776884143166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0.10911628687070654</v>
      </c>
      <c r="EX197" s="23">
        <f>EXP(-LN(2)/2)*EX196+(1-EXP(-LN(2)/2))/(LN(2)/2)*ER197*EU197*VLOOKUP('Données projet'!$B$15,Paramètres!$A$1:$I$89,3,0)*0.475*44/12</f>
        <v>3.4160118869560839E-24</v>
      </c>
      <c r="EY197" s="24">
        <f t="shared" si="181"/>
        <v>0.10911628687070654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-1.1368683772161603E-13</v>
      </c>
      <c r="FF197" s="18">
        <f>FE197*VLOOKUP('Données projet'!$B$16,Paramètres!$A$1:$I$89,3,0)*VLOOKUP('Données projet'!$B$16,Paramètres!$A$1:$I$89,5,0)</f>
        <v>-5.3205440053716299E-14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399.92909819003523</v>
      </c>
      <c r="FK197" s="62">
        <f t="shared" ref="FK197:FK203" si="211">$FK$3</f>
        <v>163.7053537268381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-5.6843418860808015E-14</v>
      </c>
      <c r="GA197" s="18">
        <f>FZ197*VLOOKUP('Données projet'!$B$17,Paramètres!$A$1:$I$89,3,0)*VLOOKUP('Données projet'!$B$17,Paramètres!$A$1:$I$89,5,0)</f>
        <v>-4.1677594708744434E-14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344.4426665022238</v>
      </c>
      <c r="GF197" s="62">
        <f t="shared" ref="GF197:GF203" si="212">$GF$3</f>
        <v>376.41441893222185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6.8212102632969618E-13</v>
      </c>
      <c r="GV197" s="18">
        <f>GU197*VLOOKUP('Données projet'!$B$18,Paramètres!$A$1:$I$89,3,0)*VLOOKUP('Données projet'!$B$18,Paramètres!$A$1:$I$89,5,0)</f>
        <v>3.2810021366458383E-13</v>
      </c>
      <c r="GW197" s="14">
        <f t="shared" si="188"/>
        <v>4.2923528923937213E-12</v>
      </c>
      <c r="GX197" s="22">
        <f t="shared" si="189"/>
        <v>8.0472891597182151E-12</v>
      </c>
      <c r="GY197" s="62">
        <f t="shared" si="201"/>
        <v>293.33333333334139</v>
      </c>
      <c r="GZ197" s="62">
        <f ca="1">AVERAGE(OFFSET($GY$3,0,0,'Données projet'!$E$18+1,1))-AVERAGE(OFFSET($H$3,0,0,'Données projet'!$E$18+1,1))</f>
        <v>441.17479680509746</v>
      </c>
      <c r="HA197" s="62">
        <f t="shared" ref="HA197:HA203" si="213">$HA$3</f>
        <v>198.56576128410069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-1.9065282685915009E-13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374.79806286316051</v>
      </c>
      <c r="T198" s="62">
        <f t="shared" si="204"/>
        <v>350.01856672839466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7.6069463509346194E-2</v>
      </c>
      <c r="AB198" s="23">
        <f>EXP(-LN(2)/2)*AB197+(1-EXP(-LN(2)/2))/(LN(2)/2)*V198*Y198*VLOOKUP('Données projet'!$B$9,Paramètres!$A$1:$I$89,3,0)*0.475*44/12</f>
        <v>1.3134691342987646E-24</v>
      </c>
      <c r="AC198" s="24">
        <f t="shared" si="163"/>
        <v>7.6069463509346194E-2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-2.8421709430404007E-13</v>
      </c>
      <c r="AJ198" s="14">
        <f>AI198*VLOOKUP('Données projet'!$B$10,Paramètres!$A$1:$I$89,3,0)*VLOOKUP('Données projet'!$B$10,Paramètres!$A$1:$I$89,5,0)</f>
        <v>-2.4829205358400943E-13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401.89597032936751</v>
      </c>
      <c r="AO198" s="62">
        <f t="shared" si="205"/>
        <v>417.85733543972361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-5.1159076974727213E-13</v>
      </c>
      <c r="BE198" s="14">
        <f>BD198*VLOOKUP('Données projet'!$B$11,Paramètres!$A$1:$I$89,3,0)*VLOOKUP('Données projet'!$B$11,Paramètres!$A$1:$I$89,5,0)</f>
        <v>-4.6288732846733184E-13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430.40491895612814</v>
      </c>
      <c r="BJ198" s="62">
        <f t="shared" si="206"/>
        <v>231.36959598460686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-1.0818439477588981E-13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367.11183928586667</v>
      </c>
      <c r="CE198" s="62">
        <f t="shared" si="207"/>
        <v>281.52963027844595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-3.4106051316484809E-13</v>
      </c>
      <c r="CU198" s="18">
        <f>CT198*VLOOKUP('Données projet'!$B$13,Paramètres!$A$1:$I$89,3,0)*VLOOKUP('Données projet'!$B$13,Paramètres!$A$1:$I$89,5,0)</f>
        <v>-2.0395418687257919E-13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308.47522272937135</v>
      </c>
      <c r="CZ198" s="62">
        <f t="shared" si="208"/>
        <v>302.54354650449721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3.9587172193202E-2</v>
      </c>
      <c r="DH198" s="23">
        <f>EXP(-LN(2)/2)*DH197+(1-EXP(-LN(2)/2))/(LN(2)/2)*DB198*DE198*VLOOKUP('Données projet'!$B$13,Paramètres!$A$1:$I$89,3,0)*0.475*44/12</f>
        <v>2.5258569012196138E-24</v>
      </c>
      <c r="DI198" s="24">
        <f t="shared" si="175"/>
        <v>3.9587172193202E-2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-5.6843418860808015E-14</v>
      </c>
      <c r="DP198" s="18">
        <f>DO198*VLOOKUP('Données projet'!$B$14,Paramètres!$A$1:$I$89,3,0)*VLOOKUP('Données projet'!$B$14,Paramètres!$A$1:$I$89,5,0)</f>
        <v>-4.5224624045658861E-14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370.58277541710277</v>
      </c>
      <c r="DU198" s="62">
        <f t="shared" si="209"/>
        <v>404.61777090709171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240.22884864766218</v>
      </c>
      <c r="EP198" s="62">
        <f t="shared" si="210"/>
        <v>343.23776884143166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0.10613249626805094</v>
      </c>
      <c r="EX198" s="23">
        <f>EXP(-LN(2)/2)*EX197+(1-EXP(-LN(2)/2))/(LN(2)/2)*ER198*EU198*VLOOKUP('Données projet'!$B$15,Paramètres!$A$1:$I$89,3,0)*0.475*44/12</f>
        <v>2.4154851698805009E-24</v>
      </c>
      <c r="EY198" s="24">
        <f t="shared" si="181"/>
        <v>0.10613249626805094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-1.1368683772161603E-13</v>
      </c>
      <c r="FF198" s="18">
        <f>FE198*VLOOKUP('Données projet'!$B$16,Paramètres!$A$1:$I$89,3,0)*VLOOKUP('Données projet'!$B$16,Paramètres!$A$1:$I$89,5,0)</f>
        <v>-5.3205440053716299E-14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399.92909819003523</v>
      </c>
      <c r="FK198" s="62">
        <f t="shared" si="211"/>
        <v>163.7053537268381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-5.6843418860808015E-14</v>
      </c>
      <c r="GA198" s="18">
        <f>FZ198*VLOOKUP('Données projet'!$B$17,Paramètres!$A$1:$I$89,3,0)*VLOOKUP('Données projet'!$B$17,Paramètres!$A$1:$I$89,5,0)</f>
        <v>-4.1677594708744434E-14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344.4426665022238</v>
      </c>
      <c r="GF198" s="62">
        <f t="shared" si="212"/>
        <v>376.41441893222185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6.8212102632969618E-13</v>
      </c>
      <c r="GV198" s="18">
        <f>GU198*VLOOKUP('Données projet'!$B$18,Paramètres!$A$1:$I$89,3,0)*VLOOKUP('Données projet'!$B$18,Paramètres!$A$1:$I$89,5,0)</f>
        <v>3.2810021366458383E-13</v>
      </c>
      <c r="GW198" s="14">
        <f t="shared" si="188"/>
        <v>4.2923528923937213E-12</v>
      </c>
      <c r="GX198" s="22">
        <f t="shared" si="189"/>
        <v>8.0472891597182151E-12</v>
      </c>
      <c r="GY198" s="62">
        <f t="shared" si="201"/>
        <v>293.33333333334139</v>
      </c>
      <c r="GZ198" s="62">
        <f ca="1">AVERAGE(OFFSET($GY$3,0,0,'Données projet'!$E$18+1,1))-AVERAGE(OFFSET($H$3,0,0,'Données projet'!$E$18+1,1))</f>
        <v>441.17479680509746</v>
      </c>
      <c r="HA198" s="62">
        <f t="shared" si="213"/>
        <v>198.56576128410069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-1.9065282685915009E-13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374.79806286316051</v>
      </c>
      <c r="T199" s="62">
        <f t="shared" si="204"/>
        <v>350.01856672839466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7.3989340029363901E-2</v>
      </c>
      <c r="AB199" s="23">
        <f>EXP(-LN(2)/2)*AB198+(1-EXP(-LN(2)/2))/(LN(2)/2)*V199*Y199*VLOOKUP('Données projet'!$B$9,Paramètres!$A$1:$I$89,3,0)*0.475*44/12</f>
        <v>9.2876293174188056E-25</v>
      </c>
      <c r="AC199" s="24">
        <f t="shared" si="163"/>
        <v>7.3989340029363901E-2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-2.8421709430404007E-13</v>
      </c>
      <c r="AJ199" s="14">
        <f>AI199*VLOOKUP('Données projet'!$B$10,Paramètres!$A$1:$I$89,3,0)*VLOOKUP('Données projet'!$B$10,Paramètres!$A$1:$I$89,5,0)</f>
        <v>-2.4829205358400943E-13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401.89597032936751</v>
      </c>
      <c r="AO199" s="62">
        <f t="shared" si="205"/>
        <v>417.85733543972361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-5.1159076974727213E-13</v>
      </c>
      <c r="BE199" s="14">
        <f>BD199*VLOOKUP('Données projet'!$B$11,Paramètres!$A$1:$I$89,3,0)*VLOOKUP('Données projet'!$B$11,Paramètres!$A$1:$I$89,5,0)</f>
        <v>-4.6288732846733184E-13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430.40491895612814</v>
      </c>
      <c r="BJ199" s="62">
        <f t="shared" si="206"/>
        <v>231.36959598460686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-1.0818439477588981E-13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367.11183928586667</v>
      </c>
      <c r="CE199" s="62">
        <f t="shared" si="207"/>
        <v>281.52963027844595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-3.4106051316484809E-13</v>
      </c>
      <c r="CU199" s="18">
        <f>CT199*VLOOKUP('Données projet'!$B$13,Paramètres!$A$1:$I$89,3,0)*VLOOKUP('Données projet'!$B$13,Paramètres!$A$1:$I$89,5,0)</f>
        <v>-2.0395418687257919E-13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308.47522272937135</v>
      </c>
      <c r="CZ199" s="62">
        <f t="shared" si="208"/>
        <v>302.54354650449721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3.8504658887779986E-2</v>
      </c>
      <c r="DH199" s="23">
        <f>EXP(-LN(2)/2)*DH198+(1-EXP(-LN(2)/2))/(LN(2)/2)*DB199*DE199*VLOOKUP('Données projet'!$B$13,Paramètres!$A$1:$I$89,3,0)*0.475*44/12</f>
        <v>1.7860505431592284E-24</v>
      </c>
      <c r="DI199" s="24">
        <f t="shared" si="175"/>
        <v>3.8504658887779986E-2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-5.6843418860808015E-14</v>
      </c>
      <c r="DP199" s="18">
        <f>DO199*VLOOKUP('Données projet'!$B$14,Paramètres!$A$1:$I$89,3,0)*VLOOKUP('Données projet'!$B$14,Paramètres!$A$1:$I$89,5,0)</f>
        <v>-4.5224624045658861E-14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370.58277541710277</v>
      </c>
      <c r="DU199" s="62">
        <f t="shared" si="209"/>
        <v>404.61777090709171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240.22884864766218</v>
      </c>
      <c r="EP199" s="62">
        <f t="shared" si="210"/>
        <v>343.23776884143166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0.10323029757633567</v>
      </c>
      <c r="EX199" s="23">
        <f>EXP(-LN(2)/2)*EX198+(1-EXP(-LN(2)/2))/(LN(2)/2)*ER199*EU199*VLOOKUP('Données projet'!$B$15,Paramètres!$A$1:$I$89,3,0)*0.475*44/12</f>
        <v>1.7080059434780419E-24</v>
      </c>
      <c r="EY199" s="24">
        <f t="shared" si="181"/>
        <v>0.10323029757633567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-1.1368683772161603E-13</v>
      </c>
      <c r="FF199" s="18">
        <f>FE199*VLOOKUP('Données projet'!$B$16,Paramètres!$A$1:$I$89,3,0)*VLOOKUP('Données projet'!$B$16,Paramètres!$A$1:$I$89,5,0)</f>
        <v>-5.3205440053716299E-14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399.92909819003523</v>
      </c>
      <c r="FK199" s="62">
        <f t="shared" si="211"/>
        <v>163.7053537268381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-5.6843418860808015E-14</v>
      </c>
      <c r="GA199" s="18">
        <f>FZ199*VLOOKUP('Données projet'!$B$17,Paramètres!$A$1:$I$89,3,0)*VLOOKUP('Données projet'!$B$17,Paramètres!$A$1:$I$89,5,0)</f>
        <v>-4.1677594708744434E-14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344.4426665022238</v>
      </c>
      <c r="GF199" s="62">
        <f t="shared" si="212"/>
        <v>376.41441893222185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6.8212102632969618E-13</v>
      </c>
      <c r="GV199" s="18">
        <f>GU199*VLOOKUP('Données projet'!$B$18,Paramètres!$A$1:$I$89,3,0)*VLOOKUP('Données projet'!$B$18,Paramètres!$A$1:$I$89,5,0)</f>
        <v>3.2810021366458383E-13</v>
      </c>
      <c r="GW199" s="14">
        <f t="shared" si="188"/>
        <v>4.2923528923937213E-12</v>
      </c>
      <c r="GX199" s="22">
        <f t="shared" si="189"/>
        <v>8.0472891597182151E-12</v>
      </c>
      <c r="GY199" s="62">
        <f t="shared" si="201"/>
        <v>293.33333333334139</v>
      </c>
      <c r="GZ199" s="62">
        <f ca="1">AVERAGE(OFFSET($GY$3,0,0,'Données projet'!$E$18+1,1))-AVERAGE(OFFSET($H$3,0,0,'Données projet'!$E$18+1,1))</f>
        <v>441.17479680509746</v>
      </c>
      <c r="HA199" s="62">
        <f t="shared" si="213"/>
        <v>198.56576128410069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-1.9065282685915009E-13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374.79806286316051</v>
      </c>
      <c r="T200" s="62">
        <f t="shared" si="204"/>
        <v>350.01856672839466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7.1966097635330656E-2</v>
      </c>
      <c r="AB200" s="23">
        <f>EXP(-LN(2)/2)*AB199+(1-EXP(-LN(2)/2))/(LN(2)/2)*V200*Y200*VLOOKUP('Données projet'!$B$9,Paramètres!$A$1:$I$89,3,0)*0.475*44/12</f>
        <v>6.5673456714938231E-25</v>
      </c>
      <c r="AC200" s="24">
        <f t="shared" si="163"/>
        <v>7.1966097635330656E-2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-2.8421709430404007E-13</v>
      </c>
      <c r="AJ200" s="14">
        <f>AI200*VLOOKUP('Données projet'!$B$10,Paramètres!$A$1:$I$89,3,0)*VLOOKUP('Données projet'!$B$10,Paramètres!$A$1:$I$89,5,0)</f>
        <v>-2.4829205358400943E-13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401.89597032936751</v>
      </c>
      <c r="AO200" s="62">
        <f t="shared" si="205"/>
        <v>417.85733543972361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-5.1159076974727213E-13</v>
      </c>
      <c r="BE200" s="14">
        <f>BD200*VLOOKUP('Données projet'!$B$11,Paramètres!$A$1:$I$89,3,0)*VLOOKUP('Données projet'!$B$11,Paramètres!$A$1:$I$89,5,0)</f>
        <v>-4.6288732846733184E-13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430.40491895612814</v>
      </c>
      <c r="BJ200" s="62">
        <f t="shared" si="206"/>
        <v>231.36959598460686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-1.0818439477588981E-13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367.11183928586667</v>
      </c>
      <c r="CE200" s="62">
        <f t="shared" si="207"/>
        <v>281.52963027844595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-3.4106051316484809E-13</v>
      </c>
      <c r="CU200" s="18">
        <f>CT200*VLOOKUP('Données projet'!$B$13,Paramètres!$A$1:$I$89,3,0)*VLOOKUP('Données projet'!$B$13,Paramètres!$A$1:$I$89,5,0)</f>
        <v>-2.0395418687257919E-13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308.47522272937135</v>
      </c>
      <c r="CZ200" s="62">
        <f t="shared" si="208"/>
        <v>302.54354650449721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3.7451746965621632E-2</v>
      </c>
      <c r="DH200" s="23">
        <f>EXP(-LN(2)/2)*DH199+(1-EXP(-LN(2)/2))/(LN(2)/2)*DB200*DE200*VLOOKUP('Données projet'!$B$13,Paramètres!$A$1:$I$89,3,0)*0.475*44/12</f>
        <v>1.2629284506098069E-24</v>
      </c>
      <c r="DI200" s="24">
        <f t="shared" si="175"/>
        <v>3.7451746965621632E-2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-5.6843418860808015E-14</v>
      </c>
      <c r="DP200" s="18">
        <f>DO200*VLOOKUP('Données projet'!$B$14,Paramètres!$A$1:$I$89,3,0)*VLOOKUP('Données projet'!$B$14,Paramètres!$A$1:$I$89,5,0)</f>
        <v>-4.5224624045658861E-14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370.58277541710277</v>
      </c>
      <c r="DU200" s="62">
        <f t="shared" si="209"/>
        <v>404.61777090709171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240.22884864766218</v>
      </c>
      <c r="EP200" s="62">
        <f t="shared" si="210"/>
        <v>343.23776884143166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0.10040745966046535</v>
      </c>
      <c r="EX200" s="23">
        <f>EXP(-LN(2)/2)*EX199+(1-EXP(-LN(2)/2))/(LN(2)/2)*ER200*EU200*VLOOKUP('Données projet'!$B$15,Paramètres!$A$1:$I$89,3,0)*0.475*44/12</f>
        <v>1.2077425849402505E-24</v>
      </c>
      <c r="EY200" s="24">
        <f t="shared" si="181"/>
        <v>0.10040745966046535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-1.1368683772161603E-13</v>
      </c>
      <c r="FF200" s="18">
        <f>FE200*VLOOKUP('Données projet'!$B$16,Paramètres!$A$1:$I$89,3,0)*VLOOKUP('Données projet'!$B$16,Paramètres!$A$1:$I$89,5,0)</f>
        <v>-5.3205440053716299E-14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399.92909819003523</v>
      </c>
      <c r="FK200" s="62">
        <f t="shared" si="211"/>
        <v>163.7053537268381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-5.6843418860808015E-14</v>
      </c>
      <c r="GA200" s="18">
        <f>FZ200*VLOOKUP('Données projet'!$B$17,Paramètres!$A$1:$I$89,3,0)*VLOOKUP('Données projet'!$B$17,Paramètres!$A$1:$I$89,5,0)</f>
        <v>-4.1677594708744434E-14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344.4426665022238</v>
      </c>
      <c r="GF200" s="62">
        <f t="shared" si="212"/>
        <v>376.41441893222185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6.8212102632969618E-13</v>
      </c>
      <c r="GV200" s="18">
        <f>GU200*VLOOKUP('Données projet'!$B$18,Paramètres!$A$1:$I$89,3,0)*VLOOKUP('Données projet'!$B$18,Paramètres!$A$1:$I$89,5,0)</f>
        <v>3.2810021366458383E-13</v>
      </c>
      <c r="GW200" s="14">
        <f t="shared" si="188"/>
        <v>4.2923528923937213E-12</v>
      </c>
      <c r="GX200" s="22">
        <f t="shared" si="189"/>
        <v>8.0472891597182151E-12</v>
      </c>
      <c r="GY200" s="62">
        <f t="shared" si="201"/>
        <v>293.33333333334139</v>
      </c>
      <c r="GZ200" s="62">
        <f ca="1">AVERAGE(OFFSET($GY$3,0,0,'Données projet'!$E$18+1,1))-AVERAGE(OFFSET($H$3,0,0,'Données projet'!$E$18+1,1))</f>
        <v>441.17479680509746</v>
      </c>
      <c r="HA200" s="62">
        <f t="shared" si="213"/>
        <v>198.56576128410069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-1.9065282685915009E-13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374.79806286316051</v>
      </c>
      <c r="T201" s="62">
        <f t="shared" si="204"/>
        <v>350.01856672839466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6.999818091095994E-2</v>
      </c>
      <c r="AB201" s="23">
        <f>EXP(-LN(2)/2)*AB200+(1-EXP(-LN(2)/2))/(LN(2)/2)*V201*Y201*VLOOKUP('Données projet'!$B$9,Paramètres!$A$1:$I$89,3,0)*0.475*44/12</f>
        <v>4.6438146587094028E-25</v>
      </c>
      <c r="AC201" s="24">
        <f t="shared" si="163"/>
        <v>6.999818091095994E-2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-2.8421709430404007E-13</v>
      </c>
      <c r="AJ201" s="14">
        <f>AI201*VLOOKUP('Données projet'!$B$10,Paramètres!$A$1:$I$89,3,0)*VLOOKUP('Données projet'!$B$10,Paramètres!$A$1:$I$89,5,0)</f>
        <v>-2.4829205358400943E-13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401.89597032936751</v>
      </c>
      <c r="AO201" s="62">
        <f t="shared" si="205"/>
        <v>417.85733543972361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-5.1159076974727213E-13</v>
      </c>
      <c r="BE201" s="14">
        <f>BD201*VLOOKUP('Données projet'!$B$11,Paramètres!$A$1:$I$89,3,0)*VLOOKUP('Données projet'!$B$11,Paramètres!$A$1:$I$89,5,0)</f>
        <v>-4.6288732846733184E-13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430.40491895612814</v>
      </c>
      <c r="BJ201" s="62">
        <f t="shared" si="206"/>
        <v>231.36959598460686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-1.0818439477588981E-13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367.11183928586667</v>
      </c>
      <c r="CE201" s="62">
        <f t="shared" si="207"/>
        <v>281.52963027844595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-3.4106051316484809E-13</v>
      </c>
      <c r="CU201" s="18">
        <f>CT201*VLOOKUP('Données projet'!$B$13,Paramètres!$A$1:$I$89,3,0)*VLOOKUP('Données projet'!$B$13,Paramètres!$A$1:$I$89,5,0)</f>
        <v>-2.0395418687257919E-13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308.47522272937135</v>
      </c>
      <c r="CZ201" s="62">
        <f t="shared" si="208"/>
        <v>302.54354650449721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3.6427626975344934E-2</v>
      </c>
      <c r="DH201" s="23">
        <f>EXP(-LN(2)/2)*DH200+(1-EXP(-LN(2)/2))/(LN(2)/2)*DB201*DE201*VLOOKUP('Données projet'!$B$13,Paramètres!$A$1:$I$89,3,0)*0.475*44/12</f>
        <v>8.930252715796142E-25</v>
      </c>
      <c r="DI201" s="24">
        <f t="shared" si="175"/>
        <v>3.6427626975344934E-2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-5.6843418860808015E-14</v>
      </c>
      <c r="DP201" s="18">
        <f>DO201*VLOOKUP('Données projet'!$B$14,Paramètres!$A$1:$I$89,3,0)*VLOOKUP('Données projet'!$B$14,Paramètres!$A$1:$I$89,5,0)</f>
        <v>-4.5224624045658861E-14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370.58277541710277</v>
      </c>
      <c r="DU201" s="62">
        <f t="shared" si="209"/>
        <v>404.61777090709171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240.22884864766218</v>
      </c>
      <c r="EP201" s="62">
        <f t="shared" si="210"/>
        <v>343.23776884143166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9.7661812395851103E-2</v>
      </c>
      <c r="EX201" s="23">
        <f>EXP(-LN(2)/2)*EX200+(1-EXP(-LN(2)/2))/(LN(2)/2)*ER201*EU201*VLOOKUP('Données projet'!$B$15,Paramètres!$A$1:$I$89,3,0)*0.475*44/12</f>
        <v>8.5400297173902097E-25</v>
      </c>
      <c r="EY201" s="24">
        <f t="shared" si="181"/>
        <v>9.7661812395851103E-2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-1.1368683772161603E-13</v>
      </c>
      <c r="FF201" s="18">
        <f>FE201*VLOOKUP('Données projet'!$B$16,Paramètres!$A$1:$I$89,3,0)*VLOOKUP('Données projet'!$B$16,Paramètres!$A$1:$I$89,5,0)</f>
        <v>-5.3205440053716299E-14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399.92909819003523</v>
      </c>
      <c r="FK201" s="62">
        <f t="shared" si="211"/>
        <v>163.7053537268381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-5.6843418860808015E-14</v>
      </c>
      <c r="GA201" s="18">
        <f>FZ201*VLOOKUP('Données projet'!$B$17,Paramètres!$A$1:$I$89,3,0)*VLOOKUP('Données projet'!$B$17,Paramètres!$A$1:$I$89,5,0)</f>
        <v>-4.1677594708744434E-14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344.4426665022238</v>
      </c>
      <c r="GF201" s="62">
        <f t="shared" si="212"/>
        <v>376.41441893222185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6.8212102632969618E-13</v>
      </c>
      <c r="GV201" s="18">
        <f>GU201*VLOOKUP('Données projet'!$B$18,Paramètres!$A$1:$I$89,3,0)*VLOOKUP('Données projet'!$B$18,Paramètres!$A$1:$I$89,5,0)</f>
        <v>3.2810021366458383E-13</v>
      </c>
      <c r="GW201" s="14">
        <f t="shared" si="188"/>
        <v>4.2923528923937213E-12</v>
      </c>
      <c r="GX201" s="22">
        <f t="shared" si="189"/>
        <v>8.0472891597182151E-12</v>
      </c>
      <c r="GY201" s="62">
        <f t="shared" si="201"/>
        <v>293.33333333334139</v>
      </c>
      <c r="GZ201" s="62">
        <f ca="1">AVERAGE(OFFSET($GY$3,0,0,'Données projet'!$E$18+1,1))-AVERAGE(OFFSET($H$3,0,0,'Données projet'!$E$18+1,1))</f>
        <v>441.17479680509746</v>
      </c>
      <c r="HA201" s="62">
        <f t="shared" si="213"/>
        <v>198.56576128410069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-1.9065282685915009E-13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374.79806286316051</v>
      </c>
      <c r="T202" s="62">
        <f t="shared" si="204"/>
        <v>350.01856672839466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6.8084076972905389E-2</v>
      </c>
      <c r="AB202" s="23">
        <f>EXP(-LN(2)/2)*AB201+(1-EXP(-LN(2)/2))/(LN(2)/2)*V202*Y202*VLOOKUP('Données projet'!$B$9,Paramètres!$A$1:$I$89,3,0)*0.475*44/12</f>
        <v>3.2836728357469116E-25</v>
      </c>
      <c r="AC202" s="24">
        <f t="shared" si="163"/>
        <v>6.8084076972905389E-2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-2.8421709430404007E-13</v>
      </c>
      <c r="AJ202" s="14">
        <f>AI202*VLOOKUP('Données projet'!$B$10,Paramètres!$A$1:$I$89,3,0)*VLOOKUP('Données projet'!$B$10,Paramètres!$A$1:$I$89,5,0)</f>
        <v>-2.4829205358400943E-13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401.89597032936751</v>
      </c>
      <c r="AO202" s="62">
        <f t="shared" si="205"/>
        <v>417.85733543972361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-5.1159076974727213E-13</v>
      </c>
      <c r="BE202" s="14">
        <f>BD202*VLOOKUP('Données projet'!$B$11,Paramètres!$A$1:$I$89,3,0)*VLOOKUP('Données projet'!$B$11,Paramètres!$A$1:$I$89,5,0)</f>
        <v>-4.6288732846733184E-13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430.40491895612814</v>
      </c>
      <c r="BJ202" s="62">
        <f t="shared" si="206"/>
        <v>231.36959598460686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-1.0818439477588981E-13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367.11183928586667</v>
      </c>
      <c r="CE202" s="62">
        <f t="shared" si="207"/>
        <v>281.52963027844595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-3.4106051316484809E-13</v>
      </c>
      <c r="CU202" s="18">
        <f>CT202*VLOOKUP('Données projet'!$B$13,Paramètres!$A$1:$I$89,3,0)*VLOOKUP('Données projet'!$B$13,Paramètres!$A$1:$I$89,5,0)</f>
        <v>-2.0395418687257919E-13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308.47522272937135</v>
      </c>
      <c r="CZ202" s="62">
        <f t="shared" si="208"/>
        <v>302.54354650449721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3.5431511600058481E-2</v>
      </c>
      <c r="DH202" s="23">
        <f>EXP(-LN(2)/2)*DH201+(1-EXP(-LN(2)/2))/(LN(2)/2)*DB202*DE202*VLOOKUP('Données projet'!$B$13,Paramètres!$A$1:$I$89,3,0)*0.475*44/12</f>
        <v>6.3146422530490346E-25</v>
      </c>
      <c r="DI202" s="24">
        <f t="shared" si="175"/>
        <v>3.5431511600058481E-2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-5.6843418860808015E-14</v>
      </c>
      <c r="DP202" s="18">
        <f>DO202*VLOOKUP('Données projet'!$B$14,Paramètres!$A$1:$I$89,3,0)*VLOOKUP('Données projet'!$B$14,Paramètres!$A$1:$I$89,5,0)</f>
        <v>-4.5224624045658861E-14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370.58277541710277</v>
      </c>
      <c r="DU202" s="62">
        <f t="shared" si="209"/>
        <v>404.61777090709171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240.22884864766218</v>
      </c>
      <c r="EP202" s="62">
        <f t="shared" si="210"/>
        <v>343.23776884143166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9.4991245000075053E-2</v>
      </c>
      <c r="EX202" s="23">
        <f>EXP(-LN(2)/2)*EX201+(1-EXP(-LN(2)/2))/(LN(2)/2)*ER202*EU202*VLOOKUP('Données projet'!$B$15,Paramètres!$A$1:$I$89,3,0)*0.475*44/12</f>
        <v>6.0387129247012524E-25</v>
      </c>
      <c r="EY202" s="24">
        <f t="shared" si="181"/>
        <v>9.4991245000075053E-2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-1.1368683772161603E-13</v>
      </c>
      <c r="FF202" s="18">
        <f>FE202*VLOOKUP('Données projet'!$B$16,Paramètres!$A$1:$I$89,3,0)*VLOOKUP('Données projet'!$B$16,Paramètres!$A$1:$I$89,5,0)</f>
        <v>-5.3205440053716299E-14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399.92909819003523</v>
      </c>
      <c r="FK202" s="62">
        <f t="shared" si="211"/>
        <v>163.7053537268381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-5.6843418860808015E-14</v>
      </c>
      <c r="GA202" s="18">
        <f>FZ202*VLOOKUP('Données projet'!$B$17,Paramètres!$A$1:$I$89,3,0)*VLOOKUP('Données projet'!$B$17,Paramètres!$A$1:$I$89,5,0)</f>
        <v>-4.1677594708744434E-14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344.4426665022238</v>
      </c>
      <c r="GF202" s="62">
        <f t="shared" si="212"/>
        <v>376.41441893222185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6.8212102632969618E-13</v>
      </c>
      <c r="GV202" s="18">
        <f>GU202*VLOOKUP('Données projet'!$B$18,Paramètres!$A$1:$I$89,3,0)*VLOOKUP('Données projet'!$B$18,Paramètres!$A$1:$I$89,5,0)</f>
        <v>3.2810021366458383E-13</v>
      </c>
      <c r="GW202" s="14">
        <f t="shared" si="188"/>
        <v>4.2923528923937213E-12</v>
      </c>
      <c r="GX202" s="22">
        <f t="shared" si="189"/>
        <v>8.0472891597182151E-12</v>
      </c>
      <c r="GY202" s="62">
        <f t="shared" si="201"/>
        <v>293.33333333334139</v>
      </c>
      <c r="GZ202" s="62">
        <f ca="1">AVERAGE(OFFSET($GY$3,0,0,'Données projet'!$E$18+1,1))-AVERAGE(OFFSET($H$3,0,0,'Données projet'!$E$18+1,1))</f>
        <v>441.17479680509746</v>
      </c>
      <c r="HA202" s="62">
        <f t="shared" si="213"/>
        <v>198.56576128410069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-1.9065282685915009E-13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374.79806286316051</v>
      </c>
      <c r="T203" s="62">
        <f t="shared" si="204"/>
        <v>350.01856672839466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6.622231430769529E-2</v>
      </c>
      <c r="AB203" s="23">
        <f>EXP(-LN(2)/2)*AB202+(1-EXP(-LN(2)/2))/(LN(2)/2)*V203*Y203*VLOOKUP('Données projet'!$B$9,Paramètres!$A$1:$I$89,3,0)*0.475*44/12</f>
        <v>2.3219073293547014E-25</v>
      </c>
      <c r="AC203" s="24">
        <f t="shared" si="163"/>
        <v>6.622231430769529E-2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-2.8421709430404007E-13</v>
      </c>
      <c r="AJ203" s="14">
        <f>AI203*VLOOKUP('Données projet'!$B$10,Paramètres!$A$1:$I$89,3,0)*VLOOKUP('Données projet'!$B$10,Paramètres!$A$1:$I$89,5,0)</f>
        <v>-2.4829205358400943E-13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401.89597032936751</v>
      </c>
      <c r="AO203" s="62">
        <f t="shared" si="205"/>
        <v>417.85733543972361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-5.1159076974727213E-13</v>
      </c>
      <c r="BE203" s="14">
        <f>BD203*VLOOKUP('Données projet'!$B$11,Paramètres!$A$1:$I$89,3,0)*VLOOKUP('Données projet'!$B$11,Paramètres!$A$1:$I$89,5,0)</f>
        <v>-4.6288732846733184E-13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430.40491895612814</v>
      </c>
      <c r="BJ203" s="62">
        <f t="shared" si="206"/>
        <v>231.36959598460686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-1.0818439477588981E-13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367.11183928586667</v>
      </c>
      <c r="CE203" s="62">
        <f t="shared" si="207"/>
        <v>281.52963027844595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-3.4106051316484809E-13</v>
      </c>
      <c r="CU203" s="18">
        <f>CT203*VLOOKUP('Données projet'!$B$13,Paramètres!$A$1:$I$89,3,0)*VLOOKUP('Données projet'!$B$13,Paramètres!$A$1:$I$89,5,0)</f>
        <v>-2.0395418687257919E-13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308.47522272937135</v>
      </c>
      <c r="CZ203" s="62">
        <f t="shared" si="208"/>
        <v>302.54354650449721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3.4462635052092669E-2</v>
      </c>
      <c r="DH203" s="23">
        <f>EXP(-LN(2)/2)*DH202+(1-EXP(-LN(2)/2))/(LN(2)/2)*DB203*DE203*VLOOKUP('Données projet'!$B$13,Paramètres!$A$1:$I$89,3,0)*0.475*44/12</f>
        <v>4.465126357898071E-25</v>
      </c>
      <c r="DI203" s="24">
        <f t="shared" si="175"/>
        <v>3.4462635052092669E-2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-5.6843418860808015E-14</v>
      </c>
      <c r="DP203" s="18">
        <f>DO203*VLOOKUP('Données projet'!$B$14,Paramètres!$A$1:$I$89,3,0)*VLOOKUP('Données projet'!$B$14,Paramètres!$A$1:$I$89,5,0)</f>
        <v>-4.5224624045658861E-14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370.58277541710277</v>
      </c>
      <c r="DU203" s="62">
        <f t="shared" si="209"/>
        <v>404.61777090709171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240.22884864766218</v>
      </c>
      <c r="EP203" s="62">
        <f t="shared" si="210"/>
        <v>343.23776884143166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9.2393704410175526E-2</v>
      </c>
      <c r="EX203" s="23">
        <f>EXP(-LN(2)/2)*EX202+(1-EXP(-LN(2)/2))/(LN(2)/2)*ER203*EU203*VLOOKUP('Données projet'!$B$15,Paramètres!$A$1:$I$89,3,0)*0.475*44/12</f>
        <v>4.2700148586951049E-25</v>
      </c>
      <c r="EY203" s="24">
        <f t="shared" si="181"/>
        <v>9.2393704410175526E-2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-1.1368683772161603E-13</v>
      </c>
      <c r="FF203" s="18">
        <f>FE203*VLOOKUP('Données projet'!$B$16,Paramètres!$A$1:$I$89,3,0)*VLOOKUP('Données projet'!$B$16,Paramètres!$A$1:$I$89,5,0)</f>
        <v>-5.3205440053716299E-14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399.92909819003523</v>
      </c>
      <c r="FK203" s="62">
        <f t="shared" si="211"/>
        <v>163.7053537268381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-5.6843418860808015E-14</v>
      </c>
      <c r="GA203" s="18">
        <f>FZ203*VLOOKUP('Données projet'!$B$17,Paramètres!$A$1:$I$89,3,0)*VLOOKUP('Données projet'!$B$17,Paramètres!$A$1:$I$89,5,0)</f>
        <v>-4.1677594708744434E-14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344.4426665022238</v>
      </c>
      <c r="GF203" s="62">
        <f t="shared" si="212"/>
        <v>376.41441893222185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6.8212102632969618E-13</v>
      </c>
      <c r="GV203" s="18">
        <f>GU203*VLOOKUP('Données projet'!$B$18,Paramètres!$A$1:$I$89,3,0)*VLOOKUP('Données projet'!$B$18,Paramètres!$A$1:$I$89,5,0)</f>
        <v>3.2810021366458383E-13</v>
      </c>
      <c r="GW203" s="14">
        <f t="shared" si="188"/>
        <v>4.2923528923937213E-12</v>
      </c>
      <c r="GX203" s="22">
        <f t="shared" si="189"/>
        <v>8.0472891597182151E-12</v>
      </c>
      <c r="GY203" s="62">
        <f t="shared" si="201"/>
        <v>293.33333333334139</v>
      </c>
      <c r="GZ203" s="62">
        <f ca="1">AVERAGE(OFFSET($GY$3,0,0,'Données projet'!$E$18+1,1))-AVERAGE(OFFSET($H$3,0,0,'Données projet'!$E$18+1,1))</f>
        <v>441.17479680509746</v>
      </c>
      <c r="HA203" s="62">
        <f t="shared" si="213"/>
        <v>198.56576128410069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1.289976715395158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1.4269435884576509</v>
      </c>
      <c r="BA205" s="88">
        <f>EXP(LN('Données projet'!B88)/'Données projet'!A88)</f>
        <v>1.2054868146447177</v>
      </c>
      <c r="BV205" s="88">
        <f>EXP(LN('Données projet'!B114)/'Données projet'!A114)</f>
        <v>1.2711106295585217</v>
      </c>
      <c r="CQ205" s="88">
        <f>EXP(LN('Données projet'!B140)/'Données projet'!A140)</f>
        <v>1.3134156586844881</v>
      </c>
      <c r="DL205" s="88">
        <f>EXP(LN('Données projet'!B166)/'Données projet'!A166)</f>
        <v>1.3201926614434671</v>
      </c>
      <c r="EG205" s="88">
        <f>EXP(LN('Données projet'!B192)/'Données projet'!A192)</f>
        <v>1.2997069632623315</v>
      </c>
      <c r="FB205" s="88">
        <f>EXP(LN('Données projet'!B218)/'Données projet'!A218)</f>
        <v>1.1812937373976771</v>
      </c>
      <c r="FW205" s="88">
        <f>EXP(LN('Données projet'!B244)/'Données projet'!A244)</f>
        <v>1.3201926614434671</v>
      </c>
      <c r="GR205" s="88">
        <f>EXP(LN('Données projet'!B270)/'Données projet'!A270)</f>
        <v>1.1820410660448897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9" workbookViewId="0">
      <selection activeCell="C23" sqref="C23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7" zoomScaleNormal="130" workbookViewId="0">
      <selection activeCell="O17" sqref="O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8.9600000000000009</v>
      </c>
      <c r="C6" s="156">
        <f ca="1">IF(OR('Données projet'!B9="",'Données projet'!C9="",'Données projet'!C9=0%),0,Calculateur!S3)</f>
        <v>374.79806286316051</v>
      </c>
      <c r="D6" s="156">
        <f>IF(OR('Données projet'!B9="",'Données projet'!C9="",'Données projet'!C9=0%),0,Calculateur!T3)</f>
        <v>350.01856672839466</v>
      </c>
      <c r="E6" s="156">
        <f ca="1">MIN(C6,D6)</f>
        <v>350.01856672839466</v>
      </c>
      <c r="F6" s="156">
        <f ca="1">E6*B6</f>
        <v>3136.1663578864163</v>
      </c>
      <c r="G6" s="156">
        <f ca="1">F6*(100%-'Données projet'!$C$24)*(100%-'Données projet'!$C$25)*(100%-'Données projet'!$C$26)*(100%-'Données projet'!$C$27)</f>
        <v>2822.549722097775</v>
      </c>
      <c r="H6" s="157">
        <f>IF(OR('Données projet'!B9="",'Données projet'!C9="",'Données projet'!C9=0%),0,AVERAGE(Calculateur!$AC$3:$AC$33)*B6)</f>
        <v>35.975429491546294</v>
      </c>
      <c r="I6" s="158">
        <f>H6*(100%-'Données projet'!$C$24)*(100%-'Données projet'!$C$25)*(100%-'Données projet'!$C$26)*(100%-'Données projet'!$C$27)</f>
        <v>32.377886542391664</v>
      </c>
      <c r="J6" s="159">
        <f>IF(OR('Données projet'!B9="",'Données projet'!C9="",'Données projet'!C9=0%),0,SUM(Calculateur!$V$3:$V$33)*VLOOKUP('Données projet'!$B$9,Paramètres!$A$1:$I$89,9,0)*B6)</f>
        <v>489.30560000000003</v>
      </c>
      <c r="K6" s="160">
        <f>J6*(100%-'Données projet'!$C$24)*(100%-'Données projet'!$C$25)*(100%-'Données projet'!$C$26)*(100%-'Données projet'!$C$27)</f>
        <v>440.37504000000001</v>
      </c>
      <c r="L6" s="161">
        <f ca="1">G6+I6+K6</f>
        <v>3295.3026486401664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1.764</v>
      </c>
      <c r="C7" s="156">
        <f ca="1">IF(OR('Données projet'!B10="",'Données projet'!C10="",'Données projet'!C10=0%),0,Calculateur!AN3)</f>
        <v>401.89597032936751</v>
      </c>
      <c r="D7" s="156">
        <f>IF(OR('Données projet'!B10="",'Données projet'!C10="",'Données projet'!C10=0%),0,Calculateur!AO3)</f>
        <v>417.85733543972361</v>
      </c>
      <c r="E7" s="156">
        <f t="shared" ref="E7:E15" ca="1" si="0">MIN(C7,D7)</f>
        <v>401.89597032936751</v>
      </c>
      <c r="F7" s="156">
        <f t="shared" ref="F7:F15" ca="1" si="1">E7*B7</f>
        <v>708.94449166100435</v>
      </c>
      <c r="G7" s="156">
        <f ca="1">F7*(100%-'Données projet'!$C$24)*(100%-'Données projet'!$C$25)*(100%-'Données projet'!$C$26)*(100%-'Données projet'!$C$27)</f>
        <v>638.05004249490389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53.802</v>
      </c>
      <c r="K7" s="160">
        <f>J7*(100%-'Données projet'!$C$24)*(100%-'Données projet'!$C$25)*(100%-'Données projet'!$C$26)*(100%-'Données projet'!$C$27)</f>
        <v>48.421799999999998</v>
      </c>
      <c r="L7" s="161">
        <f t="shared" ref="L7:L15" ca="1" si="2">G7+I7+K7</f>
        <v>686.47184249490385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1.47525</v>
      </c>
      <c r="C8" s="156">
        <f ca="1">IF(OR('Données projet'!B11="",'Données projet'!C11="",'Données projet'!C11=0%),0,Calculateur!BI3)</f>
        <v>430.40491895612814</v>
      </c>
      <c r="D8" s="156">
        <f>IF(OR('Données projet'!B11="",'Données projet'!C11="",'Données projet'!C11=0%),0,Calculateur!BJ3)</f>
        <v>231.36959598460686</v>
      </c>
      <c r="E8" s="156">
        <f t="shared" ca="1" si="0"/>
        <v>231.36959598460686</v>
      </c>
      <c r="F8" s="156">
        <f t="shared" ca="1" si="1"/>
        <v>341.32799647629128</v>
      </c>
      <c r="G8" s="156">
        <f ca="1">F8*(100%-'Données projet'!$C$24)*(100%-'Données projet'!$C$25)*(100%-'Données projet'!$C$26)*(100%-'Données projet'!$C$27)</f>
        <v>307.19519682866218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2.9504999999999999</v>
      </c>
      <c r="K8" s="160">
        <f>J8*(100%-'Données projet'!$C$24)*(100%-'Données projet'!$C$25)*(100%-'Données projet'!$C$26)*(100%-'Données projet'!$C$27)</f>
        <v>2.6554500000000001</v>
      </c>
      <c r="L8" s="161">
        <f t="shared" ca="1" si="2"/>
        <v>309.85064682866215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Charme</v>
      </c>
      <c r="B9" s="163">
        <f>'Données projet'!D12</f>
        <v>1.2757500000000002</v>
      </c>
      <c r="C9" s="156">
        <f ca="1">IF(OR('Données projet'!B12="",'Données projet'!C12="",'Données projet'!C12=0%),0,Calculateur!CD3)</f>
        <v>367.11183928586667</v>
      </c>
      <c r="D9" s="156">
        <f>IF(OR('Données projet'!B12="",'Données projet'!C12="",'Données projet'!C12=0%),0,Calculateur!CE3)</f>
        <v>281.52963027844595</v>
      </c>
      <c r="E9" s="156">
        <f t="shared" ca="1" si="0"/>
        <v>281.52963027844595</v>
      </c>
      <c r="F9" s="156">
        <f t="shared" ca="1" si="1"/>
        <v>359.16142582772744</v>
      </c>
      <c r="G9" s="156">
        <f ca="1">F9*(100%-'Données projet'!$C$24)*(100%-'Données projet'!$C$25)*(100%-'Données projet'!$C$26)*(100%-'Données projet'!$C$27)</f>
        <v>323.24528324495469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13.493509615384617</v>
      </c>
      <c r="K9" s="160">
        <f>J9*(100%-'Données projet'!$C$24)*(100%-'Données projet'!$C$25)*(100%-'Données projet'!$C$26)*(100%-'Données projet'!$C$27)</f>
        <v>12.144158653846157</v>
      </c>
      <c r="L9" s="161">
        <f t="shared" ca="1" si="2"/>
        <v>335.38944189880084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Pin laricio</v>
      </c>
      <c r="B10" s="163">
        <f>'Données projet'!D13</f>
        <v>1.0727500000000001</v>
      </c>
      <c r="C10" s="156">
        <f ca="1">IF(OR('Données projet'!B13="",'Données projet'!C13="",'Données projet'!C13=0%),0,Calculateur!CY3)</f>
        <v>308.47522272937135</v>
      </c>
      <c r="D10" s="156">
        <f>IF(OR('Données projet'!B13="",'Données projet'!C13="",'Données projet'!C13=0%),0,Calculateur!CZ3)</f>
        <v>302.54354650449721</v>
      </c>
      <c r="E10" s="156">
        <f t="shared" ca="1" si="0"/>
        <v>302.54354650449721</v>
      </c>
      <c r="F10" s="156">
        <f t="shared" ca="1" si="1"/>
        <v>324.55358951269943</v>
      </c>
      <c r="G10" s="156">
        <f ca="1">F10*(100%-'Données projet'!$C$24)*(100%-'Données projet'!$C$25)*(100%-'Données projet'!$C$26)*(100%-'Données projet'!$C$27)</f>
        <v>292.09823056142949</v>
      </c>
      <c r="H10" s="164">
        <f>IF(OR('Données projet'!B13="",'Données projet'!C13="",'Données projet'!C13=0%),0,AVERAGE(Calculateur!$DI$3:$DI$33)*B10)</f>
        <v>2.3855716814438699</v>
      </c>
      <c r="I10" s="158">
        <f>H10*(100%-'Données projet'!$C$24)*(100%-'Données projet'!$C$25)*(100%-'Données projet'!$C$26)*(100%-'Données projet'!$C$27)</f>
        <v>2.1470145132994829</v>
      </c>
      <c r="J10" s="159">
        <f>IF(OR('Données projet'!B13="",'Données projet'!C13="",'Données projet'!C13=0%),0,SUM(Calculateur!$DB$3:$DB$33)*VLOOKUP('Données projet'!$B$13,Paramètres!$A$1:$I$89,9,0)*B10)</f>
        <v>55.353900000000003</v>
      </c>
      <c r="K10" s="160">
        <f>J10*(100%-'Données projet'!$C$24)*(100%-'Données projet'!$C$25)*(100%-'Données projet'!$C$26)*(100%-'Données projet'!$C$27)</f>
        <v>49.818510000000003</v>
      </c>
      <c r="L10" s="161">
        <f t="shared" ca="1" si="2"/>
        <v>344.06375507472899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Erable sycomore</v>
      </c>
      <c r="B11" s="163">
        <f>'Données projet'!D14</f>
        <v>0.89600000000000002</v>
      </c>
      <c r="C11" s="156">
        <f ca="1">IF(OR('Données projet'!B14="",'Données projet'!C14="",'Données projet'!C14=0%),0,Calculateur!DT3)</f>
        <v>370.58277541710277</v>
      </c>
      <c r="D11" s="156">
        <f>IF(OR('Données projet'!B14="",'Données projet'!C14="",'Données projet'!C14=0%),0,Calculateur!DU3)</f>
        <v>404.61777090709171</v>
      </c>
      <c r="E11" s="156">
        <f t="shared" ca="1" si="0"/>
        <v>370.58277541710277</v>
      </c>
      <c r="F11" s="156">
        <f t="shared" ca="1" si="1"/>
        <v>332.04216677372409</v>
      </c>
      <c r="G11" s="156">
        <f ca="1">F11*(100%-'Données projet'!$C$24)*(100%-'Données projet'!$C$25)*(100%-'Données projet'!$C$26)*(100%-'Données projet'!$C$27)</f>
        <v>298.83795009635168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30.576000000000001</v>
      </c>
      <c r="K11" s="160">
        <f>J11*(100%-'Données projet'!$C$24)*(100%-'Données projet'!$C$25)*(100%-'Données projet'!$C$26)*(100%-'Données projet'!$C$27)</f>
        <v>27.5184</v>
      </c>
      <c r="L11" s="161">
        <f t="shared" ca="1" si="2"/>
        <v>326.35635009635166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Mélèze d'Europe</v>
      </c>
      <c r="B12" s="163">
        <f>'Données projet'!D15</f>
        <v>0.84</v>
      </c>
      <c r="C12" s="156">
        <f ca="1">IF(OR('Données projet'!B15="",'Données projet'!C15="",'Données projet'!C15=0%),0,Calculateur!EO3)</f>
        <v>240.22884864766218</v>
      </c>
      <c r="D12" s="156">
        <f>IF(OR('Données projet'!B15="",'Données projet'!C15="",'Données projet'!C15=0%),0,Calculateur!EP3)</f>
        <v>343.23776884143166</v>
      </c>
      <c r="E12" s="156">
        <f t="shared" ca="1" si="0"/>
        <v>240.22884864766218</v>
      </c>
      <c r="F12" s="156">
        <f t="shared" ca="1" si="1"/>
        <v>201.79223286403621</v>
      </c>
      <c r="G12" s="156">
        <f ca="1">F12*(100%-'Données projet'!$C$24)*(100%-'Données projet'!$C$25)*(100%-'Données projet'!$C$26)*(100%-'Données projet'!$C$27)</f>
        <v>181.6130095776326</v>
      </c>
      <c r="H12" s="164">
        <f>IF(OR('Données projet'!B15="",'Données projet'!C15="",'Données projet'!C15=0%),0,AVERAGE(Calculateur!$EY$3:$EY$33)*B12)</f>
        <v>3.2813253019299626</v>
      </c>
      <c r="I12" s="158">
        <f>H12*(100%-'Données projet'!$C$24)*(100%-'Données projet'!$C$25)*(100%-'Données projet'!$C$26)*(100%-'Données projet'!$C$27)</f>
        <v>2.9531927717369664</v>
      </c>
      <c r="J12" s="159">
        <f>IF(OR('Données projet'!B15="",'Données projet'!C15="",'Données projet'!C15=0%),0,SUM(Calculateur!$ER$3:$ER$33)*VLOOKUP('Données projet'!$B$15,Paramètres!$A$1:$I$89,9,0)*B12)</f>
        <v>46.233599999999996</v>
      </c>
      <c r="K12" s="160">
        <f>J12*(100%-'Données projet'!$C$24)*(100%-'Données projet'!$C$25)*(100%-'Données projet'!$C$26)*(100%-'Données projet'!$C$27)</f>
        <v>41.610239999999997</v>
      </c>
      <c r="L12" s="161">
        <f t="shared" ca="1" si="2"/>
        <v>226.17644234936958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Cèdre de l'Atlas</v>
      </c>
      <c r="B13" s="163">
        <f>'Données projet'!D16</f>
        <v>0.60024999999999995</v>
      </c>
      <c r="C13" s="156">
        <f ca="1">IF(OR('Données projet'!B16="",'Données projet'!C16="",'Données projet'!C16=0%),0,Calculateur!FJ3)</f>
        <v>399.92909819003523</v>
      </c>
      <c r="D13" s="156">
        <f>IF(OR('Données projet'!B16="",'Données projet'!C16="",'Données projet'!C16=0%),0,Calculateur!FK3)</f>
        <v>163.7053537268381</v>
      </c>
      <c r="E13" s="156">
        <f t="shared" ca="1" si="0"/>
        <v>163.7053537268381</v>
      </c>
      <c r="F13" s="156">
        <f t="shared" ca="1" si="1"/>
        <v>98.264138574534556</v>
      </c>
      <c r="G13" s="156">
        <f ca="1">F13*(100%-'Données projet'!$C$24)*(100%-'Données projet'!$C$25)*(100%-'Données projet'!$C$26)*(100%-'Données projet'!$C$27)</f>
        <v>88.437724717081096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ca="1" si="2"/>
        <v>88.437724717081096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Châtaignier</v>
      </c>
      <c r="B14" s="163">
        <f>'Données projet'!D17</f>
        <v>0.40075</v>
      </c>
      <c r="C14" s="156">
        <f ca="1">IF(OR('Données projet'!B17="",'Données projet'!C17="",'Données projet'!C17=0%),0,Calculateur!GE3)</f>
        <v>344.4426665022238</v>
      </c>
      <c r="D14" s="156">
        <f>IF(OR('Données projet'!B17="",'Données projet'!C17="",'Données projet'!C17=0%),0,Calculateur!GF3)</f>
        <v>376.41441893222185</v>
      </c>
      <c r="E14" s="156">
        <f t="shared" ca="1" si="0"/>
        <v>344.4426665022238</v>
      </c>
      <c r="F14" s="156">
        <f t="shared" ca="1" si="1"/>
        <v>138.0353986007662</v>
      </c>
      <c r="G14" s="156">
        <f ca="1">F14*(100%-'Données projet'!$C$24)*(100%-'Données projet'!$C$25)*(100%-'Données projet'!$C$26)*(100%-'Données projet'!$C$27)</f>
        <v>124.23185874068959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13.675593749999999</v>
      </c>
      <c r="K14" s="160">
        <f>J14*(100%-'Données projet'!$C$24)*(100%-'Données projet'!$C$25)*(100%-'Données projet'!$C$26)*(100%-'Données projet'!$C$27)</f>
        <v>12.308034375</v>
      </c>
      <c r="L14" s="161">
        <f t="shared" ca="1" si="2"/>
        <v>136.53989311568958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>Sapin méditerranéen</v>
      </c>
      <c r="B15" s="166">
        <f>'Données projet'!D18</f>
        <v>0.18024999999999999</v>
      </c>
      <c r="C15" s="167">
        <f ca="1">IF(OR('Données projet'!B18="",'Données projet'!C18="",'Données projet'!C18=0%),0,Calculateur!GZ3)</f>
        <v>441.17479680509746</v>
      </c>
      <c r="D15" s="167">
        <f>IF(OR('Données projet'!B18="",'Données projet'!C18="",'Données projet'!C18=0%),0,Calculateur!HA3)</f>
        <v>198.56576128410069</v>
      </c>
      <c r="E15" s="167">
        <f t="shared" ca="1" si="0"/>
        <v>198.56576128410069</v>
      </c>
      <c r="F15" s="168">
        <f t="shared" ca="1" si="1"/>
        <v>35.791478471459151</v>
      </c>
      <c r="G15" s="168">
        <f ca="1">F15*(100%-'Données projet'!$C$24)*(100%-'Données projet'!$C$25)*(100%-'Données projet'!$C$26)*(100%-'Données projet'!$C$27)</f>
        <v>32.212330624313239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ca="1" si="2"/>
        <v>32.212330624313239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5676.0792766486593</v>
      </c>
      <c r="G16" s="175">
        <f t="shared" ca="1" si="3"/>
        <v>5108.4713489837941</v>
      </c>
      <c r="H16" s="176">
        <f t="shared" si="3"/>
        <v>41.642326474920125</v>
      </c>
      <c r="I16" s="176">
        <f t="shared" si="3"/>
        <v>37.478093827428111</v>
      </c>
      <c r="J16" s="177">
        <f t="shared" si="3"/>
        <v>705.39070336538464</v>
      </c>
      <c r="K16" s="177">
        <f t="shared" si="3"/>
        <v>634.85163302884621</v>
      </c>
      <c r="L16" s="178">
        <f t="shared" ca="1" si="3"/>
        <v>5780.8010758400678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Charme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Pin laricio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Erable sycomore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Mélèze d'Europe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Cèdre de l'Atlas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Châtaignier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>Sapin méditerranéen</v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J4" zoomScale="111" zoomScaleNormal="90" workbookViewId="0">
      <selection activeCell="H21" sqref="H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4833.8133563729625</v>
      </c>
      <c r="U10" s="190">
        <f>'Données projet'!D9</f>
        <v>8.9600000000000009</v>
      </c>
      <c r="V10" s="189">
        <f>U10*T10</f>
        <v>43310.967673101746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1493.2766568312495</v>
      </c>
      <c r="U11" s="190">
        <f>'Données projet'!D10</f>
        <v>1.764</v>
      </c>
      <c r="V11" s="189">
        <f>U11*T11</f>
        <v>2634.1400226503242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607.23340659864175</v>
      </c>
      <c r="U12" s="190">
        <f>'Données projet'!D11</f>
        <v>1.47525</v>
      </c>
      <c r="V12" s="189">
        <f t="shared" ref="V12:V19" si="0">U12*T12</f>
        <v>895.82108308464626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Charme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477.36304590841013</v>
      </c>
      <c r="U13" s="190">
        <f>'Données projet'!D12</f>
        <v>1.2757500000000002</v>
      </c>
      <c r="V13" s="189">
        <f t="shared" si="0"/>
        <v>608.99590581765426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laricio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3376.3324731664484</v>
      </c>
      <c r="U14" s="190">
        <f>'Données projet'!D13</f>
        <v>1.0727500000000001</v>
      </c>
      <c r="V14" s="189">
        <f t="shared" si="0"/>
        <v>3621.9606605893077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-177.6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Erable sycomore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2483.1810386718594</v>
      </c>
      <c r="U15" s="190">
        <f>'Données projet'!D14</f>
        <v>0.89600000000000002</v>
      </c>
      <c r="V15" s="189">
        <f t="shared" si="0"/>
        <v>2224.9302106499858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Mélèze d'Europe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3982.4838141368582</v>
      </c>
      <c r="U16" s="190">
        <f>'Données projet'!D15</f>
        <v>0.84</v>
      </c>
      <c r="V16" s="189">
        <f t="shared" si="0"/>
        <v>3345.2864038749608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Cèdre de l'Atlas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2566.3720480395841</v>
      </c>
      <c r="U17" s="190">
        <f>'Données projet'!D16</f>
        <v>0.60024999999999995</v>
      </c>
      <c r="V17" s="189">
        <f t="shared" si="0"/>
        <v>1540.4648218357602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>Châtaignier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2377.8416470875909</v>
      </c>
      <c r="U18" s="190">
        <f>'Données projet'!D17</f>
        <v>0.40075</v>
      </c>
      <c r="V18" s="189">
        <f t="shared" si="0"/>
        <v>952.920040070352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>Sapin méditerranéen</v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2050.132985492955</v>
      </c>
      <c r="U19" s="190">
        <f>'Données projet'!D18</f>
        <v>0.18024999999999999</v>
      </c>
      <c r="V19" s="189">
        <f t="shared" si="0"/>
        <v>369.5364706351051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4799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21</v>
      </c>
      <c r="B23" s="193">
        <f>'Données projet'!D36</f>
        <v>63</v>
      </c>
      <c r="C23" s="206">
        <v>15</v>
      </c>
      <c r="D23" s="194">
        <f>B23*C23</f>
        <v>945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-27585.476707690163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28</v>
      </c>
      <c r="B24" s="193">
        <f>'Données projet'!D37</f>
        <v>64</v>
      </c>
      <c r="C24" s="206">
        <v>20</v>
      </c>
      <c r="D24" s="194">
        <f t="shared" ref="D24:D42" si="1">B24*C24</f>
        <v>1280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37487.873181191608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73</v>
      </c>
      <c r="C25" s="206">
        <v>25</v>
      </c>
      <c r="D25" s="194">
        <f t="shared" si="1"/>
        <v>1825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99</v>
      </c>
      <c r="Q25" s="265"/>
      <c r="R25" s="25"/>
      <c r="S25" s="198" t="s">
        <v>266</v>
      </c>
      <c r="T25" s="341">
        <f ca="1">T23-T24</f>
        <v>-65073.34988888177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42</v>
      </c>
      <c r="B26" s="193">
        <f>'Données projet'!D39</f>
        <v>77</v>
      </c>
      <c r="C26" s="206">
        <v>35</v>
      </c>
      <c r="D26" s="194">
        <f t="shared" si="1"/>
        <v>2695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49</v>
      </c>
      <c r="B27" s="193">
        <f>'Données projet'!D40</f>
        <v>80</v>
      </c>
      <c r="C27" s="206">
        <v>40</v>
      </c>
      <c r="D27" s="194">
        <f t="shared" si="1"/>
        <v>3200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56</v>
      </c>
      <c r="B28" s="193">
        <f>'Données projet'!D41</f>
        <v>85</v>
      </c>
      <c r="C28" s="206">
        <v>50</v>
      </c>
      <c r="D28" s="194">
        <f t="shared" si="1"/>
        <v>4250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63</v>
      </c>
      <c r="B29" s="193">
        <f>'Données projet'!D42</f>
        <v>84</v>
      </c>
      <c r="C29" s="206">
        <v>50</v>
      </c>
      <c r="D29" s="194">
        <f t="shared" si="1"/>
        <v>4200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70</v>
      </c>
      <c r="B30" s="193">
        <f>'Données projet'!D43</f>
        <v>551</v>
      </c>
      <c r="C30" s="204">
        <v>90</v>
      </c>
      <c r="D30" s="194">
        <f t="shared" si="1"/>
        <v>49590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2142.1641817823775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1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1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1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2">$P$25/(1+$M$4)^O33</f>
        <v>99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1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2"/>
        <v>94.736842105263165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1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2"/>
        <v>90.657265172500644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1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2"/>
        <v>86.753363801436024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1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2"/>
        <v>83.017573015728274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1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2"/>
        <v>79.44265360356772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1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2"/>
        <v>76.021678089538511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1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2"/>
        <v>72.748017310563171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1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2"/>
        <v>69.615327569916928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1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2"/>
        <v>66.617538344418122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2"/>
        <v>63.748840520974284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2"/>
        <v>61.003675139688312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2"/>
        <v>58.376722621711316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2"/>
        <v>55.862892460967764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2"/>
        <v>53.457313359777778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2"/>
        <v>51.155323789261026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2"/>
        <v>48.952462956230669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2"/>
        <v>46.844462159072407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2"/>
        <v>44.827236515858772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2"/>
        <v>42.896877048668685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2"/>
        <v>41.049643108773871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2"/>
        <v>39.281955128013266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0</v>
      </c>
      <c r="C55" s="204"/>
      <c r="D55" s="191">
        <f t="shared" ref="D55:D73" si="3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2"/>
        <v>37.590387682309363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59</v>
      </c>
      <c r="C56" s="204">
        <v>10</v>
      </c>
      <c r="D56" s="191">
        <f t="shared" si="3"/>
        <v>590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2"/>
        <v>35.971662853884553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0</v>
      </c>
      <c r="C57" s="204"/>
      <c r="D57" s="191">
        <f t="shared" si="3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2"/>
        <v>34.422643879315373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63</v>
      </c>
      <c r="C58" s="204">
        <v>15</v>
      </c>
      <c r="D58" s="191">
        <f t="shared" si="3"/>
        <v>945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2"/>
        <v>32.940329071115187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0</v>
      </c>
      <c r="C59" s="204"/>
      <c r="D59" s="191">
        <f t="shared" si="3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2"/>
        <v>31.521846001067175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63</v>
      </c>
      <c r="C60" s="204">
        <v>15</v>
      </c>
      <c r="D60" s="191">
        <f t="shared" si="3"/>
        <v>945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2"/>
        <v>30.164445934035573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0</v>
      </c>
      <c r="C61" s="204"/>
      <c r="D61" s="191">
        <f t="shared" si="3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2"/>
        <v>28.865498501469453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58</v>
      </c>
      <c r="C62" s="204">
        <v>20</v>
      </c>
      <c r="D62" s="191">
        <f t="shared" si="3"/>
        <v>1160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2"/>
        <v>27.622486604276986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55</v>
      </c>
      <c r="B63" s="193">
        <f>'Données projet'!D71</f>
        <v>0</v>
      </c>
      <c r="C63" s="204"/>
      <c r="D63" s="191">
        <f t="shared" si="3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2"/>
        <v>26.433001535193299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60</v>
      </c>
      <c r="B64" s="193">
        <f>'Données projet'!D72</f>
        <v>50</v>
      </c>
      <c r="C64" s="204">
        <v>30</v>
      </c>
      <c r="D64" s="191">
        <f t="shared" si="3"/>
        <v>1500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2"/>
        <v>25.294738311189754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65</v>
      </c>
      <c r="B65" s="193">
        <f>'Données projet'!D73</f>
        <v>0</v>
      </c>
      <c r="C65" s="204"/>
      <c r="D65" s="191">
        <f t="shared" si="3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4">$P$25/(1+$M$4)^O65</f>
        <v>24.205491206880161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70</v>
      </c>
      <c r="B66" s="193">
        <f>'Données projet'!D74</f>
        <v>43</v>
      </c>
      <c r="C66" s="204">
        <v>40</v>
      </c>
      <c r="D66" s="191">
        <f t="shared" si="3"/>
        <v>1720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4"/>
        <v>23.1631494802681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75</v>
      </c>
      <c r="B67" s="193">
        <f>'Données projet'!D75</f>
        <v>0</v>
      </c>
      <c r="C67" s="204"/>
      <c r="D67" s="191">
        <f t="shared" si="3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4"/>
        <v>22.165693282553207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80</v>
      </c>
      <c r="B68" s="193">
        <f>'Données projet'!D76</f>
        <v>36</v>
      </c>
      <c r="C68" s="204">
        <v>50</v>
      </c>
      <c r="D68" s="191">
        <f t="shared" si="3"/>
        <v>1800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4"/>
        <v>21.211189744070055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85</v>
      </c>
      <c r="B69" s="193">
        <f>'Données projet'!D77</f>
        <v>0</v>
      </c>
      <c r="C69" s="204"/>
      <c r="D69" s="191">
        <f t="shared" si="3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4"/>
        <v>20.297789228775176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90</v>
      </c>
      <c r="B70" s="193">
        <f>'Données projet'!D78</f>
        <v>30</v>
      </c>
      <c r="C70" s="204">
        <v>80</v>
      </c>
      <c r="D70" s="191">
        <f t="shared" si="3"/>
        <v>2400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4"/>
        <v>19.423721750024093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95</v>
      </c>
      <c r="B71" s="193">
        <f>'Données projet'!D79</f>
        <v>0</v>
      </c>
      <c r="C71" s="204"/>
      <c r="D71" s="191">
        <f t="shared" si="3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4"/>
        <v>18.587293540692915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100</v>
      </c>
      <c r="B72" s="193">
        <f>'Données projet'!D80</f>
        <v>286</v>
      </c>
      <c r="C72" s="204">
        <v>120</v>
      </c>
      <c r="D72" s="191">
        <f t="shared" si="3"/>
        <v>34320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4"/>
        <v>17.786883770998006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3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4"/>
        <v>17.020941407653599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4"/>
        <v>16.287982208280955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4"/>
        <v>15.586585845244937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4"/>
        <v>14.915393153344437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4"/>
        <v>14.273103496023387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4"/>
        <v>13.658472244998455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4"/>
        <v>13.070308368419578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4"/>
        <v>12.507472122889547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4"/>
        <v>11.968872844870384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4"/>
        <v>11.45346683719654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4"/>
        <v>10.960255346599563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4"/>
        <v>10.48828262832494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4"/>
        <v>10.036634094090854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8</v>
      </c>
      <c r="C86" s="204">
        <v>10</v>
      </c>
      <c r="D86" s="191">
        <f t="shared" ref="D86:D104" si="5">B86*C86</f>
        <v>80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4"/>
        <v>9.6044345397998612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0</v>
      </c>
      <c r="C87" s="204"/>
      <c r="D87" s="191">
        <f t="shared" si="5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4"/>
        <v>9.1908464495692481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42</v>
      </c>
      <c r="C88" s="204">
        <v>10</v>
      </c>
      <c r="D88" s="191">
        <f t="shared" si="5"/>
        <v>420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4"/>
        <v>8.795068372793537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0</v>
      </c>
      <c r="C89" s="204"/>
      <c r="D89" s="191">
        <f t="shared" si="5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4"/>
        <v>8.4163333710942965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42</v>
      </c>
      <c r="C90" s="204">
        <v>10</v>
      </c>
      <c r="D90" s="191">
        <f t="shared" si="5"/>
        <v>420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4"/>
        <v>8.0539075321476528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0</v>
      </c>
      <c r="C91" s="204"/>
      <c r="D91" s="191">
        <f t="shared" si="5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4"/>
        <v>7.7070885475097173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42</v>
      </c>
      <c r="C92" s="204">
        <v>20</v>
      </c>
      <c r="D92" s="191">
        <f t="shared" si="5"/>
        <v>840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4"/>
        <v>7.3752043516839407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0</v>
      </c>
      <c r="C93" s="204"/>
      <c r="D93" s="191">
        <f t="shared" si="5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4"/>
        <v>7.0576118197932454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42</v>
      </c>
      <c r="C94" s="204">
        <v>30</v>
      </c>
      <c r="D94" s="191">
        <f t="shared" si="5"/>
        <v>1260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4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0</v>
      </c>
      <c r="C95" s="204"/>
      <c r="D95" s="191">
        <f t="shared" si="5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4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42</v>
      </c>
      <c r="C96" s="204">
        <v>40</v>
      </c>
      <c r="D96" s="191">
        <f t="shared" si="5"/>
        <v>1680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4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42</v>
      </c>
      <c r="C97" s="204">
        <v>50</v>
      </c>
      <c r="D97" s="191">
        <f t="shared" si="5"/>
        <v>2100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6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95</v>
      </c>
      <c r="B98" s="193">
        <f>'Données projet'!D101</f>
        <v>42</v>
      </c>
      <c r="C98" s="204">
        <v>50</v>
      </c>
      <c r="D98" s="191">
        <f t="shared" si="5"/>
        <v>2100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6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105</v>
      </c>
      <c r="B99" s="193">
        <f>'Données projet'!D102</f>
        <v>41</v>
      </c>
      <c r="C99" s="204">
        <v>50</v>
      </c>
      <c r="D99" s="191">
        <f t="shared" si="5"/>
        <v>2050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6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115</v>
      </c>
      <c r="B100" s="193">
        <f>'Données projet'!D103</f>
        <v>37</v>
      </c>
      <c r="C100" s="204">
        <v>70</v>
      </c>
      <c r="D100" s="191">
        <f t="shared" si="5"/>
        <v>2590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6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125</v>
      </c>
      <c r="B101" s="193">
        <f>'Données projet'!D104</f>
        <v>33</v>
      </c>
      <c r="C101" s="204">
        <v>100</v>
      </c>
      <c r="D101" s="191">
        <f t="shared" si="5"/>
        <v>3300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6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135</v>
      </c>
      <c r="B102" s="193">
        <f>'Données projet'!D105</f>
        <v>29</v>
      </c>
      <c r="C102" s="204">
        <v>120</v>
      </c>
      <c r="D102" s="191">
        <f t="shared" si="5"/>
        <v>3480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6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145</v>
      </c>
      <c r="B103" s="193">
        <f>'Données projet'!D106</f>
        <v>0</v>
      </c>
      <c r="C103" s="204"/>
      <c r="D103" s="191">
        <f t="shared" si="5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6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150</v>
      </c>
      <c r="B104" s="193">
        <f>'Données projet'!D107</f>
        <v>306</v>
      </c>
      <c r="C104" s="204">
        <v>200</v>
      </c>
      <c r="D104" s="191">
        <f t="shared" si="5"/>
        <v>61200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6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6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6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Charme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6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6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6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6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6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6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6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6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6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6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16.666666666666668</v>
      </c>
      <c r="C117" s="204">
        <v>10</v>
      </c>
      <c r="D117" s="191">
        <f t="shared" ref="D117:D135" si="7">B117*C117</f>
        <v>166.66666666666669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6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0</v>
      </c>
      <c r="C118" s="204"/>
      <c r="D118" s="191">
        <f t="shared" si="7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6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25.641025641025639</v>
      </c>
      <c r="C119" s="204">
        <v>10</v>
      </c>
      <c r="D119" s="191">
        <f t="shared" si="7"/>
        <v>256.41025641025641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6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0</v>
      </c>
      <c r="C120" s="204"/>
      <c r="D120" s="191">
        <f t="shared" si="7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6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28.846153846153847</v>
      </c>
      <c r="C121" s="204">
        <v>15</v>
      </c>
      <c r="D121" s="191">
        <f t="shared" si="7"/>
        <v>432.69230769230768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6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0</v>
      </c>
      <c r="C122" s="204"/>
      <c r="D122" s="191">
        <f t="shared" si="7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6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30.769230769230766</v>
      </c>
      <c r="C123" s="204">
        <v>15</v>
      </c>
      <c r="D123" s="191">
        <f t="shared" si="7"/>
        <v>461.53846153846149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6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0</v>
      </c>
      <c r="C124" s="204"/>
      <c r="D124" s="191">
        <f t="shared" si="7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6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29.487179487179485</v>
      </c>
      <c r="C125" s="204">
        <v>20</v>
      </c>
      <c r="D125" s="191">
        <f t="shared" si="7"/>
        <v>589.74358974358972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6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0</v>
      </c>
      <c r="C126" s="204"/>
      <c r="D126" s="191">
        <f t="shared" si="7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6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28.846153846153847</v>
      </c>
      <c r="C127" s="204">
        <v>25</v>
      </c>
      <c r="D127" s="191">
        <f t="shared" si="7"/>
        <v>721.15384615384619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6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75</v>
      </c>
      <c r="B128" s="193">
        <f>'Données projet'!D126</f>
        <v>0</v>
      </c>
      <c r="C128" s="204"/>
      <c r="D128" s="191">
        <f t="shared" si="7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6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80</v>
      </c>
      <c r="B129" s="193">
        <f>'Données projet'!D127</f>
        <v>27.564102564102562</v>
      </c>
      <c r="C129" s="204">
        <v>30</v>
      </c>
      <c r="D129" s="191">
        <f t="shared" si="7"/>
        <v>826.92307692307691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85</v>
      </c>
      <c r="B130" s="193">
        <f>'Données projet'!D128</f>
        <v>0</v>
      </c>
      <c r="C130" s="204"/>
      <c r="D130" s="191">
        <f t="shared" si="7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>$P$25/(1+$M$4)^O130</f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90</v>
      </c>
      <c r="B131" s="193">
        <f>'Données projet'!D129</f>
        <v>25.641025641025639</v>
      </c>
      <c r="C131" s="204">
        <v>35</v>
      </c>
      <c r="D131" s="191">
        <f t="shared" si="7"/>
        <v>897.43589743589735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>$P$25/(1+$M$4)^O131</f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95</v>
      </c>
      <c r="B132" s="193">
        <f>'Données projet'!D130</f>
        <v>0</v>
      </c>
      <c r="C132" s="204"/>
      <c r="D132" s="191">
        <f t="shared" si="7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>$P$25/(1+$M$4)^O132</f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100</v>
      </c>
      <c r="B133" s="193">
        <f>'Données projet'!D131</f>
        <v>23.717948717948715</v>
      </c>
      <c r="C133" s="204">
        <v>40</v>
      </c>
      <c r="D133" s="191">
        <f t="shared" si="7"/>
        <v>948.71794871794862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0</v>
      </c>
      <c r="C134" s="204"/>
      <c r="D134" s="191">
        <f t="shared" si="7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120</v>
      </c>
      <c r="B135" s="193">
        <f>'Données projet'!D133</f>
        <v>282.05128205128204</v>
      </c>
      <c r="C135" s="204">
        <v>60</v>
      </c>
      <c r="D135" s="191">
        <f t="shared" si="7"/>
        <v>16923.076923076922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Pin laricio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17</v>
      </c>
      <c r="B147" s="187">
        <f>'Données projet'!D140</f>
        <v>15</v>
      </c>
      <c r="C147" s="204">
        <v>10</v>
      </c>
      <c r="D147" s="194">
        <f>B147*C147</f>
        <v>150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15</v>
      </c>
      <c r="C148" s="204">
        <v>10</v>
      </c>
      <c r="D148" s="194">
        <f t="shared" ref="D148:D166" si="8">B148*C148</f>
        <v>150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36</v>
      </c>
      <c r="C149" s="204">
        <v>15</v>
      </c>
      <c r="D149" s="194">
        <f t="shared" si="8"/>
        <v>540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54</v>
      </c>
      <c r="C150" s="204">
        <v>20</v>
      </c>
      <c r="D150" s="194">
        <f t="shared" si="8"/>
        <v>1080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52</v>
      </c>
      <c r="C151" s="204">
        <v>25</v>
      </c>
      <c r="D151" s="194">
        <f t="shared" si="8"/>
        <v>1300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48</v>
      </c>
      <c r="C152" s="204">
        <v>30</v>
      </c>
      <c r="D152" s="194">
        <f t="shared" si="8"/>
        <v>1440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57</v>
      </c>
      <c r="C153" s="204">
        <v>35</v>
      </c>
      <c r="D153" s="194">
        <f t="shared" si="8"/>
        <v>1995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47</v>
      </c>
      <c r="C154" s="204">
        <v>40</v>
      </c>
      <c r="D154" s="194">
        <f t="shared" si="8"/>
        <v>1880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47</v>
      </c>
      <c r="C155" s="204">
        <v>40</v>
      </c>
      <c r="D155" s="194">
        <f t="shared" si="8"/>
        <v>1880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32</v>
      </c>
      <c r="C156" s="204">
        <v>40</v>
      </c>
      <c r="D156" s="194">
        <f t="shared" si="8"/>
        <v>1280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527</v>
      </c>
      <c r="C157" s="204">
        <v>50</v>
      </c>
      <c r="D157" s="194">
        <f t="shared" si="8"/>
        <v>26350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8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8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8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8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8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8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8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8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8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Erable sycomore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15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20</v>
      </c>
      <c r="B179" s="193">
        <f>'Données projet'!D167</f>
        <v>66.5</v>
      </c>
      <c r="C179" s="206">
        <v>10</v>
      </c>
      <c r="D179" s="191">
        <f t="shared" ref="D179:D197" si="9">B179*C179</f>
        <v>665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25</v>
      </c>
      <c r="B180" s="193">
        <f>'Données projet'!D168</f>
        <v>0</v>
      </c>
      <c r="C180" s="206"/>
      <c r="D180" s="191">
        <f t="shared" si="9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30</v>
      </c>
      <c r="B181" s="193">
        <f>'Données projet'!D169</f>
        <v>70</v>
      </c>
      <c r="C181" s="206">
        <v>20</v>
      </c>
      <c r="D181" s="191">
        <f t="shared" si="9"/>
        <v>1400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35</v>
      </c>
      <c r="B182" s="193">
        <f>'Données projet'!D170</f>
        <v>0</v>
      </c>
      <c r="C182" s="206"/>
      <c r="D182" s="191">
        <f t="shared" si="9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40</v>
      </c>
      <c r="B183" s="193">
        <f>'Données projet'!D171</f>
        <v>70</v>
      </c>
      <c r="C183" s="206">
        <v>25</v>
      </c>
      <c r="D183" s="191">
        <f t="shared" si="9"/>
        <v>1750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45</v>
      </c>
      <c r="B184" s="193">
        <f>'Données projet'!D172</f>
        <v>0</v>
      </c>
      <c r="C184" s="206"/>
      <c r="D184" s="191">
        <f t="shared" si="9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50</v>
      </c>
      <c r="B185" s="193">
        <f>'Données projet'!D173</f>
        <v>43.099999999999994</v>
      </c>
      <c r="C185" s="206">
        <v>30</v>
      </c>
      <c r="D185" s="191">
        <f t="shared" si="9"/>
        <v>1292.9999999999998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55</v>
      </c>
      <c r="B186" s="193">
        <f>'Données projet'!D174</f>
        <v>0</v>
      </c>
      <c r="C186" s="206"/>
      <c r="D186" s="191">
        <f t="shared" si="9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60</v>
      </c>
      <c r="B187" s="193">
        <f>'Données projet'!D175</f>
        <v>30.2</v>
      </c>
      <c r="C187" s="206">
        <v>50</v>
      </c>
      <c r="D187" s="191">
        <f t="shared" si="9"/>
        <v>1510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65</v>
      </c>
      <c r="B188" s="193">
        <f>'Données projet'!D176</f>
        <v>0</v>
      </c>
      <c r="C188" s="206"/>
      <c r="D188" s="191">
        <f t="shared" si="9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70</v>
      </c>
      <c r="B189" s="193">
        <f>'Données projet'!D177</f>
        <v>25.9</v>
      </c>
      <c r="C189" s="206">
        <v>60</v>
      </c>
      <c r="D189" s="191">
        <f t="shared" si="9"/>
        <v>1554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75</v>
      </c>
      <c r="B190" s="193">
        <f>'Données projet'!D178</f>
        <v>0</v>
      </c>
      <c r="C190" s="206"/>
      <c r="D190" s="191">
        <f t="shared" si="9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80</v>
      </c>
      <c r="B191" s="193">
        <f>'Données projet'!D179</f>
        <v>341.3</v>
      </c>
      <c r="C191" s="206">
        <v>120</v>
      </c>
      <c r="D191" s="191">
        <f t="shared" si="9"/>
        <v>40956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9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9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9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9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9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9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Mélèze d'Europe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18</v>
      </c>
      <c r="B209" s="193">
        <f>'Données projet'!D192</f>
        <v>20</v>
      </c>
      <c r="C209" s="206">
        <v>10</v>
      </c>
      <c r="D209" s="191">
        <f>B209*C209</f>
        <v>200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21</v>
      </c>
      <c r="B210" s="193">
        <f>'Données projet'!D193</f>
        <v>26</v>
      </c>
      <c r="C210" s="206">
        <v>10</v>
      </c>
      <c r="D210" s="191">
        <f t="shared" ref="D210:D228" si="10">B210*C210</f>
        <v>260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24</v>
      </c>
      <c r="B211" s="193">
        <f>'Données projet'!D194</f>
        <v>29</v>
      </c>
      <c r="C211" s="206">
        <v>20</v>
      </c>
      <c r="D211" s="191">
        <f t="shared" si="10"/>
        <v>580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30</v>
      </c>
      <c r="B212" s="193">
        <f>'Données projet'!D195</f>
        <v>53</v>
      </c>
      <c r="C212" s="206">
        <v>30</v>
      </c>
      <c r="D212" s="191">
        <f t="shared" si="10"/>
        <v>1590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36</v>
      </c>
      <c r="B213" s="193">
        <f>'Données projet'!D196</f>
        <v>62</v>
      </c>
      <c r="C213" s="206">
        <v>40</v>
      </c>
      <c r="D213" s="191">
        <f t="shared" si="10"/>
        <v>2480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42</v>
      </c>
      <c r="B214" s="193">
        <f>'Données projet'!D197</f>
        <v>67</v>
      </c>
      <c r="C214" s="206">
        <v>50</v>
      </c>
      <c r="D214" s="191">
        <f t="shared" si="10"/>
        <v>3350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48</v>
      </c>
      <c r="B215" s="193">
        <f>'Données projet'!D198</f>
        <v>65</v>
      </c>
      <c r="C215" s="206">
        <v>50</v>
      </c>
      <c r="D215" s="191">
        <f t="shared" si="10"/>
        <v>3250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60</v>
      </c>
      <c r="B216" s="193">
        <f>'Données projet'!D199</f>
        <v>304</v>
      </c>
      <c r="C216" s="206">
        <v>80</v>
      </c>
      <c r="D216" s="191">
        <f t="shared" si="10"/>
        <v>24320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0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0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0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0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0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0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0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0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0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0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0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0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Cèdre de l'Atlas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20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30</v>
      </c>
      <c r="B241" s="193">
        <f>'Données projet'!D219</f>
        <v>0</v>
      </c>
      <c r="C241" s="206"/>
      <c r="D241" s="191">
        <f t="shared" ref="D241:D259" si="11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40</v>
      </c>
      <c r="B242" s="193">
        <f>'Données projet'!D220</f>
        <v>91</v>
      </c>
      <c r="C242" s="206">
        <v>25</v>
      </c>
      <c r="D242" s="191">
        <f t="shared" si="11"/>
        <v>2275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50</v>
      </c>
      <c r="B243" s="193">
        <f>'Données projet'!D221</f>
        <v>91</v>
      </c>
      <c r="C243" s="206">
        <v>25</v>
      </c>
      <c r="D243" s="191">
        <f t="shared" si="11"/>
        <v>2275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60</v>
      </c>
      <c r="B244" s="193">
        <f>'Données projet'!D222</f>
        <v>112</v>
      </c>
      <c r="C244" s="206">
        <v>40</v>
      </c>
      <c r="D244" s="191">
        <f t="shared" si="11"/>
        <v>4480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70</v>
      </c>
      <c r="B245" s="193">
        <f>'Données projet'!D223</f>
        <v>109</v>
      </c>
      <c r="C245" s="206">
        <v>50</v>
      </c>
      <c r="D245" s="191">
        <f t="shared" si="11"/>
        <v>5450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80</v>
      </c>
      <c r="B246" s="193">
        <f>'Données projet'!D224</f>
        <v>110</v>
      </c>
      <c r="C246" s="206">
        <v>60</v>
      </c>
      <c r="D246" s="191">
        <f t="shared" si="11"/>
        <v>6600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90</v>
      </c>
      <c r="B247" s="193">
        <f>'Données projet'!D225</f>
        <v>97</v>
      </c>
      <c r="C247" s="206">
        <v>60</v>
      </c>
      <c r="D247" s="191">
        <f t="shared" si="11"/>
        <v>5820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100</v>
      </c>
      <c r="B248" s="193">
        <f>'Données projet'!D226</f>
        <v>855</v>
      </c>
      <c r="C248" s="206">
        <v>100</v>
      </c>
      <c r="D248" s="191">
        <f t="shared" si="11"/>
        <v>85500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1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1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1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1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1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1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1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1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1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1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1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Châtaignier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15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20</v>
      </c>
      <c r="B272" s="193">
        <f>'Données projet'!D245</f>
        <v>66.5</v>
      </c>
      <c r="C272" s="206">
        <v>10</v>
      </c>
      <c r="D272" s="191">
        <f t="shared" ref="D272:D290" si="12">B272*C272</f>
        <v>665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25</v>
      </c>
      <c r="B273" s="193">
        <f>'Données projet'!D246</f>
        <v>0</v>
      </c>
      <c r="C273" s="206"/>
      <c r="D273" s="191">
        <f t="shared" si="12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30</v>
      </c>
      <c r="B274" s="193">
        <f>'Données projet'!D247</f>
        <v>70</v>
      </c>
      <c r="C274" s="206">
        <v>15</v>
      </c>
      <c r="D274" s="191">
        <f t="shared" si="12"/>
        <v>1050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35</v>
      </c>
      <c r="B275" s="193">
        <f>'Données projet'!D248</f>
        <v>0</v>
      </c>
      <c r="C275" s="206"/>
      <c r="D275" s="191">
        <f t="shared" si="12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40</v>
      </c>
      <c r="B276" s="193">
        <f>'Données projet'!D249</f>
        <v>70</v>
      </c>
      <c r="C276" s="206">
        <v>25</v>
      </c>
      <c r="D276" s="191">
        <f t="shared" si="12"/>
        <v>1750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45</v>
      </c>
      <c r="B277" s="193">
        <f>'Données projet'!D250</f>
        <v>0</v>
      </c>
      <c r="C277" s="206"/>
      <c r="D277" s="191">
        <f t="shared" si="12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50</v>
      </c>
      <c r="B278" s="193">
        <f>'Données projet'!D251</f>
        <v>43.099999999999994</v>
      </c>
      <c r="C278" s="206">
        <v>30</v>
      </c>
      <c r="D278" s="191">
        <f t="shared" si="12"/>
        <v>1292.9999999999998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55</v>
      </c>
      <c r="B279" s="193">
        <f>'Données projet'!D252</f>
        <v>0</v>
      </c>
      <c r="C279" s="206"/>
      <c r="D279" s="191">
        <f t="shared" si="12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60</v>
      </c>
      <c r="B280" s="193">
        <f>'Données projet'!D253</f>
        <v>30.2</v>
      </c>
      <c r="C280" s="206">
        <v>50</v>
      </c>
      <c r="D280" s="191">
        <f t="shared" si="12"/>
        <v>1510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65</v>
      </c>
      <c r="B281" s="193">
        <f>'Données projet'!D254</f>
        <v>0</v>
      </c>
      <c r="C281" s="206"/>
      <c r="D281" s="191">
        <f t="shared" si="12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70</v>
      </c>
      <c r="B282" s="193">
        <f>'Données projet'!D255</f>
        <v>25.9</v>
      </c>
      <c r="C282" s="206">
        <v>50</v>
      </c>
      <c r="D282" s="191">
        <f t="shared" si="12"/>
        <v>1295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75</v>
      </c>
      <c r="B283" s="193">
        <f>'Données projet'!D256</f>
        <v>0</v>
      </c>
      <c r="C283" s="206"/>
      <c r="D283" s="191">
        <f t="shared" si="12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80</v>
      </c>
      <c r="B284" s="193">
        <f>'Données projet'!D257</f>
        <v>341.3</v>
      </c>
      <c r="C284" s="206">
        <v>120</v>
      </c>
      <c r="D284" s="191">
        <f t="shared" si="12"/>
        <v>40956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2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2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2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2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2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2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>Sapin méditerranéen</v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30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40</v>
      </c>
      <c r="B303" s="193">
        <f>'Données projet'!D271</f>
        <v>92</v>
      </c>
      <c r="C303" s="206">
        <v>15</v>
      </c>
      <c r="D303" s="194">
        <f t="shared" ref="D303:D321" si="13">B303*C303</f>
        <v>1380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50</v>
      </c>
      <c r="B304" s="193">
        <f>'Données projet'!D272</f>
        <v>78</v>
      </c>
      <c r="C304" s="206">
        <v>20</v>
      </c>
      <c r="D304" s="194">
        <f t="shared" si="13"/>
        <v>1560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60</v>
      </c>
      <c r="B305" s="193">
        <f>'Données projet'!D273</f>
        <v>65</v>
      </c>
      <c r="C305" s="206">
        <v>30</v>
      </c>
      <c r="D305" s="194">
        <f t="shared" si="13"/>
        <v>1950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70</v>
      </c>
      <c r="B306" s="193">
        <f>'Données projet'!D274</f>
        <v>53</v>
      </c>
      <c r="C306" s="206">
        <v>40</v>
      </c>
      <c r="D306" s="194">
        <f t="shared" si="13"/>
        <v>2120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80</v>
      </c>
      <c r="B307" s="193">
        <f>'Données projet'!D275</f>
        <v>45</v>
      </c>
      <c r="C307" s="206">
        <v>50</v>
      </c>
      <c r="D307" s="194">
        <f t="shared" si="13"/>
        <v>2250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90</v>
      </c>
      <c r="B308" s="193">
        <f>'Données projet'!D276</f>
        <v>34</v>
      </c>
      <c r="C308" s="206">
        <v>60</v>
      </c>
      <c r="D308" s="194">
        <f t="shared" si="13"/>
        <v>2040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100</v>
      </c>
      <c r="B309" s="193">
        <f>'Données projet'!D277</f>
        <v>1253</v>
      </c>
      <c r="C309" s="206">
        <v>100</v>
      </c>
      <c r="D309" s="194">
        <f t="shared" si="13"/>
        <v>125300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6">
        <v>80</v>
      </c>
      <c r="D310" s="194">
        <f t="shared" si="13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3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3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3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3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3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3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3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3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3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3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3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2022-04-13T10:45:39Z</dcterms:modified>
</cp:coreProperties>
</file>