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La Poste\62 - Réseau (Eperlecques - La Poste n° 19)\Dossier labellisation\"/>
    </mc:Choice>
  </mc:AlternateContent>
  <bookViews>
    <workbookView xWindow="0" yWindow="0" windowWidth="17970" windowHeight="768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9" i="1" l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B168" i="1"/>
  <c r="D199" i="1" l="1"/>
  <c r="D192" i="1"/>
  <c r="D101" i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D227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EC4" i="2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FQ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H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G75" i="2"/>
  <c r="HH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HG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FS140" i="2"/>
  <c r="FR140" i="2"/>
  <c r="HH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R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D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B156" i="2"/>
  <c r="EY155" i="2"/>
  <c r="HI156" i="2"/>
  <c r="FS156" i="2"/>
  <c r="EX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EY159" i="2"/>
  <c r="HH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A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Y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Y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HH167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Y168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EY171" i="2"/>
  <c r="HG172" i="2"/>
  <c r="HI172" i="2"/>
  <c r="EW172" i="2"/>
  <c r="EV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J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FS178" i="2"/>
  <c r="FQ178" i="2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8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EY186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HJ189" i="2" s="1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D192" i="2"/>
  <c r="EA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A195" i="2"/>
  <c r="EY194" i="2"/>
  <c r="FQ195" i="2"/>
  <c r="HI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EV199" i="2"/>
  <c r="EW199" i="2"/>
  <c r="FS199" i="2"/>
  <c r="HG199" i="2"/>
  <c r="EA199" i="2"/>
  <c r="HI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G201" i="2"/>
  <c r="HJ200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W202" i="2"/>
  <c r="EX202" i="2"/>
  <c r="EY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114" i="2" a="1"/>
  <c r="BC114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78" i="2" a="1"/>
  <c r="EI178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DN38" i="2" l="1" a="1"/>
  <c r="DN38" i="2" s="1"/>
  <c r="DN110" i="2" a="1"/>
  <c r="DN110" i="2" s="1"/>
  <c r="DN45" i="2" a="1"/>
  <c r="DN45" i="2" s="1"/>
  <c r="DN155" i="2" a="1"/>
  <c r="DN155" i="2" s="1"/>
  <c r="DN135" i="2" a="1"/>
  <c r="DN135" i="2" s="1"/>
  <c r="DN132" i="2" a="1"/>
  <c r="DN132" i="2" s="1"/>
  <c r="DN30" i="2" a="1"/>
  <c r="DN30" i="2" s="1"/>
  <c r="DN187" i="2" a="1"/>
  <c r="DN187" i="2" s="1"/>
  <c r="DN46" i="2" a="1"/>
  <c r="DN46" i="2" s="1"/>
  <c r="DN55" i="2" a="1"/>
  <c r="DN55" i="2" s="1"/>
  <c r="DN150" i="2" a="1"/>
  <c r="DN150" i="2" s="1"/>
  <c r="DN190" i="2" a="1"/>
  <c r="DN190" i="2" s="1"/>
  <c r="DN115" i="2" a="1"/>
  <c r="DN115" i="2" s="1"/>
  <c r="DN50" i="2" a="1"/>
  <c r="DN50" i="2" s="1"/>
  <c r="DN31" i="2" a="1"/>
  <c r="DN31" i="2" s="1"/>
  <c r="DN153" i="2" a="1"/>
  <c r="DN153" i="2" s="1"/>
  <c r="DN176" i="2" a="1"/>
  <c r="DN176" i="2" s="1"/>
  <c r="DN167" i="2" a="1"/>
  <c r="DN167" i="2" s="1"/>
  <c r="DN114" i="2" a="1"/>
  <c r="DN114" i="2" s="1"/>
  <c r="DN192" i="2" a="1"/>
  <c r="DN192" i="2" s="1"/>
  <c r="DN113" i="2" a="1"/>
  <c r="DN113" i="2" s="1"/>
  <c r="DN16" i="2" a="1"/>
  <c r="DN16" i="2" s="1"/>
  <c r="DN80" i="2" a="1"/>
  <c r="DN80" i="2" s="1"/>
  <c r="DN103" i="2" a="1"/>
  <c r="DN103" i="2" s="1"/>
  <c r="DN66" i="2" a="1"/>
  <c r="DN66" i="2" s="1"/>
  <c r="DN29" i="2" a="1"/>
  <c r="DN29" i="2" s="1"/>
  <c r="DN133" i="2" a="1"/>
  <c r="DN133" i="2" s="1"/>
  <c r="DN162" i="2" a="1"/>
  <c r="DN162" i="2" s="1"/>
  <c r="DN188" i="2" a="1"/>
  <c r="DN188" i="2" s="1"/>
  <c r="DN65" i="2" a="1"/>
  <c r="DN65" i="2" s="1"/>
  <c r="DN49" i="2" a="1"/>
  <c r="DN49" i="2" s="1"/>
  <c r="DN168" i="2" a="1"/>
  <c r="DN168" i="2" s="1"/>
  <c r="DN63" i="2" a="1"/>
  <c r="DN63" i="2" s="1"/>
  <c r="DN86" i="2" a="1"/>
  <c r="DN86" i="2" s="1"/>
  <c r="DN70" i="2" a="1"/>
  <c r="DN70" i="2" s="1"/>
  <c r="DN164" i="2" a="1"/>
  <c r="DN164" i="2" s="1"/>
  <c r="DN123" i="2" a="1"/>
  <c r="DN123" i="2" s="1"/>
  <c r="DN177" i="2" a="1"/>
  <c r="DN177" i="2" s="1"/>
  <c r="DN152" i="2" a="1"/>
  <c r="DN152" i="2" s="1"/>
  <c r="DN41" i="2" a="1"/>
  <c r="DN41" i="2" s="1"/>
  <c r="DN137" i="2" a="1"/>
  <c r="DN137" i="2" s="1"/>
  <c r="DN170" i="2" a="1"/>
  <c r="DN170" i="2" s="1"/>
  <c r="DN129" i="2" a="1"/>
  <c r="DN129" i="2" s="1"/>
  <c r="DN56" i="2" a="1"/>
  <c r="DN56" i="2" s="1"/>
  <c r="DN43" i="2" a="1"/>
  <c r="DN43" i="2" s="1"/>
  <c r="DN186" i="2" a="1"/>
  <c r="DN186" i="2" s="1"/>
  <c r="DN25" i="2" a="1"/>
  <c r="DN25" i="2" s="1"/>
  <c r="DN184" i="2" a="1"/>
  <c r="DN184" i="2" s="1"/>
  <c r="DN124" i="2" a="1"/>
  <c r="DN124" i="2" s="1"/>
  <c r="EI162" i="2" a="1"/>
  <c r="EI162" i="2" s="1"/>
  <c r="EI29" i="2" a="1"/>
  <c r="EI29" i="2" s="1"/>
  <c r="EI71" i="2" a="1"/>
  <c r="EI71" i="2" s="1"/>
  <c r="EI142" i="2" a="1"/>
  <c r="EI142" i="2" s="1"/>
  <c r="EI145" i="2" a="1"/>
  <c r="EI145" i="2" s="1"/>
  <c r="EI153" i="2" a="1"/>
  <c r="EI153" i="2" s="1"/>
  <c r="EI166" i="2" a="1"/>
  <c r="EI166" i="2" s="1"/>
  <c r="EI150" i="2" a="1"/>
  <c r="EI150" i="2" s="1"/>
  <c r="EI106" i="2" a="1"/>
  <c r="EI106" i="2" s="1"/>
  <c r="BC65" i="2" a="1"/>
  <c r="BC65" i="2" s="1"/>
  <c r="BC126" i="2" a="1"/>
  <c r="BC126" i="2" s="1"/>
  <c r="BC82" i="2" a="1"/>
  <c r="BC82" i="2" s="1"/>
  <c r="FD194" i="2" a="1"/>
  <c r="FD194" i="2" s="1"/>
  <c r="FD19" i="2" a="1"/>
  <c r="FD19" i="2" s="1"/>
  <c r="FD107" i="2" a="1"/>
  <c r="FD107" i="2" s="1"/>
  <c r="FD167" i="2" a="1"/>
  <c r="FD167" i="2" s="1"/>
  <c r="FD187" i="2" a="1"/>
  <c r="FD187" i="2" s="1"/>
  <c r="FD189" i="2" a="1"/>
  <c r="FD189" i="2" s="1"/>
  <c r="FD14" i="2" a="1"/>
  <c r="FD14" i="2" s="1"/>
  <c r="FD160" i="2" a="1"/>
  <c r="FD160" i="2" s="1"/>
  <c r="FD137" i="2" a="1"/>
  <c r="FD137" i="2" s="1"/>
  <c r="FD159" i="2" a="1"/>
  <c r="FD159" i="2" s="1"/>
  <c r="FD60" i="2" a="1"/>
  <c r="FD60" i="2" s="1"/>
  <c r="FD59" i="2" a="1"/>
  <c r="FD59" i="2" s="1"/>
  <c r="FD131" i="2" a="1"/>
  <c r="FD131" i="2" s="1"/>
  <c r="FD43" i="2" a="1"/>
  <c r="FD43" i="2" s="1"/>
  <c r="FD64" i="2" a="1"/>
  <c r="FD64" i="2" s="1"/>
  <c r="FD144" i="2" a="1"/>
  <c r="FD144" i="2" s="1"/>
  <c r="FD21" i="2" a="1"/>
  <c r="FD21" i="2" s="1"/>
  <c r="FD48" i="2" a="1"/>
  <c r="FD48" i="2" s="1"/>
  <c r="FD44" i="2" a="1"/>
  <c r="FD44" i="2" s="1"/>
  <c r="FD188" i="2" a="1"/>
  <c r="FD188" i="2" s="1"/>
  <c r="FR203" i="2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5" i="2" l="1"/>
  <c r="GZ80" i="2"/>
  <c r="GZ180" i="2"/>
  <c r="GZ143" i="2"/>
  <c r="GZ114" i="2"/>
  <c r="GZ97" i="2"/>
  <c r="GZ178" i="2"/>
  <c r="GZ142" i="2"/>
  <c r="GZ32" i="2"/>
  <c r="GZ84" i="2"/>
  <c r="GZ33" i="2"/>
  <c r="GZ201" i="2"/>
  <c r="GZ115" i="2"/>
  <c r="GZ30" i="2"/>
  <c r="GZ76" i="2"/>
  <c r="GZ144" i="2"/>
  <c r="GZ85" i="2"/>
  <c r="GZ92" i="2"/>
  <c r="GZ88" i="2"/>
  <c r="GZ37" i="2"/>
  <c r="GZ68" i="2"/>
  <c r="GZ159" i="2"/>
  <c r="GZ51" i="2"/>
  <c r="GZ130" i="2"/>
  <c r="GZ20" i="2"/>
  <c r="GZ103" i="2"/>
  <c r="GZ192" i="2"/>
  <c r="GZ9" i="2"/>
  <c r="GZ198" i="2"/>
  <c r="GZ45" i="2"/>
  <c r="GZ14" i="2"/>
  <c r="GZ163" i="2"/>
  <c r="GZ12" i="2"/>
  <c r="GZ52" i="2"/>
  <c r="GZ15" i="2"/>
  <c r="GZ54" i="2"/>
  <c r="GZ10" i="2"/>
  <c r="GZ189" i="2"/>
  <c r="GZ168" i="2"/>
  <c r="GZ109" i="2"/>
  <c r="GZ36" i="2"/>
  <c r="GZ117" i="2"/>
  <c r="GZ50" i="2"/>
  <c r="GZ35" i="2"/>
  <c r="GZ79" i="2"/>
  <c r="GZ128" i="2"/>
  <c r="GZ120" i="2"/>
  <c r="GZ125" i="2"/>
  <c r="GZ94" i="2"/>
  <c r="GZ177" i="2"/>
  <c r="GZ13" i="2"/>
  <c r="GZ19" i="2"/>
  <c r="GZ48" i="2"/>
  <c r="GZ87" i="2"/>
  <c r="GZ67" i="2"/>
  <c r="GZ26" i="2"/>
  <c r="GZ133" i="2"/>
  <c r="GZ193" i="2"/>
  <c r="GZ17" i="2"/>
  <c r="GZ95" i="2"/>
  <c r="GZ98" i="2"/>
  <c r="GZ203" i="2"/>
  <c r="GZ72" i="2"/>
  <c r="GZ69" i="2"/>
  <c r="GZ122" i="2"/>
  <c r="GZ64" i="2"/>
  <c r="GZ44" i="2"/>
  <c r="GZ8" i="2"/>
  <c r="GZ148" i="2"/>
  <c r="GZ5" i="2"/>
  <c r="GZ96" i="2"/>
  <c r="GZ110" i="2"/>
  <c r="GZ58" i="2"/>
  <c r="GZ24" i="2"/>
  <c r="GZ132" i="2"/>
  <c r="GZ29" i="2"/>
  <c r="GZ170" i="2"/>
  <c r="GZ47" i="2"/>
  <c r="GZ102" i="2"/>
  <c r="GZ129" i="2"/>
  <c r="GZ141" i="2"/>
  <c r="GZ82" i="2"/>
  <c r="GZ22" i="2"/>
  <c r="GZ81" i="2"/>
  <c r="GZ27" i="2"/>
  <c r="GZ112" i="2"/>
  <c r="GZ195" i="2"/>
  <c r="GZ119" i="2"/>
  <c r="GZ188" i="2"/>
  <c r="GZ31" i="2"/>
  <c r="GZ174" i="2"/>
  <c r="GZ77" i="2"/>
  <c r="GZ139" i="2"/>
  <c r="GZ134" i="2"/>
  <c r="GZ59" i="2"/>
  <c r="GZ191" i="2"/>
  <c r="GZ89" i="2"/>
  <c r="GZ179" i="2"/>
  <c r="GZ25" i="2"/>
  <c r="GZ140" i="2"/>
  <c r="GZ28" i="2"/>
  <c r="GZ171" i="2"/>
  <c r="GZ83" i="2"/>
  <c r="GZ91" i="2"/>
  <c r="GZ158" i="2"/>
  <c r="GZ90" i="2"/>
  <c r="GZ43" i="2"/>
  <c r="GZ106" i="2"/>
  <c r="GZ107" i="2"/>
  <c r="GZ137" i="2"/>
  <c r="GZ101" i="2"/>
  <c r="GZ66" i="2"/>
  <c r="GZ127" i="2"/>
  <c r="GZ39" i="2"/>
  <c r="GZ145" i="2"/>
  <c r="GZ75" i="2"/>
  <c r="GZ124" i="2"/>
  <c r="GZ49" i="2"/>
  <c r="GZ196" i="2"/>
  <c r="GZ53" i="2"/>
  <c r="GZ173" i="2"/>
  <c r="GZ108" i="2"/>
  <c r="GZ200" i="2"/>
  <c r="GZ34" i="2"/>
  <c r="GZ86" i="2"/>
  <c r="GZ167" i="2"/>
  <c r="GZ65" i="2"/>
  <c r="GZ176" i="2"/>
  <c r="GZ160" i="2"/>
  <c r="GZ46" i="2"/>
  <c r="GZ202" i="2"/>
  <c r="GZ154" i="2"/>
  <c r="GZ57" i="2"/>
  <c r="GZ4" i="2"/>
  <c r="GZ111" i="2"/>
  <c r="GZ61" i="2"/>
  <c r="GZ131" i="2"/>
  <c r="GZ190" i="2"/>
  <c r="GZ197" i="2"/>
  <c r="GZ135" i="2"/>
  <c r="GZ7" i="2"/>
  <c r="GZ63" i="2"/>
  <c r="GZ104" i="2"/>
  <c r="GZ42" i="2"/>
  <c r="GZ150" i="2"/>
  <c r="GZ21" i="2"/>
  <c r="GZ100" i="2"/>
  <c r="GZ169" i="2"/>
  <c r="GZ93" i="2"/>
  <c r="GZ156" i="2"/>
  <c r="GZ146" i="2"/>
  <c r="GZ113" i="2"/>
  <c r="GZ105" i="2"/>
  <c r="GZ153" i="2"/>
  <c r="GZ40" i="2"/>
  <c r="GZ116" i="2"/>
  <c r="GZ152" i="2"/>
  <c r="GZ78" i="2"/>
  <c r="GZ182" i="2"/>
  <c r="GZ60" i="2"/>
  <c r="GZ126" i="2"/>
  <c r="GZ18" i="2"/>
  <c r="GZ165" i="2"/>
  <c r="GZ74" i="2"/>
  <c r="GZ23" i="2"/>
  <c r="GZ6" i="2"/>
  <c r="GZ181" i="2"/>
  <c r="GZ184" i="2"/>
  <c r="GZ161" i="2"/>
  <c r="GZ175" i="2"/>
  <c r="GZ71" i="2"/>
  <c r="GZ121" i="2"/>
  <c r="GZ123" i="2"/>
  <c r="GZ162" i="2"/>
  <c r="GZ70" i="2"/>
  <c r="GZ157" i="2"/>
  <c r="GZ41" i="2"/>
  <c r="GZ16" i="2"/>
  <c r="GZ147" i="2"/>
  <c r="GZ62" i="2"/>
  <c r="GZ55" i="2"/>
  <c r="GZ11" i="2"/>
  <c r="GZ187" i="2"/>
  <c r="GZ136" i="2"/>
  <c r="GZ199" i="2"/>
  <c r="GZ99" i="2"/>
  <c r="GZ186" i="2"/>
  <c r="GZ155" i="2"/>
  <c r="GZ194" i="2"/>
  <c r="GZ73" i="2"/>
  <c r="GZ38" i="2"/>
  <c r="GZ56" i="2"/>
  <c r="GZ138" i="2"/>
  <c r="GZ151" i="2"/>
  <c r="GZ118" i="2"/>
  <c r="GZ172" i="2"/>
  <c r="GZ166" i="2"/>
  <c r="GZ183" i="2"/>
  <c r="GZ164" i="2"/>
  <c r="GZ149" i="2"/>
  <c r="GZ3" i="2"/>
  <c r="C15" i="4" s="1"/>
  <c r="E15" i="4" s="1"/>
  <c r="F15" i="4" s="1"/>
  <c r="G15" i="4" s="1"/>
  <c r="L15" i="4" s="1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J21" i="2" l="1"/>
  <c r="FJ200" i="2"/>
  <c r="FJ99" i="2"/>
  <c r="FJ72" i="2"/>
  <c r="FJ57" i="2"/>
  <c r="FJ110" i="2"/>
  <c r="FJ11" i="2"/>
  <c r="FJ89" i="2"/>
  <c r="FJ154" i="2"/>
  <c r="FJ199" i="2"/>
  <c r="FJ107" i="2"/>
  <c r="FJ130" i="2"/>
  <c r="FJ88" i="2"/>
  <c r="FJ117" i="2"/>
  <c r="FJ70" i="2"/>
  <c r="FJ191" i="2"/>
  <c r="FJ24" i="2"/>
  <c r="FJ33" i="2"/>
  <c r="FJ15" i="2"/>
  <c r="FJ169" i="2"/>
  <c r="FJ102" i="2"/>
  <c r="FJ22" i="2"/>
  <c r="FJ97" i="2"/>
  <c r="FJ25" i="2"/>
  <c r="FJ173" i="2"/>
  <c r="FJ170" i="2"/>
  <c r="FJ160" i="2"/>
  <c r="FJ137" i="2"/>
  <c r="FJ75" i="2"/>
  <c r="FJ73" i="2"/>
  <c r="FJ80" i="2"/>
  <c r="FJ139" i="2"/>
  <c r="FJ43" i="2"/>
  <c r="FJ126" i="2"/>
  <c r="FJ55" i="2"/>
  <c r="FJ83" i="2"/>
  <c r="FJ92" i="2"/>
  <c r="FJ152" i="2"/>
  <c r="FJ177" i="2"/>
  <c r="FJ119" i="2"/>
  <c r="FJ18" i="2"/>
  <c r="FJ19" i="2"/>
  <c r="FJ58" i="2"/>
  <c r="FJ111" i="2"/>
  <c r="FJ167" i="2"/>
  <c r="FJ120" i="2"/>
  <c r="FJ86" i="2"/>
  <c r="FJ121" i="2"/>
  <c r="FJ39" i="2"/>
  <c r="FJ113" i="2"/>
  <c r="FJ151" i="2"/>
  <c r="FJ34" i="2"/>
  <c r="FJ201" i="2"/>
  <c r="FJ14" i="2"/>
  <c r="FJ198" i="2"/>
  <c r="FJ106" i="2"/>
  <c r="FJ66" i="2"/>
  <c r="FJ10" i="2"/>
  <c r="FJ174" i="2"/>
  <c r="FJ112" i="2"/>
  <c r="FJ63" i="2"/>
  <c r="FJ41" i="2"/>
  <c r="FJ203" i="2"/>
  <c r="FJ31" i="2"/>
  <c r="FJ150" i="2"/>
  <c r="FJ60" i="2"/>
  <c r="FJ48" i="2"/>
  <c r="FJ166" i="2"/>
  <c r="FJ64" i="2"/>
  <c r="FJ49" i="2"/>
  <c r="FJ146" i="2"/>
  <c r="FJ171" i="2"/>
  <c r="FJ123" i="2"/>
  <c r="FJ156" i="2"/>
  <c r="FJ12" i="2"/>
  <c r="FJ141" i="2"/>
  <c r="FJ114" i="2"/>
  <c r="FJ54" i="2"/>
  <c r="FJ98" i="2"/>
  <c r="FJ109" i="2"/>
  <c r="FJ26" i="2"/>
  <c r="FJ143" i="2"/>
  <c r="FJ194" i="2"/>
  <c r="FJ77" i="2"/>
  <c r="FJ186" i="2"/>
  <c r="FJ124" i="2"/>
  <c r="FJ85" i="2"/>
  <c r="FJ61" i="2"/>
  <c r="FJ8" i="2"/>
  <c r="FJ157" i="2"/>
  <c r="FJ172" i="2"/>
  <c r="FJ134" i="2"/>
  <c r="FJ179" i="2"/>
  <c r="FJ153" i="2"/>
  <c r="FJ188" i="2"/>
  <c r="FJ148" i="2"/>
  <c r="FJ47" i="2"/>
  <c r="FJ195" i="2"/>
  <c r="FJ163" i="2"/>
  <c r="FJ71" i="2"/>
  <c r="FJ28" i="2"/>
  <c r="FJ87" i="2"/>
  <c r="FJ176" i="2"/>
  <c r="FJ158" i="2"/>
  <c r="FJ82" i="2"/>
  <c r="FJ59" i="2"/>
  <c r="FJ185" i="2"/>
  <c r="FJ35" i="2"/>
  <c r="FJ161" i="2"/>
  <c r="FJ196" i="2"/>
  <c r="FJ197" i="2"/>
  <c r="FJ131" i="2"/>
  <c r="FJ29" i="2"/>
  <c r="FJ138" i="2"/>
  <c r="FJ101" i="2"/>
  <c r="FJ20" i="2"/>
  <c r="FJ180" i="2"/>
  <c r="FJ93" i="2"/>
  <c r="FJ193" i="2"/>
  <c r="FJ90" i="2"/>
  <c r="FJ3" i="2"/>
  <c r="C13" i="4" s="1"/>
  <c r="E13" i="4" s="1"/>
  <c r="F13" i="4" s="1"/>
  <c r="G13" i="4" s="1"/>
  <c r="L13" i="4" s="1"/>
  <c r="FJ118" i="2"/>
  <c r="FJ165" i="2"/>
  <c r="FJ128" i="2"/>
  <c r="FJ37" i="2"/>
  <c r="FJ202" i="2"/>
  <c r="FJ69" i="2"/>
  <c r="FJ94" i="2"/>
  <c r="FJ68" i="2"/>
  <c r="FJ181" i="2"/>
  <c r="FJ84" i="2"/>
  <c r="FJ182" i="2"/>
  <c r="FJ81" i="2"/>
  <c r="FJ6" i="2"/>
  <c r="FJ100" i="2"/>
  <c r="FJ76" i="2"/>
  <c r="FJ155" i="2"/>
  <c r="FJ144" i="2"/>
  <c r="FJ16" i="2"/>
  <c r="FJ91" i="2"/>
  <c r="FJ45" i="2"/>
  <c r="FJ122" i="2"/>
  <c r="FJ30" i="2"/>
  <c r="FJ53" i="2"/>
  <c r="FJ7" i="2"/>
  <c r="FJ65" i="2"/>
  <c r="FJ9" i="2"/>
  <c r="FJ95" i="2"/>
  <c r="FJ62" i="2"/>
  <c r="FJ96" i="2"/>
  <c r="FJ32" i="2"/>
  <c r="FJ132" i="2"/>
  <c r="FJ125" i="2"/>
  <c r="FJ79" i="2"/>
  <c r="FJ142" i="2"/>
  <c r="FJ178" i="2"/>
  <c r="FJ51" i="2"/>
  <c r="FJ168" i="2"/>
  <c r="FJ135" i="2"/>
  <c r="FJ140" i="2"/>
  <c r="FJ127" i="2"/>
  <c r="FJ187" i="2"/>
  <c r="FJ78" i="2"/>
  <c r="FJ145" i="2"/>
  <c r="FJ103" i="2"/>
  <c r="FJ129" i="2"/>
  <c r="FJ38" i="2"/>
  <c r="FJ23" i="2"/>
  <c r="FJ108" i="2"/>
  <c r="FJ13" i="2"/>
  <c r="FJ115" i="2"/>
  <c r="FJ192" i="2"/>
  <c r="FJ162" i="2"/>
  <c r="FJ27" i="2"/>
  <c r="FJ105" i="2"/>
  <c r="FJ17" i="2"/>
  <c r="FJ44" i="2"/>
  <c r="FJ104" i="2"/>
  <c r="FJ136" i="2"/>
  <c r="FJ36" i="2"/>
  <c r="FJ175" i="2"/>
  <c r="FJ74" i="2"/>
  <c r="FJ42" i="2"/>
  <c r="FJ184" i="2"/>
  <c r="FJ56" i="2"/>
  <c r="FJ50" i="2"/>
  <c r="FJ40" i="2"/>
  <c r="FJ147" i="2"/>
  <c r="FJ67" i="2"/>
  <c r="FJ52" i="2"/>
  <c r="FJ189" i="2"/>
  <c r="FJ159" i="2"/>
  <c r="FJ5" i="2"/>
  <c r="FJ183" i="2"/>
  <c r="FJ133" i="2"/>
  <c r="FJ164" i="2"/>
  <c r="FJ116" i="2"/>
  <c r="FJ149" i="2"/>
  <c r="FJ46" i="2"/>
  <c r="FJ190" i="2"/>
  <c r="FJ4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8" i="2"/>
  <c r="BI152" i="2"/>
  <c r="BI129" i="2"/>
  <c r="BI54" i="2"/>
  <c r="BI135" i="2"/>
  <c r="BI122" i="2"/>
  <c r="BI58" i="2"/>
  <c r="BI96" i="2"/>
  <c r="BI114" i="2"/>
  <c r="BI3" i="2"/>
  <c r="C8" i="4" s="1"/>
  <c r="E8" i="4" s="1"/>
  <c r="F8" i="4" s="1"/>
  <c r="G8" i="4" s="1"/>
  <c r="L8" i="4" s="1"/>
  <c r="BI76" i="2"/>
  <c r="BI62" i="2"/>
  <c r="BI132" i="2"/>
  <c r="BI94" i="2"/>
  <c r="BI118" i="2"/>
  <c r="BI163" i="2"/>
  <c r="BI110" i="2"/>
  <c r="BI84" i="2"/>
  <c r="BI194" i="2"/>
  <c r="BI39" i="2"/>
  <c r="BI64" i="2"/>
  <c r="BI21" i="2"/>
  <c r="BI102" i="2"/>
  <c r="BI7" i="2"/>
  <c r="BI37" i="2"/>
  <c r="BI159" i="2"/>
  <c r="BI201" i="2"/>
  <c r="BI171" i="2"/>
  <c r="BI104" i="2"/>
  <c r="BI113" i="2"/>
  <c r="BI162" i="2"/>
  <c r="BI115" i="2"/>
  <c r="BI203" i="2"/>
  <c r="BI146" i="2"/>
  <c r="BI173" i="2"/>
  <c r="BI133" i="2"/>
  <c r="BI87" i="2"/>
  <c r="BI151" i="2"/>
  <c r="BI88" i="2"/>
  <c r="BI184" i="2"/>
  <c r="BI9" i="2"/>
  <c r="BI11" i="2"/>
  <c r="BI12" i="2"/>
  <c r="BI145" i="2"/>
  <c r="BI67" i="2"/>
  <c r="BI172" i="2"/>
  <c r="BI179" i="2"/>
  <c r="BI148" i="2"/>
  <c r="BI56" i="2"/>
  <c r="BI65" i="2"/>
  <c r="BI153" i="2"/>
  <c r="BI18" i="2"/>
  <c r="BI19" i="2"/>
  <c r="BI52" i="2"/>
  <c r="BI73" i="2"/>
  <c r="BI90" i="2"/>
  <c r="BI4" i="2"/>
  <c r="BI78" i="2"/>
  <c r="BI16" i="2"/>
  <c r="BI144" i="2"/>
  <c r="BI27" i="2"/>
  <c r="BI141" i="2"/>
  <c r="BI13" i="2"/>
  <c r="BI75" i="2"/>
  <c r="BI195" i="2"/>
  <c r="BI196" i="2"/>
  <c r="BI92" i="2"/>
  <c r="BI57" i="2"/>
  <c r="BI124" i="2"/>
  <c r="BI82" i="2"/>
  <c r="BI167" i="2"/>
  <c r="BI121" i="2"/>
  <c r="BI15" i="2"/>
  <c r="BI139" i="2"/>
  <c r="BI187" i="2"/>
  <c r="BI185" i="2"/>
  <c r="BI191" i="2"/>
  <c r="BI81" i="2"/>
  <c r="BI183" i="2"/>
  <c r="BI61" i="2"/>
  <c r="BI46" i="2"/>
  <c r="BI123" i="2"/>
  <c r="BI188" i="2"/>
  <c r="BI202" i="2"/>
  <c r="BI63" i="2"/>
  <c r="BI119" i="2"/>
  <c r="BI74" i="2"/>
  <c r="BI36" i="2"/>
  <c r="BI154" i="2"/>
  <c r="BI125" i="2"/>
  <c r="BI101" i="2"/>
  <c r="BI55" i="2"/>
  <c r="BI117" i="2"/>
  <c r="BI109" i="2"/>
  <c r="BI28" i="2"/>
  <c r="BI40" i="2"/>
  <c r="BI126" i="2"/>
  <c r="BI72" i="2"/>
  <c r="BI60" i="2"/>
  <c r="BI6" i="2"/>
  <c r="BI170" i="2"/>
  <c r="BI134" i="2"/>
  <c r="BI97" i="2"/>
  <c r="BI85" i="2"/>
  <c r="BI30" i="2"/>
  <c r="BI32" i="2"/>
  <c r="BI23" i="2"/>
  <c r="BI31" i="2"/>
  <c r="BI48" i="2"/>
  <c r="BI8" i="2"/>
  <c r="BI128" i="2"/>
  <c r="BI175" i="2"/>
  <c r="BI45" i="2"/>
  <c r="BI77" i="2"/>
  <c r="BI50" i="2"/>
  <c r="BI44" i="2"/>
  <c r="BI20" i="2"/>
  <c r="BI25" i="2"/>
  <c r="BI165" i="2"/>
  <c r="BI91" i="2"/>
  <c r="BI138" i="2"/>
  <c r="BI69" i="2"/>
  <c r="BI157" i="2"/>
  <c r="BI49" i="2"/>
  <c r="BI140" i="2"/>
  <c r="BI105" i="2"/>
  <c r="BI137" i="2"/>
  <c r="BI155" i="2"/>
  <c r="BI174" i="2"/>
  <c r="BI192" i="2"/>
  <c r="BI35" i="2"/>
  <c r="BI41" i="2"/>
  <c r="BI177" i="2"/>
  <c r="BI142" i="2"/>
  <c r="BI180" i="2"/>
  <c r="BI5" i="2"/>
  <c r="BI99" i="2"/>
  <c r="BI189" i="2"/>
  <c r="BI181" i="2"/>
  <c r="BI83" i="2"/>
  <c r="BI164" i="2"/>
  <c r="BI190" i="2"/>
  <c r="BI66" i="2"/>
  <c r="BI79" i="2"/>
  <c r="BI158" i="2"/>
  <c r="BI71" i="2"/>
  <c r="BI59" i="2"/>
  <c r="BI10" i="2"/>
  <c r="BI186" i="2"/>
  <c r="BI161" i="2"/>
  <c r="BI130" i="2"/>
  <c r="BI17" i="2"/>
  <c r="BI168" i="2"/>
  <c r="BI38" i="2"/>
  <c r="BI166" i="2"/>
  <c r="BI98" i="2"/>
  <c r="BI178" i="2"/>
  <c r="BI100" i="2"/>
  <c r="BI107" i="2"/>
  <c r="BI160" i="2"/>
  <c r="BI149" i="2"/>
  <c r="BI198" i="2"/>
  <c r="BI80" i="2"/>
  <c r="BI70" i="2"/>
  <c r="BI131" i="2"/>
  <c r="BI199" i="2"/>
  <c r="BI14" i="2"/>
  <c r="BI24" i="2"/>
  <c r="BI197" i="2"/>
  <c r="BI43" i="2"/>
  <c r="BI200" i="2"/>
  <c r="BI103" i="2"/>
  <c r="BI89" i="2"/>
  <c r="BI112" i="2"/>
  <c r="BI169" i="2"/>
  <c r="BI193" i="2"/>
  <c r="BI22" i="2"/>
  <c r="BI42" i="2"/>
  <c r="BI156" i="2"/>
  <c r="BI86" i="2"/>
  <c r="BI106" i="2"/>
  <c r="BI29" i="2"/>
  <c r="BI182" i="2"/>
  <c r="BI26" i="2"/>
  <c r="BI33" i="2"/>
  <c r="BI127" i="2"/>
  <c r="BI68" i="2"/>
  <c r="BI176" i="2"/>
  <c r="BI147" i="2"/>
  <c r="BI136" i="2"/>
  <c r="BI95" i="2"/>
  <c r="BI150" i="2"/>
  <c r="BI111" i="2"/>
  <c r="BI143" i="2"/>
  <c r="BI34" i="2"/>
  <c r="BI53" i="2"/>
  <c r="BI116" i="2"/>
  <c r="BI93" i="2"/>
  <c r="BI51" i="2"/>
  <c r="BI1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<sst xmlns="http://schemas.openxmlformats.org/spreadsheetml/2006/main" count="1179" uniqueCount="324">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</sst>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211.51703386842772</c:v>
                </c:pt>
                <c:pt idx="32">
                  <c:v>228.30032906802219</c:v>
                </c:pt>
                <c:pt idx="33">
                  <c:v>245.05539887630434</c:v>
                </c:pt>
                <c:pt idx="34">
                  <c:v>261.78444483261882</c:v>
                </c:pt>
                <c:pt idx="35">
                  <c:v>278.48936400091259</c:v>
                </c:pt>
                <c:pt idx="36">
                  <c:v>211.90768212600278</c:v>
                </c:pt>
                <c:pt idx="37">
                  <c:v>227.1303449649258</c:v>
                </c:pt>
                <c:pt idx="38">
                  <c:v>242.32965686946343</c:v>
                </c:pt>
                <c:pt idx="39">
                  <c:v>257.5072889074288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6646368"/>
        <c:axId val="-1956645824"/>
      </c:scatterChart>
      <c:valAx>
        <c:axId val="-1956646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6645824"/>
        <c:crosses val="autoZero"/>
        <c:crossBetween val="midCat"/>
      </c:valAx>
      <c:valAx>
        <c:axId val="-19566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6646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8646288"/>
        <c:axId val="-1728635408"/>
      </c:scatterChart>
      <c:valAx>
        <c:axId val="-1728646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35408"/>
        <c:crosses val="autoZero"/>
        <c:crossBetween val="midCat"/>
      </c:valAx>
      <c:valAx>
        <c:axId val="-172863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197.28041969990588</c:v>
                </c:pt>
                <c:pt idx="32">
                  <c:v>212.9313712792032</c:v>
                </c:pt>
                <c:pt idx="33">
                  <c:v>228.55582455178578</c:v>
                </c:pt>
                <c:pt idx="34">
                  <c:v>244.15584634691925</c:v>
                </c:pt>
                <c:pt idx="35">
                  <c:v>259.73321764902869</c:v>
                </c:pt>
                <c:pt idx="36">
                  <c:v>197.64471363773862</c:v>
                </c:pt>
                <c:pt idx="37">
                  <c:v>211.84033016384149</c:v>
                </c:pt>
                <c:pt idx="38">
                  <c:v>226.01402457681698</c:v>
                </c:pt>
                <c:pt idx="39">
                  <c:v>240.16736569344232</c:v>
                </c:pt>
                <c:pt idx="40">
                  <c:v>254.30172220416441</c:v>
                </c:pt>
                <c:pt idx="41">
                  <c:v>269.50348353777451</c:v>
                </c:pt>
                <c:pt idx="42">
                  <c:v>284.68594869794049</c:v>
                </c:pt>
                <c:pt idx="43">
                  <c:v>299.85029171072796</c:v>
                </c:pt>
                <c:pt idx="44">
                  <c:v>314.99755813323156</c:v>
                </c:pt>
                <c:pt idx="45">
                  <c:v>330.12868474355963</c:v>
                </c:pt>
                <c:pt idx="46">
                  <c:v>269.14176602787649</c:v>
                </c:pt>
                <c:pt idx="47">
                  <c:v>283.96339386484846</c:v>
                </c:pt>
                <c:pt idx="48">
                  <c:v>298.76770238890379</c:v>
                </c:pt>
                <c:pt idx="49">
                  <c:v>313.55567069110157</c:v>
                </c:pt>
                <c:pt idx="50">
                  <c:v>328.32817795481509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385.84306708196328</c:v>
                </c:pt>
                <c:pt idx="55">
                  <c:v>400.19142935914959</c:v>
                </c:pt>
                <c:pt idx="56">
                  <c:v>338.40824566131727</c:v>
                </c:pt>
                <c:pt idx="57">
                  <c:v>352.07781219018142</c:v>
                </c:pt>
                <c:pt idx="58">
                  <c:v>365.73574755728526</c:v>
                </c:pt>
                <c:pt idx="59">
                  <c:v>379.38254731510455</c:v>
                </c:pt>
                <c:pt idx="60">
                  <c:v>393.01866845402537</c:v>
                </c:pt>
                <c:pt idx="61">
                  <c:v>405.92763208567652</c:v>
                </c:pt>
                <c:pt idx="62">
                  <c:v>418.82772515146894</c:v>
                </c:pt>
                <c:pt idx="63">
                  <c:v>431.7192593658981</c:v>
                </c:pt>
                <c:pt idx="64">
                  <c:v>444.60252630877886</c:v>
                </c:pt>
                <c:pt idx="65">
                  <c:v>457.47779928386586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434.04600819095276</c:v>
                </c:pt>
                <c:pt idx="77">
                  <c:v>444.60252630877864</c:v>
                </c:pt>
                <c:pt idx="78">
                  <c:v>455.15367686904489</c:v>
                </c:pt>
                <c:pt idx="79">
                  <c:v>465.69960186105891</c:v>
                </c:pt>
                <c:pt idx="80">
                  <c:v>476.24043631782706</c:v>
                </c:pt>
                <c:pt idx="81">
                  <c:v>486.77630880656943</c:v>
                </c:pt>
                <c:pt idx="82">
                  <c:v>497.3073418745571</c:v>
                </c:pt>
                <c:pt idx="83">
                  <c:v>507.83365245521685</c:v>
                </c:pt>
                <c:pt idx="84">
                  <c:v>518.3553522388147</c:v>
                </c:pt>
                <c:pt idx="85">
                  <c:v>528.87254801147822</c:v>
                </c:pt>
                <c:pt idx="86">
                  <c:v>463.19764456024433</c:v>
                </c:pt>
                <c:pt idx="87">
                  <c:v>472.48918916409229</c:v>
                </c:pt>
                <c:pt idx="88">
                  <c:v>481.77684446495078</c:v>
                </c:pt>
                <c:pt idx="89">
                  <c:v>491.06069603012833</c:v>
                </c:pt>
                <c:pt idx="90">
                  <c:v>500.34082592690061</c:v>
                </c:pt>
                <c:pt idx="91">
                  <c:v>509.61731292933581</c:v>
                </c:pt>
                <c:pt idx="92">
                  <c:v>518.89023270927657</c:v>
                </c:pt>
                <c:pt idx="93">
                  <c:v>528.15965801295602</c:v>
                </c:pt>
                <c:pt idx="94">
                  <c:v>537.42565882457336</c:v>
                </c:pt>
                <c:pt idx="95">
                  <c:v>546.68830251799807</c:v>
                </c:pt>
                <c:pt idx="96">
                  <c:v>480.16964020909927</c:v>
                </c:pt>
                <c:pt idx="97">
                  <c:v>488.56156699732725</c:v>
                </c:pt>
                <c:pt idx="98">
                  <c:v>496.95043567656376</c:v>
                </c:pt>
                <c:pt idx="99">
                  <c:v>505.33630516496072</c:v>
                </c:pt>
                <c:pt idx="100">
                  <c:v>513.71923226517549</c:v>
                </c:pt>
                <c:pt idx="101">
                  <c:v>522.09927177435827</c:v>
                </c:pt>
                <c:pt idx="102">
                  <c:v>530.47647658670928</c:v>
                </c:pt>
                <c:pt idx="103">
                  <c:v>538.85089778922099</c:v>
                </c:pt>
                <c:pt idx="104">
                  <c:v>547.22258475115848</c:v>
                </c:pt>
                <c:pt idx="105">
                  <c:v>555.59158520777794</c:v>
                </c:pt>
                <c:pt idx="106">
                  <c:v>489.63265542816151</c:v>
                </c:pt>
                <c:pt idx="107">
                  <c:v>496.7719805413937</c:v>
                </c:pt>
                <c:pt idx="108">
                  <c:v>503.90913245527787</c:v>
                </c:pt>
                <c:pt idx="109">
                  <c:v>511.04414630438413</c:v>
                </c:pt>
                <c:pt idx="110">
                  <c:v>518.1770561617891</c:v>
                </c:pt>
                <c:pt idx="111">
                  <c:v>525.30789508563555</c:v>
                </c:pt>
                <c:pt idx="112">
                  <c:v>532.43669516303237</c:v>
                </c:pt>
                <c:pt idx="113">
                  <c:v>539.56348755148099</c:v>
                </c:pt>
                <c:pt idx="114">
                  <c:v>546.68830251799795</c:v>
                </c:pt>
                <c:pt idx="115">
                  <c:v>553.81116947609155</c:v>
                </c:pt>
                <c:pt idx="116">
                  <c:v>493.91651328433562</c:v>
                </c:pt>
                <c:pt idx="117">
                  <c:v>499.98396570940173</c:v>
                </c:pt>
                <c:pt idx="118">
                  <c:v>506.04985953638487</c:v>
                </c:pt>
                <c:pt idx="119">
                  <c:v>512.11421609335548</c:v>
                </c:pt>
                <c:pt idx="120">
                  <c:v>518.17705616178876</c:v>
                </c:pt>
                <c:pt idx="121">
                  <c:v>524.23839999694553</c:v>
                </c:pt>
                <c:pt idx="122">
                  <c:v>530.29826734725987</c:v>
                </c:pt>
                <c:pt idx="123">
                  <c:v>536.35667747279672</c:v>
                </c:pt>
                <c:pt idx="124">
                  <c:v>542.41364916282919</c:v>
                </c:pt>
                <c:pt idx="125">
                  <c:v>548.46920075259175</c:v>
                </c:pt>
                <c:pt idx="126">
                  <c:v>494.98735439698538</c:v>
                </c:pt>
                <c:pt idx="127">
                  <c:v>500.3408259268997</c:v>
                </c:pt>
                <c:pt idx="128">
                  <c:v>505.69308501237447</c:v>
                </c:pt>
                <c:pt idx="129">
                  <c:v>511.04414630438373</c:v>
                </c:pt>
                <c:pt idx="130">
                  <c:v>516.39402412186882</c:v>
                </c:pt>
                <c:pt idx="131">
                  <c:v>521.7427324627007</c:v>
                </c:pt>
                <c:pt idx="132">
                  <c:v>527.09028501417083</c:v>
                </c:pt>
                <c:pt idx="133">
                  <c:v>532.43669516303191</c:v>
                </c:pt>
                <c:pt idx="134">
                  <c:v>537.78197600511635</c:v>
                </c:pt>
                <c:pt idx="135">
                  <c:v>543.12614035455147</c:v>
                </c:pt>
                <c:pt idx="136">
                  <c:v>496.05814641321666</c:v>
                </c:pt>
                <c:pt idx="137">
                  <c:v>500.69768075588286</c:v>
                </c:pt>
                <c:pt idx="138">
                  <c:v>505.33630516496027</c:v>
                </c:pt>
                <c:pt idx="139">
                  <c:v>509.9740291774587</c:v>
                </c:pt>
                <c:pt idx="140">
                  <c:v>514.61086214265481</c:v>
                </c:pt>
                <c:pt idx="141">
                  <c:v>519.24681322748347</c:v>
                </c:pt>
                <c:pt idx="142">
                  <c:v>523.88189142172769</c:v>
                </c:pt>
                <c:pt idx="143">
                  <c:v>528.51610554301317</c:v>
                </c:pt>
                <c:pt idx="144">
                  <c:v>533.14946424161997</c:v>
                </c:pt>
                <c:pt idx="145">
                  <c:v>537.78197600511692</c:v>
                </c:pt>
                <c:pt idx="146">
                  <c:v>541.70113831623837</c:v>
                </c:pt>
                <c:pt idx="147">
                  <c:v>545.61970516793315</c:v>
                </c:pt>
                <c:pt idx="148">
                  <c:v>549.5376814429568</c:v>
                </c:pt>
                <c:pt idx="149">
                  <c:v>553.45507194871561</c:v>
                </c:pt>
                <c:pt idx="150">
                  <c:v>557.37188141896615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6645280"/>
        <c:axId val="-1956644192"/>
      </c:scatterChart>
      <c:valAx>
        <c:axId val="-195664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6644192"/>
        <c:crosses val="autoZero"/>
        <c:crossBetween val="midCat"/>
      </c:valAx>
      <c:valAx>
        <c:axId val="-195664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664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527.60102717911309</c:v>
                </c:pt>
                <c:pt idx="112">
                  <c:v>533.40803268292484</c:v>
                </c:pt>
                <c:pt idx="113">
                  <c:v>539.21370860599507</c:v>
                </c:pt>
                <c:pt idx="114">
                  <c:v>545.0180712899114</c:v>
                </c:pt>
                <c:pt idx="115">
                  <c:v>550.82113669964031</c:v>
                </c:pt>
                <c:pt idx="116">
                  <c:v>556.6229204361706</c:v>
                </c:pt>
                <c:pt idx="117">
                  <c:v>562.42343774860331</c:v>
                </c:pt>
                <c:pt idx="118">
                  <c:v>568.22270354571481</c:v>
                </c:pt>
                <c:pt idx="119">
                  <c:v>574.02073240702464</c:v>
                </c:pt>
                <c:pt idx="120">
                  <c:v>579.81753859339335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4595552"/>
        <c:axId val="-44592288"/>
      </c:scatterChart>
      <c:valAx>
        <c:axId val="-44595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592288"/>
        <c:crosses val="autoZero"/>
        <c:crossBetween val="midCat"/>
      </c:valAx>
      <c:valAx>
        <c:axId val="-4459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59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4591200"/>
        <c:axId val="-4084240"/>
      </c:scatterChart>
      <c:valAx>
        <c:axId val="-44591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84240"/>
        <c:crosses val="autoZero"/>
        <c:crossBetween val="midCat"/>
      </c:valAx>
      <c:valAx>
        <c:axId val="-408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459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90925296"/>
        <c:axId val="-1728643568"/>
      </c:scatterChart>
      <c:valAx>
        <c:axId val="-1890925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3568"/>
        <c:crosses val="autoZero"/>
        <c:crossBetween val="midCat"/>
      </c:valAx>
      <c:valAx>
        <c:axId val="-172864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9092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205.15653155887529</c:v>
                </c:pt>
                <c:pt idx="27">
                  <c:v>220.24209728386407</c:v>
                </c:pt>
                <c:pt idx="28">
                  <c:v>235.30394147234665</c:v>
                </c:pt>
                <c:pt idx="29">
                  <c:v>250.34379664975143</c:v>
                </c:pt>
                <c:pt idx="30">
                  <c:v>265.36317005758787</c:v>
                </c:pt>
                <c:pt idx="31">
                  <c:v>205.53397529366748</c:v>
                </c:pt>
                <c:pt idx="32">
                  <c:v>219.11152587483454</c:v>
                </c:pt>
                <c:pt idx="33">
                  <c:v>232.66975188863583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272.86559571589578</c:v>
                </c:pt>
                <c:pt idx="37">
                  <c:v>285.9837682029551</c:v>
                </c:pt>
                <c:pt idx="38">
                  <c:v>299.08847869495412</c:v>
                </c:pt>
                <c:pt idx="39">
                  <c:v>312.18040027213078</c:v>
                </c:pt>
                <c:pt idx="40">
                  <c:v>325.26014493454323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321.52428406625791</c:v>
                </c:pt>
                <c:pt idx="47">
                  <c:v>332.72903457884462</c:v>
                </c:pt>
                <c:pt idx="48">
                  <c:v>343.92546889640727</c:v>
                </c:pt>
                <c:pt idx="49">
                  <c:v>355.11389600890448</c:v>
                </c:pt>
                <c:pt idx="50">
                  <c:v>366.29460383970871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355.11389600890431</c:v>
                </c:pt>
                <c:pt idx="57">
                  <c:v>364.43167696167421</c:v>
                </c:pt>
                <c:pt idx="58">
                  <c:v>373.74425409046006</c:v>
                </c:pt>
                <c:pt idx="59">
                  <c:v>383.05177541071208</c:v>
                </c:pt>
                <c:pt idx="60">
                  <c:v>392.35438115419714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379.70164117358587</c:v>
                </c:pt>
                <c:pt idx="67">
                  <c:v>387.51763127886653</c:v>
                </c:pt>
                <c:pt idx="68">
                  <c:v>395.33019874057248</c:v>
                </c:pt>
                <c:pt idx="69">
                  <c:v>403.13942078264904</c:v>
                </c:pt>
                <c:pt idx="70">
                  <c:v>410.94537139118688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394.58629002009144</c:v>
                </c:pt>
                <c:pt idx="77">
                  <c:v>400.53671385047045</c:v>
                </c:pt>
                <c:pt idx="78">
                  <c:v>406.48522456571499</c:v>
                </c:pt>
                <c:pt idx="79">
                  <c:v>412.43185413738041</c:v>
                </c:pt>
                <c:pt idx="80">
                  <c:v>418.37663353903218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406.85694369927222</c:v>
                </c:pt>
                <c:pt idx="87">
                  <c:v>412.06024430985258</c:v>
                </c:pt>
                <c:pt idx="88">
                  <c:v>417.26212693788688</c:v>
                </c:pt>
                <c:pt idx="89">
                  <c:v>422.46261177230508</c:v>
                </c:pt>
                <c:pt idx="90">
                  <c:v>427.66171846396492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422.09119450330428</c:v>
                </c:pt>
                <c:pt idx="97">
                  <c:v>427.66171846396497</c:v>
                </c:pt>
                <c:pt idx="98">
                  <c:v>433.2306823305874</c:v>
                </c:pt>
                <c:pt idx="99">
                  <c:v>438.79810900392073</c:v>
                </c:pt>
                <c:pt idx="100">
                  <c:v>444.3640207556935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8647376"/>
        <c:axId val="-1728643024"/>
      </c:scatterChart>
      <c:valAx>
        <c:axId val="-172864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3024"/>
        <c:crosses val="autoZero"/>
        <c:crossBetween val="midCat"/>
      </c:valAx>
      <c:valAx>
        <c:axId val="-172864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8634320"/>
        <c:axId val="-1728642480"/>
      </c:scatterChart>
      <c:valAx>
        <c:axId val="-172863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2480"/>
        <c:crosses val="autoZero"/>
        <c:crossBetween val="midCat"/>
      </c:valAx>
      <c:valAx>
        <c:axId val="-172864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3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1.4144813200856279</c:v>
                </c:pt>
                <c:pt idx="2">
                  <c:v>1.6327908972512721</c:v>
                </c:pt>
                <c:pt idx="3">
                  <c:v>1.8849193606184949</c:v>
                </c:pt>
                <c:pt idx="4">
                  <c:v>2.1761240861866842</c:v>
                </c:pt>
                <c:pt idx="5">
                  <c:v>2.5124824408026609</c:v>
                </c:pt>
                <c:pt idx="6">
                  <c:v>2.9010200692849537</c:v>
                </c:pt>
                <c:pt idx="7">
                  <c:v>3.3498593092384805</c:v>
                </c:pt>
                <c:pt idx="8">
                  <c:v>3.8683908998075629</c:v>
                </c:pt>
                <c:pt idx="9">
                  <c:v>4.4674726498919552</c:v>
                </c:pt>
                <c:pt idx="10">
                  <c:v>5.1596593095299932</c:v>
                </c:pt>
                <c:pt idx="11">
                  <c:v>5.9594685577293491</c:v>
                </c:pt>
                <c:pt idx="12">
                  <c:v>6.8836887954753392</c:v>
                </c:pt>
                <c:pt idx="13">
                  <c:v>7.9517353307426832</c:v>
                </c:pt>
                <c:pt idx="14">
                  <c:v>9.1860625825140634</c:v>
                </c:pt>
                <c:pt idx="15">
                  <c:v>10.612641135588353</c:v>
                </c:pt>
                <c:pt idx="16">
                  <c:v>12.261509873438984</c:v>
                </c:pt>
                <c:pt idx="17">
                  <c:v>14.167415032798971</c:v>
                </c:pt>
                <c:pt idx="18">
                  <c:v>16.370549896047194</c:v>
                </c:pt>
                <c:pt idx="19">
                  <c:v>18.917411006462334</c:v>
                </c:pt>
                <c:pt idx="20">
                  <c:v>21.861789304060675</c:v>
                </c:pt>
                <c:pt idx="21">
                  <c:v>25.265917490587025</c:v>
                </c:pt>
                <c:pt idx="22">
                  <c:v>29.201798304500571</c:v>
                </c:pt>
                <c:pt idx="23">
                  <c:v>33.752742293756292</c:v>
                </c:pt>
                <c:pt idx="24">
                  <c:v>39.015148200747937</c:v>
                </c:pt>
                <c:pt idx="25">
                  <c:v>45.10056431837554</c:v>
                </c:pt>
                <c:pt idx="26">
                  <c:v>52.138075252915627</c:v>
                </c:pt>
                <c:pt idx="27">
                  <c:v>60.277065570443021</c:v>
                </c:pt>
                <c:pt idx="28">
                  <c:v>69.690419962263448</c:v>
                </c:pt>
                <c:pt idx="29">
                  <c:v>80.578229018849768</c:v>
                </c:pt>
                <c:pt idx="30">
                  <c:v>93.172080657101858</c:v>
                </c:pt>
                <c:pt idx="31">
                  <c:v>104.49011310785191</c:v>
                </c:pt>
                <c:pt idx="32">
                  <c:v>115.77785737197435</c:v>
                </c:pt>
                <c:pt idx="33">
                  <c:v>127.03868706017148</c:v>
                </c:pt>
                <c:pt idx="34">
                  <c:v>138.27532721770669</c:v>
                </c:pt>
                <c:pt idx="35">
                  <c:v>149.49002281670283</c:v>
                </c:pt>
                <c:pt idx="36">
                  <c:v>160.68465382913149</c:v>
                </c:pt>
                <c:pt idx="37">
                  <c:v>171.86081644124263</c:v>
                </c:pt>
                <c:pt idx="38">
                  <c:v>183.01988197396963</c:v>
                </c:pt>
                <c:pt idx="39">
                  <c:v>194.16304064471555</c:v>
                </c:pt>
                <c:pt idx="40">
                  <c:v>205.29133473515969</c:v>
                </c:pt>
                <c:pt idx="41">
                  <c:v>222.46247518327695</c:v>
                </c:pt>
                <c:pt idx="42">
                  <c:v>239.60321698163875</c:v>
                </c:pt>
                <c:pt idx="43">
                  <c:v>256.71604092575211</c:v>
                </c:pt>
                <c:pt idx="44">
                  <c:v>273.80306989453715</c:v>
                </c:pt>
                <c:pt idx="45">
                  <c:v>290.86614008068233</c:v>
                </c:pt>
                <c:pt idx="46">
                  <c:v>307.90685461043864</c:v>
                </c:pt>
                <c:pt idx="47">
                  <c:v>223.57247309039982</c:v>
                </c:pt>
                <c:pt idx="48">
                  <c:v>241.81934217417586</c:v>
                </c:pt>
                <c:pt idx="49">
                  <c:v>260.03489159171852</c:v>
                </c:pt>
                <c:pt idx="50">
                  <c:v>278.22162375497288</c:v>
                </c:pt>
                <c:pt idx="51">
                  <c:v>296.38168710899475</c:v>
                </c:pt>
                <c:pt idx="52">
                  <c:v>314.51694528188909</c:v>
                </c:pt>
                <c:pt idx="53">
                  <c:v>332.62902943446431</c:v>
                </c:pt>
                <c:pt idx="54">
                  <c:v>350.71937860245998</c:v>
                </c:pt>
                <c:pt idx="55">
                  <c:v>368.78927127528976</c:v>
                </c:pt>
                <c:pt idx="56">
                  <c:v>386.83985045971804</c:v>
                </c:pt>
                <c:pt idx="57">
                  <c:v>313.61575226592186</c:v>
                </c:pt>
                <c:pt idx="58">
                  <c:v>331.32890213821253</c:v>
                </c:pt>
                <c:pt idx="59">
                  <c:v>349.02117423582143</c:v>
                </c:pt>
                <c:pt idx="60">
                  <c:v>366.69377549524091</c:v>
                </c:pt>
                <c:pt idx="61">
                  <c:v>384.34778704677433</c:v>
                </c:pt>
                <c:pt idx="62">
                  <c:v>401.98418262418687</c:v>
                </c:pt>
                <c:pt idx="63">
                  <c:v>419.60384357448828</c:v>
                </c:pt>
                <c:pt idx="64">
                  <c:v>437.20757121496905</c:v>
                </c:pt>
                <c:pt idx="65">
                  <c:v>454.79609709637583</c:v>
                </c:pt>
                <c:pt idx="66">
                  <c:v>472.37009159588257</c:v>
                </c:pt>
                <c:pt idx="67">
                  <c:v>388.53425424974563</c:v>
                </c:pt>
                <c:pt idx="68">
                  <c:v>405.17087294372715</c:v>
                </c:pt>
                <c:pt idx="69">
                  <c:v>421.79272909797106</c:v>
                </c:pt>
                <c:pt idx="70">
                  <c:v>438.40048617013696</c:v>
                </c:pt>
                <c:pt idx="71">
                  <c:v>454.99475326719272</c:v>
                </c:pt>
                <c:pt idx="72">
                  <c:v>471.57609145867627</c:v>
                </c:pt>
                <c:pt idx="73">
                  <c:v>488.14501915592547</c:v>
                </c:pt>
                <c:pt idx="74">
                  <c:v>504.70201672310532</c:v>
                </c:pt>
                <c:pt idx="75">
                  <c:v>521.247530451844</c:v>
                </c:pt>
                <c:pt idx="76">
                  <c:v>537.7819760051176</c:v>
                </c:pt>
                <c:pt idx="77">
                  <c:v>446.74895314532586</c:v>
                </c:pt>
                <c:pt idx="78">
                  <c:v>460.85428024072991</c:v>
                </c:pt>
                <c:pt idx="79">
                  <c:v>474.95039606310712</c:v>
                </c:pt>
                <c:pt idx="80">
                  <c:v>489.03761244496337</c:v>
                </c:pt>
                <c:pt idx="81">
                  <c:v>503.11622179266845</c:v>
                </c:pt>
                <c:pt idx="82">
                  <c:v>517.18649881772251</c:v>
                </c:pt>
                <c:pt idx="83">
                  <c:v>531.24870206986225</c:v>
                </c:pt>
                <c:pt idx="84">
                  <c:v>545.30307529944037</c:v>
                </c:pt>
                <c:pt idx="85">
                  <c:v>559.34984867208948</c:v>
                </c:pt>
                <c:pt idx="86">
                  <c:v>573.38923985506801</c:v>
                </c:pt>
                <c:pt idx="87">
                  <c:v>479.31638656594322</c:v>
                </c:pt>
                <c:pt idx="88">
                  <c:v>492.21099800137682</c:v>
                </c:pt>
                <c:pt idx="89">
                  <c:v>505.0984489737848</c:v>
                </c:pt>
                <c:pt idx="90">
                  <c:v>517.97894789153145</c:v>
                </c:pt>
                <c:pt idx="91">
                  <c:v>530.85269195483488</c:v>
                </c:pt>
                <c:pt idx="92">
                  <c:v>543.7198680214351</c:v>
                </c:pt>
                <c:pt idx="93">
                  <c:v>556.58065338607753</c:v>
                </c:pt>
                <c:pt idx="94">
                  <c:v>569.43521648421995</c:v>
                </c:pt>
                <c:pt idx="95">
                  <c:v>582.28371752891621</c:v>
                </c:pt>
                <c:pt idx="96">
                  <c:v>491.41769240661665</c:v>
                </c:pt>
                <c:pt idx="97">
                  <c:v>502.52152144554702</c:v>
                </c:pt>
                <c:pt idx="98">
                  <c:v>513.62016026281015</c:v>
                </c:pt>
                <c:pt idx="99">
                  <c:v>524.71373681756154</c:v>
                </c:pt>
                <c:pt idx="100">
                  <c:v>535.80237321728123</c:v>
                </c:pt>
                <c:pt idx="101">
                  <c:v>545.89675313933117</c:v>
                </c:pt>
                <c:pt idx="102">
                  <c:v>555.98721690157777</c:v>
                </c:pt>
                <c:pt idx="103">
                  <c:v>566.07384559506522</c:v>
                </c:pt>
                <c:pt idx="104">
                  <c:v>576.15671718544525</c:v>
                </c:pt>
                <c:pt idx="105">
                  <c:v>586.23590668718873</c:v>
                </c:pt>
                <c:pt idx="106">
                  <c:v>5.4704519444678596E-12</c:v>
                </c:pt>
                <c:pt idx="107">
                  <c:v>5.4704519444678596E-12</c:v>
                </c:pt>
                <c:pt idx="108">
                  <c:v>5.4704519444678596E-12</c:v>
                </c:pt>
                <c:pt idx="109">
                  <c:v>5.4704519444678596E-12</c:v>
                </c:pt>
                <c:pt idx="110">
                  <c:v>5.4704519444678596E-12</c:v>
                </c:pt>
                <c:pt idx="111">
                  <c:v>5.4704519444678596E-12</c:v>
                </c:pt>
                <c:pt idx="112">
                  <c:v>5.4704519444678596E-12</c:v>
                </c:pt>
                <c:pt idx="113">
                  <c:v>5.4704519444678596E-12</c:v>
                </c:pt>
                <c:pt idx="114">
                  <c:v>5.4704519444678596E-12</c:v>
                </c:pt>
                <c:pt idx="115">
                  <c:v>5.4704519444678596E-12</c:v>
                </c:pt>
                <c:pt idx="116">
                  <c:v>5.4704519444678596E-12</c:v>
                </c:pt>
                <c:pt idx="117">
                  <c:v>5.4704519444678596E-12</c:v>
                </c:pt>
                <c:pt idx="118">
                  <c:v>5.4704519444678596E-12</c:v>
                </c:pt>
                <c:pt idx="119">
                  <c:v>5.4704519444678596E-12</c:v>
                </c:pt>
                <c:pt idx="120">
                  <c:v>5.4704519444678596E-12</c:v>
                </c:pt>
                <c:pt idx="121">
                  <c:v>5.4704519444678596E-12</c:v>
                </c:pt>
                <c:pt idx="122">
                  <c:v>5.4704519444678596E-12</c:v>
                </c:pt>
                <c:pt idx="123">
                  <c:v>5.4704519444678596E-12</c:v>
                </c:pt>
                <c:pt idx="124">
                  <c:v>5.4704519444678596E-12</c:v>
                </c:pt>
                <c:pt idx="125">
                  <c:v>5.4704519444678596E-12</c:v>
                </c:pt>
                <c:pt idx="126">
                  <c:v>5.4704519444678596E-12</c:v>
                </c:pt>
                <c:pt idx="127">
                  <c:v>5.4704519444678596E-12</c:v>
                </c:pt>
                <c:pt idx="128">
                  <c:v>5.4704519444678596E-12</c:v>
                </c:pt>
                <c:pt idx="129">
                  <c:v>5.4704519444678596E-12</c:v>
                </c:pt>
                <c:pt idx="130">
                  <c:v>5.4704519444678596E-12</c:v>
                </c:pt>
                <c:pt idx="131">
                  <c:v>5.4704519444678596E-12</c:v>
                </c:pt>
                <c:pt idx="132">
                  <c:v>5.4704519444678596E-12</c:v>
                </c:pt>
                <c:pt idx="133">
                  <c:v>5.4704519444678596E-12</c:v>
                </c:pt>
                <c:pt idx="134">
                  <c:v>5.4704519444678596E-12</c:v>
                </c:pt>
                <c:pt idx="135">
                  <c:v>5.4704519444678596E-12</c:v>
                </c:pt>
                <c:pt idx="136">
                  <c:v>5.4704519444678596E-12</c:v>
                </c:pt>
                <c:pt idx="137">
                  <c:v>5.4704519444678596E-12</c:v>
                </c:pt>
                <c:pt idx="138">
                  <c:v>5.4704519444678596E-12</c:v>
                </c:pt>
                <c:pt idx="139">
                  <c:v>5.4704519444678596E-12</c:v>
                </c:pt>
                <c:pt idx="140">
                  <c:v>5.4704519444678596E-12</c:v>
                </c:pt>
                <c:pt idx="141">
                  <c:v>5.4704519444678596E-12</c:v>
                </c:pt>
                <c:pt idx="142">
                  <c:v>5.4704519444678596E-12</c:v>
                </c:pt>
                <c:pt idx="143">
                  <c:v>5.4704519444678596E-12</c:v>
                </c:pt>
                <c:pt idx="144">
                  <c:v>5.4704519444678596E-12</c:v>
                </c:pt>
                <c:pt idx="145">
                  <c:v>5.4704519444678596E-12</c:v>
                </c:pt>
                <c:pt idx="146">
                  <c:v>5.4704519444678596E-12</c:v>
                </c:pt>
                <c:pt idx="147">
                  <c:v>5.4704519444678596E-12</c:v>
                </c:pt>
                <c:pt idx="148">
                  <c:v>5.4704519444678596E-12</c:v>
                </c:pt>
                <c:pt idx="149">
                  <c:v>5.4704519444678596E-12</c:v>
                </c:pt>
                <c:pt idx="150">
                  <c:v>5.4704519444678596E-12</c:v>
                </c:pt>
                <c:pt idx="151">
                  <c:v>5.4704519444678596E-12</c:v>
                </c:pt>
                <c:pt idx="152">
                  <c:v>5.4704519444678596E-12</c:v>
                </c:pt>
                <c:pt idx="153">
                  <c:v>5.4704519444678596E-12</c:v>
                </c:pt>
                <c:pt idx="154">
                  <c:v>5.4704519444678596E-12</c:v>
                </c:pt>
                <c:pt idx="155">
                  <c:v>5.4704519444678596E-12</c:v>
                </c:pt>
                <c:pt idx="156">
                  <c:v>5.4704519444678596E-12</c:v>
                </c:pt>
                <c:pt idx="157">
                  <c:v>5.4704519444678596E-12</c:v>
                </c:pt>
                <c:pt idx="158">
                  <c:v>5.4704519444678596E-12</c:v>
                </c:pt>
                <c:pt idx="159">
                  <c:v>5.4704519444678596E-12</c:v>
                </c:pt>
                <c:pt idx="160">
                  <c:v>5.4704519444678596E-12</c:v>
                </c:pt>
                <c:pt idx="161">
                  <c:v>5.4704519444678596E-12</c:v>
                </c:pt>
                <c:pt idx="162">
                  <c:v>5.4704519444678596E-12</c:v>
                </c:pt>
                <c:pt idx="163">
                  <c:v>5.4704519444678596E-12</c:v>
                </c:pt>
                <c:pt idx="164">
                  <c:v>5.4704519444678596E-12</c:v>
                </c:pt>
                <c:pt idx="165">
                  <c:v>5.4704519444678596E-12</c:v>
                </c:pt>
                <c:pt idx="166">
                  <c:v>5.4704519444678596E-12</c:v>
                </c:pt>
                <c:pt idx="167">
                  <c:v>5.4704519444678596E-12</c:v>
                </c:pt>
                <c:pt idx="168">
                  <c:v>5.4704519444678596E-12</c:v>
                </c:pt>
                <c:pt idx="169">
                  <c:v>5.4704519444678596E-12</c:v>
                </c:pt>
                <c:pt idx="170">
                  <c:v>5.4704519444678596E-12</c:v>
                </c:pt>
                <c:pt idx="171">
                  <c:v>5.4704519444678596E-12</c:v>
                </c:pt>
                <c:pt idx="172">
                  <c:v>5.4704519444678596E-12</c:v>
                </c:pt>
                <c:pt idx="173">
                  <c:v>5.4704519444678596E-12</c:v>
                </c:pt>
                <c:pt idx="174">
                  <c:v>5.4704519444678596E-12</c:v>
                </c:pt>
                <c:pt idx="175">
                  <c:v>5.4704519444678596E-12</c:v>
                </c:pt>
                <c:pt idx="176">
                  <c:v>5.4704519444678596E-12</c:v>
                </c:pt>
                <c:pt idx="177">
                  <c:v>5.4704519444678596E-12</c:v>
                </c:pt>
                <c:pt idx="178">
                  <c:v>5.4704519444678596E-12</c:v>
                </c:pt>
                <c:pt idx="179">
                  <c:v>5.4704519444678596E-12</c:v>
                </c:pt>
                <c:pt idx="180">
                  <c:v>5.4704519444678596E-12</c:v>
                </c:pt>
                <c:pt idx="181">
                  <c:v>5.4704519444678596E-12</c:v>
                </c:pt>
                <c:pt idx="182">
                  <c:v>5.4704519444678596E-12</c:v>
                </c:pt>
                <c:pt idx="183">
                  <c:v>5.4704519444678596E-12</c:v>
                </c:pt>
                <c:pt idx="184">
                  <c:v>5.4704519444678596E-12</c:v>
                </c:pt>
                <c:pt idx="185">
                  <c:v>5.4704519444678596E-12</c:v>
                </c:pt>
                <c:pt idx="186">
                  <c:v>5.4704519444678596E-12</c:v>
                </c:pt>
                <c:pt idx="187">
                  <c:v>5.4704519444678596E-12</c:v>
                </c:pt>
                <c:pt idx="188">
                  <c:v>5.4704519444678596E-12</c:v>
                </c:pt>
                <c:pt idx="189">
                  <c:v>5.4704519444678596E-12</c:v>
                </c:pt>
                <c:pt idx="190">
                  <c:v>5.4704519444678596E-12</c:v>
                </c:pt>
                <c:pt idx="191">
                  <c:v>5.4704519444678596E-12</c:v>
                </c:pt>
                <c:pt idx="192">
                  <c:v>5.4704519444678596E-12</c:v>
                </c:pt>
                <c:pt idx="193">
                  <c:v>5.4704519444678596E-12</c:v>
                </c:pt>
                <c:pt idx="194">
                  <c:v>5.4704519444678596E-12</c:v>
                </c:pt>
                <c:pt idx="195">
                  <c:v>5.4704519444678596E-12</c:v>
                </c:pt>
                <c:pt idx="196">
                  <c:v>5.4704519444678596E-12</c:v>
                </c:pt>
                <c:pt idx="197">
                  <c:v>5.4704519444678596E-12</c:v>
                </c:pt>
                <c:pt idx="198">
                  <c:v>5.4704519444678596E-12</c:v>
                </c:pt>
                <c:pt idx="199">
                  <c:v>5.4704519444678596E-12</c:v>
                </c:pt>
                <c:pt idx="200">
                  <c:v>5.4704519444678596E-12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8649552"/>
        <c:axId val="-1728645200"/>
      </c:scatterChart>
      <c:valAx>
        <c:axId val="-1728649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5200"/>
        <c:crosses val="autoZero"/>
        <c:crossBetween val="midCat"/>
      </c:valAx>
      <c:valAx>
        <c:axId val="-172864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9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8638672"/>
        <c:axId val="-1728644112"/>
      </c:scatterChart>
      <c:valAx>
        <c:axId val="-172863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44112"/>
        <c:crosses val="autoZero"/>
        <c:crossBetween val="midCat"/>
      </c:valAx>
      <c:valAx>
        <c:axId val="-17286441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2863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9" zoomScale="90" zoomScaleNormal="90" workbookViewId="0">
      <selection activeCell="H170" sqref="H17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4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0.21249999999999999</v>
      </c>
      <c r="D9" s="36">
        <f t="shared" ref="D9:D18" si="0">C9*$C$5</f>
        <v>0.85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0.21249999999999999</v>
      </c>
      <c r="D10" s="36">
        <f t="shared" si="0"/>
        <v>0.85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0.1812</v>
      </c>
      <c r="D11" s="36">
        <f t="shared" si="0"/>
        <v>0.7248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7.4999999999999997E-2</v>
      </c>
      <c r="D12" s="36">
        <f t="shared" si="0"/>
        <v>0.3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7.4999999999999997E-2</v>
      </c>
      <c r="D13" s="36">
        <f t="shared" si="0"/>
        <v>0.3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13</v>
      </c>
      <c r="C14" s="35">
        <v>6.25E-2</v>
      </c>
      <c r="D14" s="36">
        <f t="shared" si="0"/>
        <v>0.25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18</v>
      </c>
      <c r="C15" s="35">
        <v>0.05</v>
      </c>
      <c r="D15" s="36">
        <f t="shared" si="0"/>
        <v>0.2</v>
      </c>
      <c r="E15" s="37">
        <v>70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164</v>
      </c>
      <c r="C16" s="35">
        <v>0.05</v>
      </c>
      <c r="D16" s="36">
        <f t="shared" si="0"/>
        <v>0.2</v>
      </c>
      <c r="E16" s="37">
        <v>105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27</v>
      </c>
      <c r="C17" s="35">
        <v>0.05</v>
      </c>
      <c r="D17" s="36">
        <f t="shared" si="0"/>
        <v>0.2</v>
      </c>
      <c r="E17" s="37">
        <v>60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</v>
      </c>
      <c r="C18" s="35">
        <v>3.1300000000000001E-2</v>
      </c>
      <c r="D18" s="36">
        <f t="shared" si="0"/>
        <v>0.12520000000000001</v>
      </c>
      <c r="E18" s="37">
        <v>60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140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f>57/1.56</f>
        <v>36.53846153846154</v>
      </c>
      <c r="C88" s="53"/>
      <c r="D88" s="63"/>
      <c r="E88" s="54"/>
      <c r="F88" s="54"/>
      <c r="G88" s="54"/>
      <c r="H88" s="54"/>
      <c r="I88" s="56">
        <f>IFERROR(B88/A88,"")</f>
        <v>2.4358974358974361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(95+11)/1.56</f>
        <v>67.948717948717942</v>
      </c>
      <c r="C89" s="53">
        <v>1</v>
      </c>
      <c r="D89" s="63">
        <f>(11+15)/1.56</f>
        <v>16.666666666666668</v>
      </c>
      <c r="E89" s="54"/>
      <c r="F89" s="54"/>
      <c r="G89" s="54"/>
      <c r="H89" s="54">
        <v>1</v>
      </c>
      <c r="I89" s="56">
        <f t="shared" ref="I89:I107" si="3">IF(A89&lt;&gt;0,(B89-(B88-D88))/(A89-A88),"")</f>
        <v>6.2820512820512802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131/1.56</f>
        <v>83.974358974358978</v>
      </c>
      <c r="C90" s="53"/>
      <c r="D90" s="63"/>
      <c r="E90" s="54"/>
      <c r="F90" s="54"/>
      <c r="G90" s="54"/>
      <c r="H90" s="54"/>
      <c r="I90" s="56">
        <f t="shared" si="3"/>
        <v>6.5384615384615419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(163+19)/1.56</f>
        <v>116.66666666666666</v>
      </c>
      <c r="C91" s="53">
        <v>2</v>
      </c>
      <c r="D91" s="63">
        <f>(19+21)/1.56</f>
        <v>25.641025641025639</v>
      </c>
      <c r="E91" s="54"/>
      <c r="F91" s="54"/>
      <c r="G91" s="54"/>
      <c r="H91" s="54">
        <v>1</v>
      </c>
      <c r="I91" s="56">
        <f t="shared" si="3"/>
        <v>6.5384615384615357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f>192/1.56</f>
        <v>123.07692307692307</v>
      </c>
      <c r="C92" s="53"/>
      <c r="D92" s="63"/>
      <c r="E92" s="54"/>
      <c r="F92" s="54"/>
      <c r="G92" s="54"/>
      <c r="H92" s="54"/>
      <c r="I92" s="56">
        <f t="shared" si="3"/>
        <v>6.4102564102564088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(216+22)/1.56</f>
        <v>152.56410256410257</v>
      </c>
      <c r="C93" s="53">
        <v>3</v>
      </c>
      <c r="D93" s="63">
        <f>(22+23)/1.56</f>
        <v>28.846153846153847</v>
      </c>
      <c r="E93" s="54"/>
      <c r="F93" s="54"/>
      <c r="G93" s="54"/>
      <c r="H93" s="54"/>
      <c r="I93" s="56">
        <f t="shared" si="3"/>
        <v>5.8974358974359005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45</v>
      </c>
      <c r="B94" s="63">
        <f>238/1.56</f>
        <v>152.56410256410257</v>
      </c>
      <c r="C94" s="63"/>
      <c r="D94" s="63"/>
      <c r="E94" s="93"/>
      <c r="F94" s="93"/>
      <c r="G94" s="93"/>
      <c r="H94" s="93"/>
      <c r="I94" s="56">
        <f t="shared" si="3"/>
        <v>5.7692307692307683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f>(257+24)/1.56</f>
        <v>180.12820512820511</v>
      </c>
      <c r="C95" s="63">
        <v>4</v>
      </c>
      <c r="D95" s="63">
        <f>(24+24)/1.56</f>
        <v>30.769230769230766</v>
      </c>
      <c r="E95" s="93"/>
      <c r="F95" s="93"/>
      <c r="G95" s="93"/>
      <c r="H95" s="93"/>
      <c r="I95" s="56">
        <f t="shared" si="3"/>
        <v>5.5128205128205083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f>274/1.56</f>
        <v>175.64102564102564</v>
      </c>
      <c r="C96" s="63"/>
      <c r="D96" s="63"/>
      <c r="E96" s="93"/>
      <c r="F96" s="93"/>
      <c r="G96" s="93"/>
      <c r="H96" s="93"/>
      <c r="I96" s="56">
        <f t="shared" si="3"/>
        <v>5.2564102564102599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f>(289+23)/1.56</f>
        <v>200</v>
      </c>
      <c r="C97" s="63">
        <v>5</v>
      </c>
      <c r="D97" s="63">
        <f>(23+23)/1.56</f>
        <v>29.487179487179485</v>
      </c>
      <c r="E97" s="93"/>
      <c r="F97" s="93"/>
      <c r="G97" s="93"/>
      <c r="H97" s="93"/>
      <c r="I97" s="56">
        <f t="shared" si="3"/>
        <v>4.8717948717948731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f>302/1.56</f>
        <v>193.58974358974359</v>
      </c>
      <c r="C98" s="63"/>
      <c r="D98" s="63"/>
      <c r="E98" s="93"/>
      <c r="F98" s="93"/>
      <c r="G98" s="93"/>
      <c r="H98" s="93"/>
      <c r="I98" s="56">
        <f t="shared" si="3"/>
        <v>4.6153846153846132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f>(313+23)/1.56</f>
        <v>215.38461538461539</v>
      </c>
      <c r="C99" s="63">
        <v>6</v>
      </c>
      <c r="D99" s="63">
        <f>(23+22)/1.56</f>
        <v>28.846153846153847</v>
      </c>
      <c r="E99" s="93"/>
      <c r="F99" s="93"/>
      <c r="G99" s="93"/>
      <c r="H99" s="93"/>
      <c r="I99" s="56">
        <f t="shared" si="3"/>
        <v>4.3589743589743595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f>324/1.56</f>
        <v>207.69230769230768</v>
      </c>
      <c r="C100" s="63"/>
      <c r="D100" s="63"/>
      <c r="E100" s="68"/>
      <c r="F100" s="68"/>
      <c r="G100" s="68"/>
      <c r="H100" s="68"/>
      <c r="I100" s="56">
        <f t="shared" si="3"/>
        <v>4.2307692307692264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f>(333+22)/1.56</f>
        <v>227.56410256410257</v>
      </c>
      <c r="C101" s="63">
        <v>7</v>
      </c>
      <c r="D101" s="63">
        <f>(22+21)/1.56</f>
        <v>27.564102564102562</v>
      </c>
      <c r="E101" s="68"/>
      <c r="F101" s="68"/>
      <c r="G101" s="68"/>
      <c r="H101" s="68"/>
      <c r="I101" s="56">
        <f t="shared" si="3"/>
        <v>3.974358974358978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219.23076923076923</v>
      </c>
      <c r="C102" s="53"/>
      <c r="D102" s="53"/>
      <c r="E102" s="57"/>
      <c r="F102" s="57"/>
      <c r="G102" s="57"/>
      <c r="H102" s="57"/>
      <c r="I102" s="56">
        <f t="shared" si="3"/>
        <v>3.8461538461538454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237.17948717948718</v>
      </c>
      <c r="C103" s="53">
        <v>8</v>
      </c>
      <c r="D103" s="53">
        <v>25.641025641025639</v>
      </c>
      <c r="E103" s="57"/>
      <c r="F103" s="57"/>
      <c r="G103" s="57"/>
      <c r="H103" s="57"/>
      <c r="I103" s="56">
        <f t="shared" si="3"/>
        <v>3.5897435897435912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229.48717948717947</v>
      </c>
      <c r="C104" s="53"/>
      <c r="D104" s="53"/>
      <c r="E104" s="57"/>
      <c r="F104" s="57"/>
      <c r="G104" s="57"/>
      <c r="H104" s="57"/>
      <c r="I104" s="56">
        <f t="shared" si="3"/>
        <v>3.5897435897435854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246.15384615384613</v>
      </c>
      <c r="C105" s="53">
        <v>9</v>
      </c>
      <c r="D105" s="53">
        <v>23.717948717948715</v>
      </c>
      <c r="E105" s="57"/>
      <c r="F105" s="57"/>
      <c r="G105" s="57"/>
      <c r="H105" s="57"/>
      <c r="I105" s="56">
        <f t="shared" si="3"/>
        <v>3.3333333333333313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253.2051282051282</v>
      </c>
      <c r="C106" s="53"/>
      <c r="D106" s="53"/>
      <c r="E106" s="57"/>
      <c r="F106" s="57"/>
      <c r="G106" s="57"/>
      <c r="H106" s="57"/>
      <c r="I106" s="56">
        <f t="shared" si="3"/>
        <v>3.0769230769230802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282.05128205128204</v>
      </c>
      <c r="C107" s="53">
        <v>10</v>
      </c>
      <c r="D107" s="53">
        <v>282.05128205128204</v>
      </c>
      <c r="E107" s="57"/>
      <c r="F107" s="57"/>
      <c r="G107" s="57"/>
      <c r="H107" s="57"/>
      <c r="I107" s="56">
        <f t="shared" si="3"/>
        <v>2.8846153846153841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11.1</f>
        <v>11.1</v>
      </c>
      <c r="C114" s="63"/>
      <c r="D114" s="63"/>
      <c r="E114" s="54"/>
      <c r="F114" s="54"/>
      <c r="G114" s="54"/>
      <c r="H114" s="93"/>
      <c r="I114" s="56">
        <f>IFERROR(B114/A114,"")</f>
        <v>1.1099999999999999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33+31.5</f>
        <v>64.5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10.68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66.8+31.5+35</f>
        <v>133.30000000000001</v>
      </c>
      <c r="C116" s="63">
        <v>1</v>
      </c>
      <c r="D116" s="63">
        <f>31.5+35</f>
        <v>66.5</v>
      </c>
      <c r="E116" s="93"/>
      <c r="F116" s="93"/>
      <c r="G116" s="93"/>
      <c r="H116" s="93">
        <v>1</v>
      </c>
      <c r="I116" s="56">
        <f t="shared" si="4"/>
        <v>13.760000000000002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105.5+35</f>
        <v>140.5</v>
      </c>
      <c r="C117" s="63"/>
      <c r="D117" s="63"/>
      <c r="E117" s="93"/>
      <c r="F117" s="93"/>
      <c r="G117" s="93"/>
      <c r="H117" s="93"/>
      <c r="I117" s="56">
        <f t="shared" si="4"/>
        <v>14.739999999999998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141.8+35+35</f>
        <v>211.8</v>
      </c>
      <c r="C118" s="63">
        <v>2</v>
      </c>
      <c r="D118" s="63">
        <f>35+35</f>
        <v>70</v>
      </c>
      <c r="E118" s="93"/>
      <c r="F118" s="93"/>
      <c r="G118" s="93"/>
      <c r="H118" s="93">
        <v>1</v>
      </c>
      <c r="I118" s="56">
        <f t="shared" si="4"/>
        <v>14.260000000000002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171.4+35</f>
        <v>206.4</v>
      </c>
      <c r="C119" s="63"/>
      <c r="D119" s="63"/>
      <c r="E119" s="93"/>
      <c r="F119" s="93"/>
      <c r="G119" s="93"/>
      <c r="H119" s="93"/>
      <c r="I119" s="56">
        <f t="shared" si="4"/>
        <v>12.919999999999998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193.1+35+35</f>
        <v>263.10000000000002</v>
      </c>
      <c r="C120" s="63">
        <v>3</v>
      </c>
      <c r="D120" s="63">
        <f>35+35</f>
        <v>70</v>
      </c>
      <c r="E120" s="93"/>
      <c r="F120" s="93"/>
      <c r="G120" s="93"/>
      <c r="H120" s="93"/>
      <c r="I120" s="56">
        <f t="shared" si="4"/>
        <v>11.340000000000003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f>218+24.2</f>
        <v>242.2</v>
      </c>
      <c r="C121" s="63"/>
      <c r="D121" s="63"/>
      <c r="E121" s="93"/>
      <c r="F121" s="93"/>
      <c r="G121" s="93"/>
      <c r="H121" s="93"/>
      <c r="I121" s="56">
        <f t="shared" si="4"/>
        <v>9.8199999999999932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f>241.8+24.2+18.9</f>
        <v>284.89999999999998</v>
      </c>
      <c r="C122" s="63">
        <v>4</v>
      </c>
      <c r="D122" s="63">
        <f>24.2+18.9</f>
        <v>43.099999999999994</v>
      </c>
      <c r="E122" s="93"/>
      <c r="F122" s="93"/>
      <c r="G122" s="93"/>
      <c r="H122" s="93"/>
      <c r="I122" s="56">
        <f t="shared" si="4"/>
        <v>8.5399999999999974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f>262.6+16</f>
        <v>278.60000000000002</v>
      </c>
      <c r="C123" s="63"/>
      <c r="D123" s="63"/>
      <c r="E123" s="93"/>
      <c r="F123" s="93"/>
      <c r="G123" s="93"/>
      <c r="H123" s="93"/>
      <c r="I123" s="56">
        <f t="shared" si="4"/>
        <v>7.3600000000000083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f>279.8+16+14.2</f>
        <v>310</v>
      </c>
      <c r="C124" s="63">
        <v>5</v>
      </c>
      <c r="D124" s="63">
        <f>16+14.2</f>
        <v>30.2</v>
      </c>
      <c r="E124" s="93"/>
      <c r="F124" s="93"/>
      <c r="G124" s="93"/>
      <c r="H124" s="93"/>
      <c r="I124" s="56">
        <f t="shared" si="4"/>
        <v>6.2799999999999958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f>292.6+13.4</f>
        <v>306</v>
      </c>
      <c r="C125" s="63"/>
      <c r="D125" s="63"/>
      <c r="E125" s="93"/>
      <c r="F125" s="93"/>
      <c r="G125" s="93"/>
      <c r="H125" s="93"/>
      <c r="I125" s="56">
        <f t="shared" si="4"/>
        <v>5.2399999999999975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f>302.6+13.4+12.5</f>
        <v>328.5</v>
      </c>
      <c r="C126" s="63">
        <v>6</v>
      </c>
      <c r="D126" s="63">
        <f>13.4+12.5</f>
        <v>25.9</v>
      </c>
      <c r="E126" s="68"/>
      <c r="F126" s="68"/>
      <c r="G126" s="68"/>
      <c r="H126" s="68"/>
      <c r="I126" s="56">
        <f t="shared" si="4"/>
        <v>4.5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f>311.9+11.6</f>
        <v>323.5</v>
      </c>
      <c r="C127" s="63"/>
      <c r="D127" s="63"/>
      <c r="E127" s="68"/>
      <c r="F127" s="68"/>
      <c r="G127" s="68"/>
      <c r="H127" s="68"/>
      <c r="I127" s="56">
        <f t="shared" si="4"/>
        <v>4.1799999999999953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>
        <v>80</v>
      </c>
      <c r="B128" s="53">
        <v>341.3</v>
      </c>
      <c r="C128" s="63">
        <v>7</v>
      </c>
      <c r="D128" s="53">
        <v>341.3</v>
      </c>
      <c r="E128" s="57"/>
      <c r="F128" s="57"/>
      <c r="G128" s="57"/>
      <c r="H128" s="57"/>
      <c r="I128" s="56">
        <f t="shared" si="4"/>
        <v>3.5600000000000023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f>11.1</f>
        <v>11.1</v>
      </c>
      <c r="C140" s="63"/>
      <c r="D140" s="63"/>
      <c r="E140" s="54"/>
      <c r="F140" s="54"/>
      <c r="G140" s="54"/>
      <c r="H140" s="93"/>
      <c r="I140" s="60">
        <f>IFERROR(B140/A140,"")</f>
        <v>1.1099999999999999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f>33+31.5</f>
        <v>64.5</v>
      </c>
      <c r="C141" s="63"/>
      <c r="D141" s="63"/>
      <c r="E141" s="54"/>
      <c r="F141" s="54"/>
      <c r="G141" s="54"/>
      <c r="H141" s="93"/>
      <c r="I141" s="60">
        <f t="shared" ref="I141:I159" si="5">IF(A141&lt;&gt;0,(B141-(B140-D140))/(A141-A140),"")</f>
        <v>10.68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f>66.8+31.5+35</f>
        <v>133.30000000000001</v>
      </c>
      <c r="C142" s="63">
        <v>1</v>
      </c>
      <c r="D142" s="63">
        <f>31.5+35</f>
        <v>66.5</v>
      </c>
      <c r="E142" s="93"/>
      <c r="F142" s="93"/>
      <c r="G142" s="93"/>
      <c r="H142" s="93">
        <v>1</v>
      </c>
      <c r="I142" s="60">
        <f t="shared" si="5"/>
        <v>13.760000000000002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f>105.5+35</f>
        <v>140.5</v>
      </c>
      <c r="C143" s="63"/>
      <c r="D143" s="63"/>
      <c r="E143" s="93"/>
      <c r="F143" s="93"/>
      <c r="G143" s="93"/>
      <c r="H143" s="93"/>
      <c r="I143" s="60">
        <f t="shared" si="5"/>
        <v>14.739999999999998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f>141.8+35+35</f>
        <v>211.8</v>
      </c>
      <c r="C144" s="63">
        <v>2</v>
      </c>
      <c r="D144" s="63">
        <f>35+35</f>
        <v>70</v>
      </c>
      <c r="E144" s="93"/>
      <c r="F144" s="93"/>
      <c r="G144" s="93"/>
      <c r="H144" s="93">
        <v>1</v>
      </c>
      <c r="I144" s="60">
        <f t="shared" si="5"/>
        <v>14.260000000000002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f>171.4+35</f>
        <v>206.4</v>
      </c>
      <c r="C145" s="63"/>
      <c r="D145" s="63"/>
      <c r="E145" s="93"/>
      <c r="F145" s="93"/>
      <c r="G145" s="93"/>
      <c r="H145" s="93"/>
      <c r="I145" s="60">
        <f t="shared" si="5"/>
        <v>12.919999999999998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f>193.1+35+35</f>
        <v>263.10000000000002</v>
      </c>
      <c r="C146" s="63">
        <v>3</v>
      </c>
      <c r="D146" s="63">
        <f>35+35</f>
        <v>70</v>
      </c>
      <c r="E146" s="93"/>
      <c r="F146" s="93"/>
      <c r="G146" s="93"/>
      <c r="H146" s="93"/>
      <c r="I146" s="60">
        <f t="shared" si="5"/>
        <v>11.340000000000003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45</v>
      </c>
      <c r="B147" s="63">
        <f>218+24.2</f>
        <v>242.2</v>
      </c>
      <c r="C147" s="63"/>
      <c r="D147" s="63"/>
      <c r="E147" s="93"/>
      <c r="F147" s="93"/>
      <c r="G147" s="93"/>
      <c r="H147" s="93"/>
      <c r="I147" s="60">
        <f>IF(A147&lt;&gt;0,(B147-(B146-D146))/(A147-A146),"")</f>
        <v>9.8199999999999932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50</v>
      </c>
      <c r="B148" s="63">
        <f>241.8+24.2+18.9</f>
        <v>284.89999999999998</v>
      </c>
      <c r="C148" s="63">
        <v>4</v>
      </c>
      <c r="D148" s="63">
        <f>24.2+18.9</f>
        <v>43.099999999999994</v>
      </c>
      <c r="E148" s="93"/>
      <c r="F148" s="93"/>
      <c r="G148" s="93"/>
      <c r="H148" s="93"/>
      <c r="I148" s="60">
        <f t="shared" si="5"/>
        <v>8.5399999999999974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55</v>
      </c>
      <c r="B149" s="63">
        <f>262.6+16</f>
        <v>278.60000000000002</v>
      </c>
      <c r="C149" s="63"/>
      <c r="D149" s="63"/>
      <c r="E149" s="93"/>
      <c r="F149" s="93"/>
      <c r="G149" s="93"/>
      <c r="H149" s="93"/>
      <c r="I149" s="60">
        <f t="shared" si="5"/>
        <v>7.3600000000000083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60</v>
      </c>
      <c r="B150" s="63">
        <f>279.8+16+14.2</f>
        <v>310</v>
      </c>
      <c r="C150" s="63">
        <v>5</v>
      </c>
      <c r="D150" s="63">
        <f>16+14.2</f>
        <v>30.2</v>
      </c>
      <c r="E150" s="93"/>
      <c r="F150" s="93"/>
      <c r="G150" s="93"/>
      <c r="H150" s="93"/>
      <c r="I150" s="60">
        <f t="shared" si="5"/>
        <v>6.2799999999999958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65</v>
      </c>
      <c r="B151" s="63">
        <f>292.6+13.4</f>
        <v>306</v>
      </c>
      <c r="C151" s="63"/>
      <c r="D151" s="63"/>
      <c r="E151" s="93"/>
      <c r="F151" s="93"/>
      <c r="G151" s="93"/>
      <c r="H151" s="93"/>
      <c r="I151" s="60">
        <f t="shared" si="5"/>
        <v>5.2399999999999975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70</v>
      </c>
      <c r="B152" s="63">
        <f>302.6+13.4+12.5</f>
        <v>328.5</v>
      </c>
      <c r="C152" s="63">
        <v>6</v>
      </c>
      <c r="D152" s="63">
        <f>13.4+12.5</f>
        <v>25.9</v>
      </c>
      <c r="E152" s="68"/>
      <c r="F152" s="68"/>
      <c r="G152" s="68"/>
      <c r="H152" s="68"/>
      <c r="I152" s="60">
        <f t="shared" si="5"/>
        <v>4.5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75</v>
      </c>
      <c r="B153" s="63">
        <f>311.9+11.6</f>
        <v>323.5</v>
      </c>
      <c r="C153" s="63"/>
      <c r="D153" s="63"/>
      <c r="E153" s="68"/>
      <c r="F153" s="68"/>
      <c r="G153" s="68"/>
      <c r="H153" s="68"/>
      <c r="I153" s="60">
        <f t="shared" si="5"/>
        <v>4.1799999999999953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3">
        <v>80</v>
      </c>
      <c r="B154" s="53">
        <v>341.3</v>
      </c>
      <c r="C154" s="63">
        <v>7</v>
      </c>
      <c r="D154" s="53">
        <v>341.3</v>
      </c>
      <c r="E154" s="57"/>
      <c r="F154" s="57"/>
      <c r="G154" s="57"/>
      <c r="H154" s="57"/>
      <c r="I154" s="60">
        <f t="shared" si="5"/>
        <v>3.5600000000000023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rouge d'Amérique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18</v>
      </c>
      <c r="C166" s="63"/>
      <c r="D166" s="63"/>
      <c r="E166" s="54"/>
      <c r="F166" s="54"/>
      <c r="G166" s="54"/>
      <c r="H166" s="54"/>
      <c r="I166" s="52">
        <f>IFERROR(B166/A166,"")</f>
        <v>1.8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47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5.8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f>58+29</f>
        <v>87</v>
      </c>
      <c r="C168" s="63">
        <v>1</v>
      </c>
      <c r="D168" s="63">
        <v>29</v>
      </c>
      <c r="E168" s="54"/>
      <c r="F168" s="54"/>
      <c r="G168" s="54"/>
      <c r="H168" s="54">
        <v>1</v>
      </c>
      <c r="I168" s="52">
        <f t="shared" si="6"/>
        <v>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f>79+19</f>
        <v>98</v>
      </c>
      <c r="C169" s="63"/>
      <c r="D169" s="63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f>99+19+20</f>
        <v>138</v>
      </c>
      <c r="C170" s="63">
        <v>2</v>
      </c>
      <c r="D170" s="63">
        <f>19+20</f>
        <v>39</v>
      </c>
      <c r="E170" s="54"/>
      <c r="F170" s="54"/>
      <c r="G170" s="54"/>
      <c r="H170" s="54">
        <v>1</v>
      </c>
      <c r="I170" s="52">
        <f t="shared" si="6"/>
        <v>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f>115+20</f>
        <v>135</v>
      </c>
      <c r="C171" s="63"/>
      <c r="D171" s="63"/>
      <c r="E171" s="54"/>
      <c r="F171" s="54"/>
      <c r="G171" s="54"/>
      <c r="H171" s="54"/>
      <c r="I171" s="52">
        <f t="shared" si="6"/>
        <v>7.2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f>130+20+20</f>
        <v>170</v>
      </c>
      <c r="C172" s="63">
        <v>3</v>
      </c>
      <c r="D172" s="63">
        <f>20+20</f>
        <v>40</v>
      </c>
      <c r="E172" s="54"/>
      <c r="F172" s="54"/>
      <c r="G172" s="54"/>
      <c r="H172" s="54"/>
      <c r="I172" s="52">
        <f t="shared" si="6"/>
        <v>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341">
        <v>45</v>
      </c>
      <c r="B173" s="63">
        <f>143+19</f>
        <v>162</v>
      </c>
      <c r="C173" s="63"/>
      <c r="D173" s="63"/>
      <c r="E173" s="54"/>
      <c r="F173" s="54"/>
      <c r="G173" s="54"/>
      <c r="H173" s="54"/>
      <c r="I173" s="52">
        <f t="shared" si="6"/>
        <v>6.4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341">
        <v>50</v>
      </c>
      <c r="B174" s="63">
        <f>155+19+18</f>
        <v>192</v>
      </c>
      <c r="C174" s="63">
        <v>4</v>
      </c>
      <c r="D174" s="63">
        <f>19+18</f>
        <v>37</v>
      </c>
      <c r="E174" s="54"/>
      <c r="F174" s="54"/>
      <c r="G174" s="54"/>
      <c r="H174" s="54"/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341">
        <v>55</v>
      </c>
      <c r="B175" s="63">
        <f>164+17</f>
        <v>181</v>
      </c>
      <c r="C175" s="63"/>
      <c r="D175" s="63"/>
      <c r="E175" s="54"/>
      <c r="F175" s="54"/>
      <c r="G175" s="54"/>
      <c r="H175" s="54"/>
      <c r="I175" s="52">
        <f t="shared" si="6"/>
        <v>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341">
        <v>60</v>
      </c>
      <c r="B176" s="63">
        <f>173+17+16</f>
        <v>206</v>
      </c>
      <c r="C176" s="63">
        <v>5</v>
      </c>
      <c r="D176" s="63">
        <f>17+16</f>
        <v>33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341">
        <v>65</v>
      </c>
      <c r="B177" s="63">
        <f>180+15</f>
        <v>195</v>
      </c>
      <c r="C177" s="63"/>
      <c r="D177" s="63"/>
      <c r="E177" s="54"/>
      <c r="F177" s="54"/>
      <c r="G177" s="54"/>
      <c r="H177" s="54"/>
      <c r="I177" s="52">
        <f t="shared" si="6"/>
        <v>4.4000000000000004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341">
        <v>70</v>
      </c>
      <c r="B178" s="63">
        <f>187+15+14</f>
        <v>216</v>
      </c>
      <c r="C178" s="63">
        <v>6</v>
      </c>
      <c r="D178" s="63">
        <f>15+14</f>
        <v>29</v>
      </c>
      <c r="E178" s="54"/>
      <c r="F178" s="54"/>
      <c r="G178" s="54"/>
      <c r="H178" s="54"/>
      <c r="I178" s="52">
        <f t="shared" si="6"/>
        <v>4.2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341">
        <v>75</v>
      </c>
      <c r="B179" s="63">
        <f>192+12</f>
        <v>204</v>
      </c>
      <c r="C179" s="63"/>
      <c r="D179" s="63"/>
      <c r="E179" s="54"/>
      <c r="F179" s="54"/>
      <c r="G179" s="54"/>
      <c r="H179" s="54"/>
      <c r="I179" s="52">
        <f t="shared" si="6"/>
        <v>3.4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341">
        <v>80</v>
      </c>
      <c r="B180" s="53">
        <v>220</v>
      </c>
      <c r="C180" s="53">
        <v>7</v>
      </c>
      <c r="D180" s="53">
        <v>23</v>
      </c>
      <c r="E180" s="54"/>
      <c r="F180" s="54"/>
      <c r="G180" s="54"/>
      <c r="H180" s="54"/>
      <c r="I180" s="52">
        <f t="shared" si="6"/>
        <v>3.2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341">
        <v>85</v>
      </c>
      <c r="B181" s="53">
        <v>211</v>
      </c>
      <c r="C181" s="53"/>
      <c r="D181" s="53"/>
      <c r="E181" s="54"/>
      <c r="F181" s="54"/>
      <c r="G181" s="54"/>
      <c r="H181" s="54"/>
      <c r="I181" s="52">
        <f t="shared" si="6"/>
        <v>2.8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341">
        <v>90</v>
      </c>
      <c r="B182" s="53">
        <v>225</v>
      </c>
      <c r="C182" s="53">
        <v>8</v>
      </c>
      <c r="D182" s="53">
        <v>20</v>
      </c>
      <c r="E182" s="54"/>
      <c r="F182" s="54"/>
      <c r="G182" s="54"/>
      <c r="H182" s="54"/>
      <c r="I182" s="52">
        <f t="shared" si="6"/>
        <v>2.8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341">
        <v>95</v>
      </c>
      <c r="B183" s="53">
        <v>219</v>
      </c>
      <c r="C183" s="53"/>
      <c r="D183" s="53"/>
      <c r="E183" s="54"/>
      <c r="F183" s="54"/>
      <c r="G183" s="54"/>
      <c r="H183" s="54"/>
      <c r="I183" s="52">
        <f t="shared" si="6"/>
        <v>2.8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341">
        <v>100</v>
      </c>
      <c r="B184" s="53">
        <v>234</v>
      </c>
      <c r="C184" s="53">
        <v>9</v>
      </c>
      <c r="D184" s="53">
        <v>234</v>
      </c>
      <c r="E184" s="54"/>
      <c r="F184" s="54"/>
      <c r="G184" s="54"/>
      <c r="H184" s="54"/>
      <c r="I184" s="52">
        <f t="shared" si="6"/>
        <v>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Douglas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21</v>
      </c>
      <c r="B192" s="63">
        <v>210</v>
      </c>
      <c r="C192" s="63">
        <v>1</v>
      </c>
      <c r="D192" s="63">
        <f>210-147</f>
        <v>63</v>
      </c>
      <c r="E192" s="54"/>
      <c r="F192" s="54"/>
      <c r="G192" s="54">
        <v>0.5</v>
      </c>
      <c r="H192" s="54">
        <v>0.5</v>
      </c>
      <c r="I192" s="52">
        <f>IFERROR(B192/A192,"")</f>
        <v>10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28</v>
      </c>
      <c r="B193" s="63">
        <v>280</v>
      </c>
      <c r="C193" s="63">
        <v>2</v>
      </c>
      <c r="D193" s="63">
        <v>64</v>
      </c>
      <c r="E193" s="54"/>
      <c r="F193" s="54">
        <v>0.3</v>
      </c>
      <c r="G193" s="54">
        <v>0.4</v>
      </c>
      <c r="H193" s="54">
        <v>0.3</v>
      </c>
      <c r="I193" s="52">
        <f t="shared" ref="I193:I211" si="7">IF(A193&lt;&gt;0,(B193-(B192-D192))/(A193-A192),"")</f>
        <v>19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35</v>
      </c>
      <c r="B194" s="63">
        <v>355</v>
      </c>
      <c r="C194" s="63">
        <v>3</v>
      </c>
      <c r="D194" s="63">
        <v>73</v>
      </c>
      <c r="E194" s="54"/>
      <c r="F194" s="54"/>
      <c r="G194" s="54"/>
      <c r="H194" s="54"/>
      <c r="I194" s="52">
        <f t="shared" si="7"/>
        <v>19.857142857142858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42</v>
      </c>
      <c r="B195" s="63">
        <v>419</v>
      </c>
      <c r="C195" s="63">
        <v>4</v>
      </c>
      <c r="D195" s="63">
        <v>77</v>
      </c>
      <c r="E195" s="54"/>
      <c r="F195" s="54"/>
      <c r="G195" s="54"/>
      <c r="H195" s="54"/>
      <c r="I195" s="52">
        <f t="shared" si="7"/>
        <v>19.571428571428573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49</v>
      </c>
      <c r="B196" s="63">
        <v>473</v>
      </c>
      <c r="C196" s="63">
        <v>5</v>
      </c>
      <c r="D196" s="63">
        <v>80</v>
      </c>
      <c r="E196" s="54"/>
      <c r="F196" s="54"/>
      <c r="G196" s="54"/>
      <c r="H196" s="54"/>
      <c r="I196" s="52">
        <f t="shared" si="7"/>
        <v>18.714285714285715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56</v>
      </c>
      <c r="B197" s="63">
        <v>514</v>
      </c>
      <c r="C197" s="63">
        <v>6</v>
      </c>
      <c r="D197" s="63">
        <v>85</v>
      </c>
      <c r="E197" s="54"/>
      <c r="F197" s="54"/>
      <c r="G197" s="54"/>
      <c r="H197" s="54"/>
      <c r="I197" s="52">
        <f t="shared" si="7"/>
        <v>17.285714285714285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63</v>
      </c>
      <c r="B198" s="63">
        <v>538</v>
      </c>
      <c r="C198" s="63">
        <v>7</v>
      </c>
      <c r="D198" s="63">
        <v>84</v>
      </c>
      <c r="E198" s="54"/>
      <c r="F198" s="54"/>
      <c r="G198" s="54"/>
      <c r="H198" s="54"/>
      <c r="I198" s="52">
        <f t="shared" si="7"/>
        <v>15.571428571428571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70</v>
      </c>
      <c r="B199" s="53">
        <v>551</v>
      </c>
      <c r="C199" s="53">
        <v>8</v>
      </c>
      <c r="D199" s="53">
        <f>B199</f>
        <v>551</v>
      </c>
      <c r="E199" s="54"/>
      <c r="F199" s="54"/>
      <c r="G199" s="54"/>
      <c r="H199" s="54"/>
      <c r="I199" s="52">
        <f t="shared" si="7"/>
        <v>13.857142857142858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Cèdre de l'Atlas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30</v>
      </c>
      <c r="B218" s="63">
        <v>88</v>
      </c>
      <c r="C218" s="53"/>
      <c r="D218" s="63"/>
      <c r="E218" s="66"/>
      <c r="F218" s="66"/>
      <c r="G218" s="66"/>
      <c r="H218" s="66"/>
      <c r="I218" s="56">
        <f>IFERROR(B218/A218,"")</f>
        <v>2.9333333333333331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40</v>
      </c>
      <c r="B219" s="63">
        <v>198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11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46</v>
      </c>
      <c r="B220" s="63">
        <v>300</v>
      </c>
      <c r="C220" s="53">
        <v>1</v>
      </c>
      <c r="D220" s="63">
        <v>102</v>
      </c>
      <c r="E220" s="66"/>
      <c r="F220" s="66"/>
      <c r="G220" s="66"/>
      <c r="H220" s="66"/>
      <c r="I220" s="56">
        <f t="shared" si="8"/>
        <v>17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56</v>
      </c>
      <c r="B221" s="58">
        <v>379</v>
      </c>
      <c r="C221" s="58">
        <v>2</v>
      </c>
      <c r="D221" s="58">
        <v>91</v>
      </c>
      <c r="E221" s="66"/>
      <c r="F221" s="66"/>
      <c r="G221" s="66"/>
      <c r="H221" s="66"/>
      <c r="I221" s="56">
        <f t="shared" si="8"/>
        <v>18.100000000000001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66</v>
      </c>
      <c r="B222" s="58">
        <v>465</v>
      </c>
      <c r="C222" s="58">
        <v>3</v>
      </c>
      <c r="D222" s="58">
        <v>101</v>
      </c>
      <c r="E222" s="66"/>
      <c r="F222" s="66"/>
      <c r="G222" s="66"/>
      <c r="H222" s="66"/>
      <c r="I222" s="56">
        <f t="shared" si="8"/>
        <v>17.7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76</v>
      </c>
      <c r="B223" s="58">
        <v>531</v>
      </c>
      <c r="C223" s="58">
        <v>4</v>
      </c>
      <c r="D223" s="58">
        <v>106</v>
      </c>
      <c r="E223" s="66"/>
      <c r="F223" s="66"/>
      <c r="G223" s="66"/>
      <c r="H223" s="66"/>
      <c r="I223" s="56">
        <f t="shared" si="8"/>
        <v>16.7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86</v>
      </c>
      <c r="B224" s="58">
        <v>567</v>
      </c>
      <c r="C224" s="58">
        <v>5</v>
      </c>
      <c r="D224" s="58">
        <v>108</v>
      </c>
      <c r="E224" s="66"/>
      <c r="F224" s="66"/>
      <c r="G224" s="66"/>
      <c r="H224" s="66"/>
      <c r="I224" s="56">
        <f t="shared" si="8"/>
        <v>14.2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95</v>
      </c>
      <c r="B225" s="58">
        <v>576</v>
      </c>
      <c r="C225" s="58">
        <v>6</v>
      </c>
      <c r="D225" s="58">
        <v>103</v>
      </c>
      <c r="E225" s="66"/>
      <c r="F225" s="66"/>
      <c r="G225" s="66"/>
      <c r="H225" s="66"/>
      <c r="I225" s="56">
        <f t="shared" si="8"/>
        <v>13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100</v>
      </c>
      <c r="B226" s="58">
        <v>529</v>
      </c>
      <c r="C226" s="58"/>
      <c r="D226" s="58"/>
      <c r="E226" s="66"/>
      <c r="F226" s="66"/>
      <c r="G226" s="66"/>
      <c r="H226" s="66"/>
      <c r="I226" s="56">
        <f t="shared" si="8"/>
        <v>11.2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105</v>
      </c>
      <c r="B227" s="58">
        <v>580</v>
      </c>
      <c r="C227" s="58">
        <v>7</v>
      </c>
      <c r="D227" s="58">
        <f>B227</f>
        <v>580</v>
      </c>
      <c r="E227" s="66"/>
      <c r="F227" s="66"/>
      <c r="G227" s="66"/>
      <c r="H227" s="66"/>
      <c r="I227" s="56">
        <f t="shared" si="8"/>
        <v>10.199999999999999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Mélèze d'Europe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18</v>
      </c>
      <c r="B244" s="63">
        <v>112</v>
      </c>
      <c r="C244" s="63">
        <v>1</v>
      </c>
      <c r="D244" s="63">
        <v>20</v>
      </c>
      <c r="E244" s="54"/>
      <c r="F244" s="54"/>
      <c r="G244" s="54">
        <v>0.5</v>
      </c>
      <c r="H244" s="54">
        <v>0.5</v>
      </c>
      <c r="I244" s="56">
        <f>IFERROR(B244/A244,"")</f>
        <v>6.2222222222222223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21</v>
      </c>
      <c r="B245" s="63">
        <v>146</v>
      </c>
      <c r="C245" s="63">
        <v>2</v>
      </c>
      <c r="D245" s="63">
        <v>26</v>
      </c>
      <c r="E245" s="54"/>
      <c r="F245" s="54"/>
      <c r="G245" s="54">
        <v>0.5</v>
      </c>
      <c r="H245" s="54">
        <v>0.5</v>
      </c>
      <c r="I245" s="56">
        <f>IF(A245&lt;&gt;0,(B245-(B244-D244))/(A245-A244),"")</f>
        <v>18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24</v>
      </c>
      <c r="B246" s="63">
        <v>168</v>
      </c>
      <c r="C246" s="63">
        <v>3</v>
      </c>
      <c r="D246" s="63">
        <v>29</v>
      </c>
      <c r="E246" s="54"/>
      <c r="F246" s="54">
        <v>0.2</v>
      </c>
      <c r="G246" s="54">
        <v>0.4</v>
      </c>
      <c r="H246" s="54">
        <v>0.4</v>
      </c>
      <c r="I246" s="56">
        <f>IF(A246&lt;&gt;0,(B246-(B245-D245))/(A246-A245),"")</f>
        <v>16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30</v>
      </c>
      <c r="B247" s="63">
        <v>224</v>
      </c>
      <c r="C247" s="63">
        <v>4</v>
      </c>
      <c r="D247" s="63">
        <v>53</v>
      </c>
      <c r="E247" s="54"/>
      <c r="F247" s="54">
        <v>0.3</v>
      </c>
      <c r="G247" s="54">
        <v>0.4</v>
      </c>
      <c r="H247" s="54">
        <v>0.3</v>
      </c>
      <c r="I247" s="56">
        <f t="shared" ref="I247:I263" si="9">IF(A247&lt;&gt;0,(B247-(B246-D246))/(A247-A246),"")</f>
        <v>14.166666666666666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36</v>
      </c>
      <c r="B248" s="63">
        <v>248</v>
      </c>
      <c r="C248" s="63">
        <v>5</v>
      </c>
      <c r="D248" s="63">
        <v>62</v>
      </c>
      <c r="E248" s="54"/>
      <c r="F248" s="54"/>
      <c r="G248" s="54"/>
      <c r="H248" s="54"/>
      <c r="I248" s="56">
        <f t="shared" si="9"/>
        <v>12.833333333333334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42</v>
      </c>
      <c r="B249" s="63">
        <v>255</v>
      </c>
      <c r="C249" s="63">
        <v>6</v>
      </c>
      <c r="D249" s="63">
        <v>67</v>
      </c>
      <c r="E249" s="54"/>
      <c r="F249" s="54"/>
      <c r="G249" s="54"/>
      <c r="H249" s="54"/>
      <c r="I249" s="56">
        <f t="shared" si="9"/>
        <v>11.5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48</v>
      </c>
      <c r="B250" s="63">
        <v>252</v>
      </c>
      <c r="C250" s="63">
        <v>7</v>
      </c>
      <c r="D250" s="63">
        <v>65</v>
      </c>
      <c r="E250" s="54"/>
      <c r="F250" s="54"/>
      <c r="G250" s="54"/>
      <c r="H250" s="54"/>
      <c r="I250" s="56">
        <f t="shared" si="9"/>
        <v>10.666666666666666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60</v>
      </c>
      <c r="B251" s="53">
        <v>304</v>
      </c>
      <c r="C251" s="53">
        <v>8</v>
      </c>
      <c r="D251" s="53">
        <v>304</v>
      </c>
      <c r="E251" s="54"/>
      <c r="F251" s="54"/>
      <c r="G251" s="54"/>
      <c r="H251" s="54"/>
      <c r="I251" s="56">
        <f t="shared" si="9"/>
        <v>9.75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Bouleau verruqueux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10</v>
      </c>
      <c r="B270" s="63">
        <v>9</v>
      </c>
      <c r="C270" s="63"/>
      <c r="D270" s="63"/>
      <c r="E270" s="54"/>
      <c r="F270" s="54"/>
      <c r="G270" s="54"/>
      <c r="H270" s="54"/>
      <c r="I270" s="56">
        <f>IFERROR(B270/A270,"")</f>
        <v>0.9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15</v>
      </c>
      <c r="B271" s="63">
        <v>49</v>
      </c>
      <c r="C271" s="63"/>
      <c r="D271" s="63"/>
      <c r="E271" s="54"/>
      <c r="F271" s="54"/>
      <c r="G271" s="54"/>
      <c r="H271" s="54"/>
      <c r="I271" s="56">
        <f>IF(A271&lt;&gt;0,(B271-(B270-D270))/(A271-A270),"")</f>
        <v>8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20</v>
      </c>
      <c r="B272" s="63">
        <v>99</v>
      </c>
      <c r="C272" s="63">
        <v>1</v>
      </c>
      <c r="D272" s="63">
        <v>40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25</v>
      </c>
      <c r="B273" s="63">
        <v>102</v>
      </c>
      <c r="C273" s="63"/>
      <c r="D273" s="63"/>
      <c r="E273" s="54"/>
      <c r="F273" s="54"/>
      <c r="G273" s="54"/>
      <c r="H273" s="54"/>
      <c r="I273" s="56">
        <f t="shared" si="10"/>
        <v>8.6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30</v>
      </c>
      <c r="B274" s="63">
        <v>146</v>
      </c>
      <c r="C274" s="63"/>
      <c r="D274" s="63"/>
      <c r="E274" s="54"/>
      <c r="F274" s="54"/>
      <c r="G274" s="54"/>
      <c r="H274" s="54"/>
      <c r="I274" s="56">
        <f t="shared" si="10"/>
        <v>8.8000000000000007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35</v>
      </c>
      <c r="B275" s="63">
        <v>190</v>
      </c>
      <c r="C275" s="63">
        <v>2</v>
      </c>
      <c r="D275" s="63">
        <v>76</v>
      </c>
      <c r="E275" s="54"/>
      <c r="F275" s="54"/>
      <c r="G275" s="54"/>
      <c r="H275" s="54"/>
      <c r="I275" s="56">
        <f t="shared" si="10"/>
        <v>8.8000000000000007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40</v>
      </c>
      <c r="B276" s="63">
        <v>152</v>
      </c>
      <c r="C276" s="63"/>
      <c r="D276" s="63"/>
      <c r="E276" s="54"/>
      <c r="F276" s="54"/>
      <c r="G276" s="54"/>
      <c r="H276" s="54"/>
      <c r="I276" s="56">
        <f t="shared" si="10"/>
        <v>7.6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3">
        <v>45</v>
      </c>
      <c r="B277" s="53">
        <v>190</v>
      </c>
      <c r="C277" s="53"/>
      <c r="D277" s="53"/>
      <c r="E277" s="54"/>
      <c r="F277" s="54"/>
      <c r="G277" s="54"/>
      <c r="H277" s="54"/>
      <c r="I277" s="56">
        <f t="shared" si="10"/>
        <v>7.6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3">
        <v>50</v>
      </c>
      <c r="B278" s="53">
        <v>228</v>
      </c>
      <c r="C278" s="53"/>
      <c r="D278" s="53"/>
      <c r="E278" s="54"/>
      <c r="F278" s="54"/>
      <c r="G278" s="54"/>
      <c r="H278" s="54"/>
      <c r="I278" s="56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3">
        <v>55</v>
      </c>
      <c r="B279" s="53">
        <v>266</v>
      </c>
      <c r="C279" s="53"/>
      <c r="D279" s="53"/>
      <c r="E279" s="54"/>
      <c r="F279" s="54"/>
      <c r="G279" s="54"/>
      <c r="H279" s="54"/>
      <c r="I279" s="56">
        <f t="shared" si="10"/>
        <v>7.6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3">
        <v>60</v>
      </c>
      <c r="B280" s="53">
        <v>303</v>
      </c>
      <c r="C280" s="53">
        <v>3</v>
      </c>
      <c r="D280" s="53">
        <v>303</v>
      </c>
      <c r="E280" s="54"/>
      <c r="F280" s="54"/>
      <c r="G280" s="54"/>
      <c r="H280" s="54"/>
      <c r="I280" s="56">
        <f t="shared" si="10"/>
        <v>7.4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3"/>
      <c r="B281" s="53"/>
      <c r="C281" s="53"/>
      <c r="D281" s="53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B2"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0.75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pédonculé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Charme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Erable sycomore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Châtaignier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Chêne rouge d'Amérique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Douglas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Cèdre de l'Atlas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Mélèze d'Europe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Bouleau verruqueux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3.75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13.75</v>
      </c>
      <c r="H3" s="70">
        <f>(B3+E3+F3)*44/12+(C3+D3)*0.475*44/12</f>
        <v>201.66666666666666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187.91666666666666</v>
      </c>
      <c r="S3" s="62">
        <f ca="1">AVERAGE(OFFSET($R$3,0,0,'Données projet'!$E$9+1,1))-AVERAGE(OFFSET($H$3,0,0,'Données projet'!$E$9+1,1))</f>
        <v>461.02780119093666</v>
      </c>
      <c r="T3" s="62">
        <f>IF('Données projet'!E9&gt;30,$R$33-$H$33,LOOKUP('Données projet'!$E$9,$A$3:$A$203,R3:R203)-LOOKUP('Données projet'!$E$9,$A$3:$A$203,$H$3:$H$203))</f>
        <v>245.70016468438834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187.91666666666666</v>
      </c>
      <c r="AN3" s="62">
        <f ca="1">AVERAGE(OFFSET($AM$3,0,0,'Données projet'!$E$10+1,1))-AVERAGE(OFFSET($H$3,0,0,'Données projet'!$E$10+1,1))</f>
        <v>434.22500776975596</v>
      </c>
      <c r="AO3" s="62">
        <f>IF('Données projet'!E10&gt;30,$AM$33-$H$33,LOOKUP('Données projet'!$E$10,$A$3:$A$203,AM3:AM203)-LOOKUP('Données projet'!$E$10,$A$3:$A$203,$H$3:$H$203))</f>
        <v>232.59777933076705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187.91666666666666</v>
      </c>
      <c r="BI3" s="62">
        <f ca="1">AVERAGE(OFFSET($BH$3,0,0,'Données projet'!$E$11+1,1))-AVERAGE(OFFSET($H$3,0,0,'Données projet'!$E$11+1,1))</f>
        <v>393.3005580838161</v>
      </c>
      <c r="BJ3" s="62">
        <f>IF('Données projet'!E11&gt;30,$BH$33-$H$33,LOOKUP('Données projet'!$E$11,$A$3:$A$203,BH3:BH203)-LOOKUP('Données projet'!$E$11,$A$3:$A$203,$H$3:$H$203))</f>
        <v>295.86019897822757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187.91666666666666</v>
      </c>
      <c r="CD3" s="62">
        <f ca="1">AVERAGE(OFFSET($CC$3,0,0,'Données projet'!$E$12+1,1))-AVERAGE(OFFSET($H$3,0,0,'Données projet'!$E$12+1,1))</f>
        <v>388.52230330563884</v>
      </c>
      <c r="CE3" s="62">
        <f>IF('Données projet'!E12&gt;30,$CC$33-$H$33,LOOKUP('Données projet'!$E$12,$A$3:$A$203,CC3:CC203)-LOOKUP('Données projet'!$E$12,$A$3:$A$203,$H$3:$H$203))</f>
        <v>418.94833960687333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187.91666666666666</v>
      </c>
      <c r="CY3" s="62">
        <f ca="1">AVERAGE(OFFSET($CX$3,0,0,'Données projet'!$E$13+1,1))-AVERAGE(OFFSET($H$3,0,0,'Données projet'!$E$13+1,1))</f>
        <v>362.38131866207266</v>
      </c>
      <c r="CZ3" s="62">
        <f>IF('Données projet'!E13&gt;30,$CX$33-$H$33,LOOKUP('Données projet'!$E$13,$A$3:$A$203,CX3:CX203)-LOOKUP('Données projet'!$E$13,$A$3:$A$203,$H$3:$H$203))</f>
        <v>390.74498763200336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187.91666666666666</v>
      </c>
      <c r="DT3" s="62">
        <f ca="1">AVERAGE(OFFSET($DS$3,0,0,'Données projet'!$E$14+1,1))-AVERAGE(OFFSET($H$3,0,0,'Données projet'!$E$14+1,1))</f>
        <v>334.4692012109935</v>
      </c>
      <c r="DU3" s="62">
        <f>IF('Données projet'!E14&gt;30,$DS$33-$H$33,LOOKUP('Données projet'!$E$14,$A$3:$A$203,DS3:DS203)-LOOKUP('Données projet'!$E$14,$A$3:$A$203,$H$3:$H$203))</f>
        <v>316.360405424036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187.91666666666666</v>
      </c>
      <c r="EO3" s="62">
        <f ca="1">AVERAGE(OFFSET($EN$3,0,0,'Données projet'!$E$15+1,1))-AVERAGE(OFFSET($H$3,0,0,'Données projet'!$E$15+1,1))</f>
        <v>390.09289316045653</v>
      </c>
      <c r="EP3" s="62">
        <f>IF('Données projet'!E15&gt;30,$EN$33-$H$33,LOOKUP('Données projet'!$E$15,$A$3:$A$203,EN3:EN203)-LOOKUP('Données projet'!$E$15,$A$3:$A$203,$H$3:$H$203))</f>
        <v>364.34913542817617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187.91666666666666</v>
      </c>
      <c r="FJ3" s="62">
        <f ca="1">AVERAGE(OFFSET($FI$3,0,0,'Données projet'!$E$16+1,1))-AVERAGE(OFFSET($H$3,0,0,'Données projet'!$E$16+1,1))</f>
        <v>344.55118007058775</v>
      </c>
      <c r="FK3" s="62">
        <f>IF('Données projet'!E16&gt;30,$FI$33-$H$33,LOOKUP('Données projet'!$E$16,$A$3:$A$203,FI3:FI203)-LOOKUP('Données projet'!$E$16,$A$3:$A$203,$H$3:$H$203))</f>
        <v>144.16931602355001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187.91666666666666</v>
      </c>
      <c r="GE3" s="62">
        <f ca="1">AVERAGE(OFFSET($GD$3,0,0,'Données projet'!$E$17+1,1))-AVERAGE(OFFSET($H$3,0,0,'Données projet'!$E$17+1,1))</f>
        <v>252.60122125520482</v>
      </c>
      <c r="GF3" s="62">
        <f>IF('Données projet'!E17&gt;30,$GD$33-$H$33,LOOKUP('Données projet'!$E$17,$A$3:$A$203,GD3:GD203)-LOOKUP('Données projet'!$E$17,$A$3:$A$203,$H$3:$H$203))</f>
        <v>357.56833754121317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187.91666666666666</v>
      </c>
      <c r="GZ3" s="62">
        <f ca="1">AVERAGE(OFFSET($GY$3,0,0,'Données projet'!$E$18+1,1))-AVERAGE(OFFSET($H$3,0,0,'Données projet'!$E$18+1,1))</f>
        <v>268.57152522489537</v>
      </c>
      <c r="HA3" s="62">
        <f>IF('Données projet'!E18&gt;30,$GY$33-$H$33,LOOKUP('Données projet'!$E$18,$A$3:$A$203,GY3:GY203)-LOOKUP('Données projet'!$E$18,$A$3:$A$203,$H$3:$H$203))</f>
        <v>311.80303557283207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3.75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13.75</v>
      </c>
      <c r="H4" s="70">
        <f t="shared" ref="H4:H67" si="1">(B4+E4+F4)*44/12+(C4+D4)*0.475*44/12</f>
        <v>201.66666666666666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193.09787292074071</v>
      </c>
      <c r="S4" s="62">
        <f ca="1">AVERAGE(OFFSET($R$3,0,0,'Données projet'!$E$9+1,1))-AVERAGE(OFFSET($H$3,0,0,'Données projet'!$E$9+1,1))</f>
        <v>461.02780119093666</v>
      </c>
      <c r="T4" s="62">
        <f>$T$3</f>
        <v>245.70016468438834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1.0155020926567102</v>
      </c>
      <c r="AK4" s="14">
        <f>EXP(-1.0587+0.8836*LN(AJ4)+0.284)</f>
        <v>0.46714880239274614</v>
      </c>
      <c r="AL4" s="22">
        <f t="shared" ref="AL4:AL67" si="4">(AJ4+AK4)*0.475*44/12</f>
        <v>2.5822836422111366</v>
      </c>
      <c r="AM4" s="62">
        <f t="shared" ref="AM4:AM67" si="5">AL4+(AD4+AE4)*44/12</f>
        <v>192.91383132912623</v>
      </c>
      <c r="AN4" s="62">
        <f ca="1">AVERAGE(OFFSET($AM$3,0,0,'Données projet'!$E$10+1,1))-AVERAGE(OFFSET($H$3,0,0,'Données projet'!$E$10+1,1))</f>
        <v>434.22500776975596</v>
      </c>
      <c r="AO4" s="62">
        <f>$AO$3</f>
        <v>232.59777933076705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2.4358974358974361</v>
      </c>
      <c r="BD4" s="13">
        <f>IF('Données projet'!$A$88&gt;35,BD3+BC4-BL3,IF(A4&lt;'Données projet'!$A$88,$BA$205^A4,IF(A4='Données projet'!$A$88,'Données projet'!$B$88,BD3+BC4-BL3)))</f>
        <v>1.2711106295585217</v>
      </c>
      <c r="BE4" s="14">
        <f>BD4*VLOOKUP('Données projet'!$B$11,Paramètres!$A$1:$I$89,3,0)*VLOOKUP('Données projet'!$B$11,Paramètres!$A$1:$I$89,5,0)</f>
        <v>1.2095888750878894</v>
      </c>
      <c r="BF4" s="14">
        <f>EXP(-1.0587+0.8836*LN(BE4)+0.284)</f>
        <v>0.5452187850680178</v>
      </c>
      <c r="BG4" s="22">
        <f t="shared" ref="BG4:BG67" si="7">(BE4+BF4)*0.475*44/12</f>
        <v>3.0562900081048716</v>
      </c>
      <c r="BH4" s="62">
        <f t="shared" ref="BH4:BH67" si="8">BG4+(AY4+AZ4)*44/12</f>
        <v>193.38783769501995</v>
      </c>
      <c r="BI4" s="62">
        <f ca="1">AVERAGE(OFFSET($BH$3,0,0,'Données projet'!$E$11+1,1))-AVERAGE(OFFSET($H$3,0,0,'Données projet'!$E$11+1,1))</f>
        <v>393.3005580838161</v>
      </c>
      <c r="BJ4" s="62">
        <f>$BJ$3</f>
        <v>295.86019897822757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1.1099999999999999</v>
      </c>
      <c r="BY4" s="13">
        <f>IF('Données projet'!$A$114&gt;35,BY3+BX4-CG3,IF(A4&lt;'Données projet'!$A$114,$BV$205^A4,IF(A4='Données projet'!$A$114,'Données projet'!$B$114,BY3+BX4-CG3)))</f>
        <v>1.2721323532877689</v>
      </c>
      <c r="BZ4" s="14">
        <f>BY4*VLOOKUP('Données projet'!$B$12,Paramètres!$A$1:$I$89,3,0)*VLOOKUP('Données projet'!$B$12,Paramètres!$A$1:$I$89,5,0)</f>
        <v>1.0121085002757488</v>
      </c>
      <c r="CA4" s="14">
        <f>EXP(-1.0587+0.8836*LN(BZ4)+0.284)</f>
        <v>0.46576913511432322</v>
      </c>
      <c r="CB4" s="22">
        <f t="shared" ref="CB4:CB67" si="10">(BZ4+CA4)*0.475*44/12</f>
        <v>2.5739702149710419</v>
      </c>
      <c r="CC4" s="62">
        <f t="shared" ref="CC4:CC67" si="11">CB4+(BT4+BU4)*44/12</f>
        <v>192.90551790188613</v>
      </c>
      <c r="CD4" s="62">
        <f ca="1">AVERAGE(OFFSET($CC$3,0,0,'Données projet'!$E$12+1,1))-AVERAGE(OFFSET($H$3,0,0,'Données projet'!$E$12+1,1))</f>
        <v>388.52230330563884</v>
      </c>
      <c r="CE4" s="62">
        <f>$CE$3</f>
        <v>418.94833960687333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1.1099999999999999</v>
      </c>
      <c r="CT4" s="13">
        <f>IF('Données projet'!$A$140&gt;35,CT3+CS4-DB3,IF(A4&lt;'Données projet'!$A$140,$CQ$205^A4,IF(A4='Données projet'!$A$140,'Données projet'!$B$140,CT3+CS4-DB3)))</f>
        <v>1.2721323532877689</v>
      </c>
      <c r="CU4" s="18">
        <f>CT4*VLOOKUP('Données projet'!$B$13,Paramètres!$A$1:$I$89,3,0)*VLOOKUP('Données projet'!$B$13,Paramètres!$A$1:$I$89,5,0)</f>
        <v>0.93272744143059216</v>
      </c>
      <c r="CV4" s="14">
        <f>EXP(-1.0587+0.8836*LN(CU4)+0.284)</f>
        <v>0.43333858977228618</v>
      </c>
      <c r="CW4" s="22">
        <f t="shared" ref="CW4:CW67" si="13">(CU4+CV4)*0.475*44/12</f>
        <v>2.3792316710116794</v>
      </c>
      <c r="CX4" s="62">
        <f t="shared" ref="CX4:CX67" si="14">CW4+(CO4+CP4)*44/12</f>
        <v>192.71077935792675</v>
      </c>
      <c r="CY4" s="62">
        <f ca="1">AVERAGE(OFFSET($CX$3,0,0,'Données projet'!$E$13+1,1))-AVERAGE(OFFSET($H$3,0,0,'Données projet'!$E$13+1,1))</f>
        <v>362.38131866207266</v>
      </c>
      <c r="CZ4" s="62">
        <f>$CZ$3</f>
        <v>390.74498763200336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</v>
      </c>
      <c r="DO4" s="13">
        <f>IF('Données projet'!$A$166&gt;35,DO3+DN4-DW3,IF(A4&lt;'Données projet'!$A$166,$DL$205^A4,IF(A4='Données projet'!$A$166,'Données projet'!$B$166,DO3+DN4-DW3)))</f>
        <v>1.335141362540313</v>
      </c>
      <c r="DP4" s="18">
        <f>DO4*VLOOKUP('Données projet'!$B$14,Paramètres!$A$1:$I$89,3,0)*VLOOKUP('Données projet'!$B$14,Paramètres!$A$1:$I$89,5,0)</f>
        <v>1.1663794943152175</v>
      </c>
      <c r="DQ4" s="14">
        <f>EXP(-1.0587+0.8836*LN(DP4)+0.284)</f>
        <v>0.52797307958445927</v>
      </c>
      <c r="DR4" s="22">
        <f t="shared" ref="DR4:DR67" si="16">(DP4+DQ4)*0.475*44/12</f>
        <v>2.9509973995419365</v>
      </c>
      <c r="DS4" s="62">
        <f t="shared" ref="DS4:DS67" si="17">DR4+(DJ4+DK4)*44/12</f>
        <v>193.28254508645702</v>
      </c>
      <c r="DT4" s="62">
        <f ca="1">AVERAGE(OFFSET($DS$3,0,0,'Données projet'!$E$14+1,1))-AVERAGE(OFFSET($H$3,0,0,'Données projet'!$E$14+1,1))</f>
        <v>334.4692012109935</v>
      </c>
      <c r="DU4" s="62">
        <f>$DU$3</f>
        <v>316.360405424036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10</v>
      </c>
      <c r="EJ4" s="13">
        <f>IF('Données projet'!$A$192&gt;35,EJ3+EI4-ER3,IF(A4&lt;'Données projet'!$A$192,$EG$205^A4,IF(A4='Données projet'!$A$192,'Données projet'!$B$192,EJ3+EI4-ER3)))</f>
        <v>1.289976715395158</v>
      </c>
      <c r="EK4" s="18">
        <f>EJ4*VLOOKUP('Données projet'!$B$15,Paramètres!$A$1:$I$89,3,0)*VLOOKUP('Données projet'!$B$15,Paramètres!$A$1:$I$89,5,0)</f>
        <v>0.72109698390589339</v>
      </c>
      <c r="EL4" s="14">
        <f>EXP(-1.0587+0.8836*LN(EK4)+0.284)</f>
        <v>0.34520357101002697</v>
      </c>
      <c r="EM4" s="22">
        <f t="shared" ref="EM4:EM67" si="19">(EK4+EL4)*0.475*44/12</f>
        <v>1.8571401331452277</v>
      </c>
      <c r="EN4" s="62">
        <f t="shared" ref="EN4:EN67" si="20">EM4+(EE4+EF4)*44/12</f>
        <v>192.18868782006032</v>
      </c>
      <c r="EO4" s="62">
        <f ca="1">AVERAGE(OFFSET($EN$3,0,0,'Données projet'!$E$15+1,1))-AVERAGE(OFFSET($H$3,0,0,'Données projet'!$E$15+1,1))</f>
        <v>390.09289316045653</v>
      </c>
      <c r="EP4" s="62">
        <f>$EP$3</f>
        <v>364.34913542817617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2.9333333333333331</v>
      </c>
      <c r="FE4" s="13">
        <f>IF('Données projet'!$A$218&gt;35,FE3+FD4-FM3,IF(A4&lt;'Données projet'!$A$218,$FB$205^A4,IF(A4='Données projet'!$A$218,'Données projet'!$B$218,FE3+FD4-FM3)))</f>
        <v>1.1609568786681319</v>
      </c>
      <c r="FF4" s="18">
        <f>FE4*VLOOKUP('Données projet'!$B$16,Paramètres!$A$1:$I$89,3,0)*VLOOKUP('Données projet'!$B$16,Paramètres!$A$1:$I$89,5,0)</f>
        <v>0.54332781921668571</v>
      </c>
      <c r="FG4" s="14">
        <f>EXP(-1.0587+0.8836*LN(FF4)+0.284)</f>
        <v>0.26881456552147387</v>
      </c>
      <c r="FH4" s="22">
        <f t="shared" ref="FH4:FH67" si="22">(FF4+FG4)*0.475*44/12</f>
        <v>1.4144813200856279</v>
      </c>
      <c r="FI4" s="62">
        <f t="shared" ref="FI4:FI67" si="23">FH4+(EZ4+FA4)*44/12</f>
        <v>191.74602900700071</v>
      </c>
      <c r="FJ4" s="62">
        <f ca="1">AVERAGE(OFFSET($FI$3,0,0,'Données projet'!$E$16+1,1))-AVERAGE(OFFSET($H$3,0,0,'Données projet'!$E$16+1,1))</f>
        <v>344.55118007058775</v>
      </c>
      <c r="FK4" s="62">
        <f>$FK$3</f>
        <v>144.16931602355001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6.2222222222222223</v>
      </c>
      <c r="FZ4" s="13">
        <f>IF('Données projet'!$A$244&gt;35,FZ3+FY4-GH3,IF(A4&lt;'Données projet'!$A$244,$FW$205^A4,IF(A4='Données projet'!$A$244,'Données projet'!$B$244,FZ3+FY4-GH3)))</f>
        <v>1.2997069632623315</v>
      </c>
      <c r="GA4" s="18">
        <f>FZ4*VLOOKUP('Données projet'!$B$17,Paramètres!$A$1:$I$89,3,0)*VLOOKUP('Données projet'!$B$17,Paramètres!$A$1:$I$89,5,0)</f>
        <v>0.81101714507569489</v>
      </c>
      <c r="GB4" s="14">
        <f>EXP(-1.0587+0.8836*LN(GA4)+0.284)</f>
        <v>0.38297551084354686</v>
      </c>
      <c r="GC4" s="22">
        <f t="shared" ref="GC4:GC67" si="25">(GA4+GB4)*0.475*44/12</f>
        <v>2.0795372090593456</v>
      </c>
      <c r="GD4" s="62">
        <f t="shared" ref="GD4:GD67" si="26">GC4+(FU4+FV4)*44/12</f>
        <v>192.41108489597443</v>
      </c>
      <c r="GE4" s="62">
        <f ca="1">AVERAGE(OFFSET($GD$3,0,0,'Données projet'!$E$17+1,1))-AVERAGE(OFFSET($H$3,0,0,'Données projet'!$E$17+1,1))</f>
        <v>252.60122125520482</v>
      </c>
      <c r="GF4" s="62">
        <f>$GF$3</f>
        <v>357.56833754121317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0.9</v>
      </c>
      <c r="GU4" s="13">
        <f>IF('Données projet'!$A$270&gt;35,GU3+GT4-HC3,IF(A4&lt;'Données projet'!$A$270,$GR$205^A4,IF(A4='Données projet'!$A$270,'Données projet'!$B$270,GU3+GT4-HC3)))</f>
        <v>1.2457309396155174</v>
      </c>
      <c r="GV4" s="18">
        <f>GU4*VLOOKUP('Données projet'!$B$18,Paramètres!$A$1:$I$89,3,0)*VLOOKUP('Données projet'!$B$18,Paramètres!$A$1:$I$89,5,0)</f>
        <v>1.0105369382161078</v>
      </c>
      <c r="GW4" s="14">
        <f>EXP(-1.0587+0.8836*LN(GV4)+0.284)</f>
        <v>0.46513003316107315</v>
      </c>
      <c r="GX4" s="22">
        <f t="shared" ref="GX4:GX67" si="28">(GV4+GW4)*0.475*44/12</f>
        <v>2.5701199751485899</v>
      </c>
      <c r="GY4" s="62">
        <f t="shared" ref="GY4:GY67" si="29">GX4+(GP4+GQ4)*44/12</f>
        <v>192.90166766206369</v>
      </c>
      <c r="GZ4" s="62">
        <f ca="1">AVERAGE(OFFSET($GY$3,0,0,'Données projet'!$E$18+1,1))-AVERAGE(OFFSET($H$3,0,0,'Données projet'!$E$18+1,1))</f>
        <v>268.57152522489537</v>
      </c>
      <c r="HA4" s="62">
        <f>$HA$3</f>
        <v>311.80303557283207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3.75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13.75</v>
      </c>
      <c r="H5" s="70">
        <f t="shared" si="1"/>
        <v>201.66666666666666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196.03802645322432</v>
      </c>
      <c r="S5" s="62">
        <f ca="1">AVERAGE(OFFSET($R$3,0,0,'Données projet'!$E$9+1,1))-AVERAGE(OFFSET($H$3,0,0,'Données projet'!$E$9+1,1))</f>
        <v>461.02780119093666</v>
      </c>
      <c r="T5" s="62">
        <f t="shared" ref="T5:T68" si="34">$T$3</f>
        <v>245.70016468438834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1.2241743829417828</v>
      </c>
      <c r="AK5" s="14">
        <f t="shared" ref="AK5:AK68" si="35">EXP(-1.0587+0.8836*LN(AJ5)+0.284)</f>
        <v>0.55102384568700224</v>
      </c>
      <c r="AL5" s="22">
        <f t="shared" si="4"/>
        <v>3.0918035815284672</v>
      </c>
      <c r="AM5" s="62">
        <f t="shared" si="5"/>
        <v>195.81754232493188</v>
      </c>
      <c r="AN5" s="62">
        <f ca="1">AVERAGE(OFFSET($AM$3,0,0,'Données projet'!$E$10+1,1))-AVERAGE(OFFSET($H$3,0,0,'Données projet'!$E$10+1,1))</f>
        <v>434.22500776975596</v>
      </c>
      <c r="AO5" s="62">
        <f t="shared" ref="AO5:AO68" si="36">$AO$3</f>
        <v>232.59777933076705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2.4358974358974361</v>
      </c>
      <c r="BD5" s="13">
        <f>IF('Données projet'!$A$88&gt;35,BD4+BC5-BL4,IF(A5&lt;'Données projet'!$A$88,$BA$205^A5,IF(A5='Données projet'!$A$88,'Données projet'!$B$88,BD4+BC5-BL4)))</f>
        <v>1.6157222325766614</v>
      </c>
      <c r="BE5" s="14">
        <f>BD5*VLOOKUP('Données projet'!$B$11,Paramètres!$A$1:$I$89,3,0)*VLOOKUP('Données projet'!$B$11,Paramètres!$A$1:$I$89,5,0)</f>
        <v>1.5375212765199511</v>
      </c>
      <c r="BF5" s="14">
        <f t="shared" ref="BF5:BF68" si="37">EXP(-1.0587+0.8836*LN(BE5)+0.284)</f>
        <v>0.67394928852564717</v>
      </c>
      <c r="BG5" s="22">
        <f t="shared" si="7"/>
        <v>3.8516445674544162</v>
      </c>
      <c r="BH5" s="62">
        <f t="shared" si="8"/>
        <v>196.57738331085784</v>
      </c>
      <c r="BI5" s="62">
        <f ca="1">AVERAGE(OFFSET($BH$3,0,0,'Données projet'!$E$11+1,1))-AVERAGE(OFFSET($H$3,0,0,'Données projet'!$E$11+1,1))</f>
        <v>393.3005580838161</v>
      </c>
      <c r="BJ5" s="62">
        <f t="shared" ref="BJ5:BJ68" si="38">$BJ$3</f>
        <v>295.86019897822757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1.1099999999999999</v>
      </c>
      <c r="BY5" s="13">
        <f>IF('Données projet'!$A$114&gt;35,BY4+BX5-CG4,IF(A5&lt;'Données projet'!$A$114,$BV$205^A5,IF(A5='Données projet'!$A$114,'Données projet'!$B$114,BY4+BX5-CG4)))</f>
        <v>1.6183207242814768</v>
      </c>
      <c r="BZ5" s="14">
        <f>BY5*VLOOKUP('Données projet'!$B$12,Paramètres!$A$1:$I$89,3,0)*VLOOKUP('Données projet'!$B$12,Paramètres!$A$1:$I$89,5,0)</f>
        <v>1.2875359682383429</v>
      </c>
      <c r="CA5" s="14">
        <f t="shared" ref="CA5:CA68" si="39">EXP(-1.0587+0.8836*LN(BZ5)+0.284)</f>
        <v>0.57614983837086087</v>
      </c>
      <c r="CB5" s="22">
        <f t="shared" si="10"/>
        <v>3.2459194465110297</v>
      </c>
      <c r="CC5" s="62">
        <f t="shared" si="11"/>
        <v>195.97165818991445</v>
      </c>
      <c r="CD5" s="62">
        <f ca="1">AVERAGE(OFFSET($CC$3,0,0,'Données projet'!$E$12+1,1))-AVERAGE(OFFSET($H$3,0,0,'Données projet'!$E$12+1,1))</f>
        <v>388.52230330563884</v>
      </c>
      <c r="CE5" s="62">
        <f t="shared" ref="CE5:CE68" si="40">$CE$3</f>
        <v>418.94833960687333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1.1099999999999999</v>
      </c>
      <c r="CT5" s="13">
        <f>IF('Données projet'!$A$140&gt;35,CT4+CS5-DB4,IF(A5&lt;'Données projet'!$A$140,$CQ$205^A5,IF(A5='Données projet'!$A$140,'Données projet'!$B$140,CT4+CS5-DB4)))</f>
        <v>1.6183207242814768</v>
      </c>
      <c r="CU5" s="18">
        <f>CT5*VLOOKUP('Données projet'!$B$13,Paramètres!$A$1:$I$89,3,0)*VLOOKUP('Données projet'!$B$13,Paramètres!$A$1:$I$89,5,0)</f>
        <v>1.1865527550431787</v>
      </c>
      <c r="CV5" s="14">
        <f t="shared" ref="CV5:CV68" si="41">EXP(-1.0587+0.8836*LN(CU5)+0.284)</f>
        <v>0.53603371205753736</v>
      </c>
      <c r="CW5" s="22">
        <f t="shared" si="13"/>
        <v>3.0001714302004134</v>
      </c>
      <c r="CX5" s="62">
        <f t="shared" si="14"/>
        <v>195.72591017360384</v>
      </c>
      <c r="CY5" s="62">
        <f ca="1">AVERAGE(OFFSET($CX$3,0,0,'Données projet'!$E$13+1,1))-AVERAGE(OFFSET($H$3,0,0,'Données projet'!$E$13+1,1))</f>
        <v>362.38131866207266</v>
      </c>
      <c r="CZ5" s="62">
        <f t="shared" ref="CZ5:CZ68" si="42">$CZ$3</f>
        <v>390.74498763200336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</v>
      </c>
      <c r="DO5" s="13">
        <f>IF('Données projet'!$A$166&gt;35,DO4+DN5-DW4,IF(A5&lt;'Données projet'!$A$166,$DL$205^A5,IF(A5='Données projet'!$A$166,'Données projet'!$B$166,DO4+DN5-DW4)))</f>
        <v>1.7826024579660036</v>
      </c>
      <c r="DP5" s="18">
        <f>DO5*VLOOKUP('Données projet'!$B$14,Paramètres!$A$1:$I$89,3,0)*VLOOKUP('Données projet'!$B$14,Paramètres!$A$1:$I$89,5,0)</f>
        <v>1.5572815072791011</v>
      </c>
      <c r="DQ5" s="14">
        <f t="shared" ref="DQ5:DQ68" si="43">EXP(-1.0587+0.8836*LN(DP5)+0.284)</f>
        <v>0.68159698037116012</v>
      </c>
      <c r="DR5" s="22">
        <f t="shared" si="16"/>
        <v>3.8993800326575379</v>
      </c>
      <c r="DS5" s="62">
        <f t="shared" si="17"/>
        <v>196.62511877606096</v>
      </c>
      <c r="DT5" s="62">
        <f ca="1">AVERAGE(OFFSET($DS$3,0,0,'Données projet'!$E$14+1,1))-AVERAGE(OFFSET($H$3,0,0,'Données projet'!$E$14+1,1))</f>
        <v>334.4692012109935</v>
      </c>
      <c r="DU5" s="62">
        <f t="shared" ref="DU5:DU68" si="44">$DU$3</f>
        <v>316.360405424036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10</v>
      </c>
      <c r="EJ5" s="13">
        <f>IF('Données projet'!$A$192&gt;35,EJ4+EI5-ER4,IF(A5&lt;'Données projet'!$A$192,$EG$205^A5,IF(A5='Données projet'!$A$192,'Données projet'!$B$192,EJ4+EI5-ER4)))</f>
        <v>1.6640399262616805</v>
      </c>
      <c r="EK5" s="18">
        <f>EJ5*VLOOKUP('Données projet'!$B$15,Paramètres!$A$1:$I$89,3,0)*VLOOKUP('Données projet'!$B$15,Paramètres!$A$1:$I$89,5,0)</f>
        <v>0.93019831878027937</v>
      </c>
      <c r="EL5" s="14">
        <f t="shared" ref="EL5:EL68" si="45">EXP(-1.0587+0.8836*LN(EK5)+0.284)</f>
        <v>0.43230018467776149</v>
      </c>
      <c r="EM5" s="22">
        <f t="shared" si="19"/>
        <v>2.3730182268560873</v>
      </c>
      <c r="EN5" s="62">
        <f t="shared" si="20"/>
        <v>195.0987569702595</v>
      </c>
      <c r="EO5" s="62">
        <f ca="1">AVERAGE(OFFSET($EN$3,0,0,'Données projet'!$E$15+1,1))-AVERAGE(OFFSET($H$3,0,0,'Données projet'!$E$15+1,1))</f>
        <v>390.09289316045653</v>
      </c>
      <c r="EP5" s="62">
        <f t="shared" ref="EP5:EP68" si="46">$EP$3</f>
        <v>364.34913542817617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2.9333333333333331</v>
      </c>
      <c r="FE5" s="13">
        <f>IF('Données projet'!$A$218&gt;35,FE4+FD5-FM4,IF(A5&lt;'Données projet'!$A$218,$FB$205^A5,IF(A5='Données projet'!$A$218,'Données projet'!$B$218,FE4+FD5-FM4)))</f>
        <v>1.3478208741268516</v>
      </c>
      <c r="FF5" s="18">
        <f>FE5*VLOOKUP('Données projet'!$B$16,Paramètres!$A$1:$I$89,3,0)*VLOOKUP('Données projet'!$B$16,Paramètres!$A$1:$I$89,5,0)</f>
        <v>0.63078016909136647</v>
      </c>
      <c r="FG5" s="14">
        <f t="shared" ref="FG5:FG68" si="47">EXP(-1.0587+0.8836*LN(FF5)+0.284)</f>
        <v>0.30670742741654106</v>
      </c>
      <c r="FH5" s="22">
        <f t="shared" si="22"/>
        <v>1.6327908972512721</v>
      </c>
      <c r="FI5" s="62">
        <f t="shared" si="23"/>
        <v>194.35852964065469</v>
      </c>
      <c r="FJ5" s="62">
        <f ca="1">AVERAGE(OFFSET($FI$3,0,0,'Données projet'!$E$16+1,1))-AVERAGE(OFFSET($H$3,0,0,'Données projet'!$E$16+1,1))</f>
        <v>344.55118007058775</v>
      </c>
      <c r="FK5" s="62">
        <f t="shared" ref="FK5:FK68" si="48">$FK$3</f>
        <v>144.16931602355001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6.2222222222222223</v>
      </c>
      <c r="FZ5" s="13">
        <f>IF('Données projet'!$A$244&gt;35,FZ4+FY5-GH4,IF(A5&lt;'Données projet'!$A$244,$FW$205^A5,IF(A5='Données projet'!$A$244,'Données projet'!$B$244,FZ4+FY5-GH4)))</f>
        <v>1.6892381903525915</v>
      </c>
      <c r="GA5" s="18">
        <f>FZ5*VLOOKUP('Données projet'!$B$17,Paramètres!$A$1:$I$89,3,0)*VLOOKUP('Données projet'!$B$17,Paramètres!$A$1:$I$89,5,0)</f>
        <v>1.0540846307800171</v>
      </c>
      <c r="GB5" s="14">
        <f t="shared" ref="GB5:GB68" si="49">EXP(-1.0587+0.8836*LN(GA5)+0.284)</f>
        <v>0.48279730809434274</v>
      </c>
      <c r="GC5" s="22">
        <f t="shared" si="25"/>
        <v>2.6767360435395098</v>
      </c>
      <c r="GD5" s="62">
        <f t="shared" si="26"/>
        <v>195.40247478694292</v>
      </c>
      <c r="GE5" s="62">
        <f ca="1">AVERAGE(OFFSET($GD$3,0,0,'Données projet'!$E$17+1,1))-AVERAGE(OFFSET($H$3,0,0,'Données projet'!$E$17+1,1))</f>
        <v>252.60122125520482</v>
      </c>
      <c r="GF5" s="62">
        <f t="shared" ref="GF5:GF68" si="50">$GF$3</f>
        <v>357.56833754121317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0.9</v>
      </c>
      <c r="GU5" s="13">
        <f>IF('Données projet'!$A$270&gt;35,GU4+GT5-HC4,IF(A5&lt;'Données projet'!$A$270,$GR$205^A5,IF(A5='Données projet'!$A$270,'Données projet'!$B$270,GU4+GT5-HC4)))</f>
        <v>1.5518455739153598</v>
      </c>
      <c r="GV5" s="18">
        <f>GU5*VLOOKUP('Données projet'!$B$18,Paramètres!$A$1:$I$89,3,0)*VLOOKUP('Données projet'!$B$18,Paramètres!$A$1:$I$89,5,0)</f>
        <v>1.2588571295601401</v>
      </c>
      <c r="GW5" s="14">
        <f t="shared" ref="GW5:GW68" si="51">EXP(-1.0587+0.8836*LN(GV5)+0.284)</f>
        <v>0.56479552972512193</v>
      </c>
      <c r="GX5" s="22">
        <f t="shared" si="28"/>
        <v>3.1761950482551646</v>
      </c>
      <c r="GY5" s="62">
        <f t="shared" si="29"/>
        <v>195.90193379165856</v>
      </c>
      <c r="GZ5" s="62">
        <f ca="1">AVERAGE(OFFSET($GY$3,0,0,'Données projet'!$E$18+1,1))-AVERAGE(OFFSET($H$3,0,0,'Données projet'!$E$18+1,1))</f>
        <v>268.57152522489537</v>
      </c>
      <c r="HA5" s="62">
        <f t="shared" ref="HA5:HA68" si="52">$HA$3</f>
        <v>311.80303557283207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3.75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13.75</v>
      </c>
      <c r="H6" s="70">
        <f t="shared" si="1"/>
        <v>201.66666666666666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199.0660006671944</v>
      </c>
      <c r="S6" s="62">
        <f ca="1">AVERAGE(OFFSET($R$3,0,0,'Données projet'!$E$9+1,1))-AVERAGE(OFFSET($H$3,0,0,'Données projet'!$E$9+1,1))</f>
        <v>461.02780119093666</v>
      </c>
      <c r="T6" s="62">
        <f t="shared" si="34"/>
        <v>245.70016468438834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1.4757260774621526</v>
      </c>
      <c r="AK6" s="14">
        <f t="shared" si="35"/>
        <v>0.64995837934402878</v>
      </c>
      <c r="AL6" s="22">
        <f t="shared" si="4"/>
        <v>3.7022337622707653</v>
      </c>
      <c r="AM6" s="62">
        <f t="shared" si="5"/>
        <v>198.80183252301777</v>
      </c>
      <c r="AN6" s="62">
        <f ca="1">AVERAGE(OFFSET($AM$3,0,0,'Données projet'!$E$10+1,1))-AVERAGE(OFFSET($H$3,0,0,'Données projet'!$E$10+1,1))</f>
        <v>434.22500776975596</v>
      </c>
      <c r="AO6" s="62">
        <f t="shared" si="36"/>
        <v>232.59777933076705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2.4358974358974361</v>
      </c>
      <c r="BD6" s="13">
        <f>IF('Données projet'!$A$88&gt;35,BD5+BC6-BL5,IF(A6&lt;'Données projet'!$A$88,$BA$205^A6,IF(A6='Données projet'!$A$88,'Données projet'!$B$88,BD5+BC6-BL5)))</f>
        <v>2.0537617042422203</v>
      </c>
      <c r="BE6" s="14">
        <f>BD6*VLOOKUP('Données projet'!$B$11,Paramètres!$A$1:$I$89,3,0)*VLOOKUP('Données projet'!$B$11,Paramètres!$A$1:$I$89,5,0)</f>
        <v>1.9543596377568968</v>
      </c>
      <c r="BF6" s="14">
        <f t="shared" si="37"/>
        <v>0.83307409051865666</v>
      </c>
      <c r="BG6" s="22">
        <f t="shared" si="7"/>
        <v>4.8547804100799219</v>
      </c>
      <c r="BH6" s="62">
        <f t="shared" si="8"/>
        <v>199.95437917082691</v>
      </c>
      <c r="BI6" s="62">
        <f ca="1">AVERAGE(OFFSET($BH$3,0,0,'Données projet'!$E$11+1,1))-AVERAGE(OFFSET($H$3,0,0,'Données projet'!$E$11+1,1))</f>
        <v>393.3005580838161</v>
      </c>
      <c r="BJ6" s="62">
        <f t="shared" si="38"/>
        <v>295.86019897822757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1.1099999999999999</v>
      </c>
      <c r="BY6" s="13">
        <f>IF('Données projet'!$A$114&gt;35,BY5+BX6-CG5,IF(A6&lt;'Données projet'!$A$114,$BV$205^A6,IF(A6='Données projet'!$A$114,'Données projet'!$B$114,BY5+BX6-CG5)))</f>
        <v>2.0587181513545616</v>
      </c>
      <c r="BZ6" s="14">
        <f>BY6*VLOOKUP('Données projet'!$B$12,Paramètres!$A$1:$I$89,3,0)*VLOOKUP('Données projet'!$B$12,Paramètres!$A$1:$I$89,5,0)</f>
        <v>1.6379161612176893</v>
      </c>
      <c r="CA6" s="14">
        <f t="shared" si="39"/>
        <v>0.71268920851376738</v>
      </c>
      <c r="CB6" s="22">
        <f t="shared" si="10"/>
        <v>4.0939710189489533</v>
      </c>
      <c r="CC6" s="62">
        <f t="shared" si="11"/>
        <v>199.19356977969596</v>
      </c>
      <c r="CD6" s="62">
        <f ca="1">AVERAGE(OFFSET($CC$3,0,0,'Données projet'!$E$12+1,1))-AVERAGE(OFFSET($H$3,0,0,'Données projet'!$E$12+1,1))</f>
        <v>388.52230330563884</v>
      </c>
      <c r="CE6" s="62">
        <f t="shared" si="40"/>
        <v>418.94833960687333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1.1099999999999999</v>
      </c>
      <c r="CT6" s="13">
        <f>IF('Données projet'!$A$140&gt;35,CT5+CS6-DB5,IF(A6&lt;'Données projet'!$A$140,$CQ$205^A6,IF(A6='Données projet'!$A$140,'Données projet'!$B$140,CT5+CS6-DB5)))</f>
        <v>2.0587181513545616</v>
      </c>
      <c r="CU6" s="18">
        <f>CT6*VLOOKUP('Données projet'!$B$13,Paramètres!$A$1:$I$89,3,0)*VLOOKUP('Données projet'!$B$13,Paramètres!$A$1:$I$89,5,0)</f>
        <v>1.5094521485731647</v>
      </c>
      <c r="CV6" s="14">
        <f t="shared" si="41"/>
        <v>0.66306612714360913</v>
      </c>
      <c r="CW6" s="22">
        <f t="shared" si="13"/>
        <v>3.7838026635400475</v>
      </c>
      <c r="CX6" s="62">
        <f t="shared" si="14"/>
        <v>198.88340142428706</v>
      </c>
      <c r="CY6" s="62">
        <f ca="1">AVERAGE(OFFSET($CX$3,0,0,'Données projet'!$E$13+1,1))-AVERAGE(OFFSET($H$3,0,0,'Données projet'!$E$13+1,1))</f>
        <v>362.38131866207266</v>
      </c>
      <c r="CZ6" s="62">
        <f t="shared" si="42"/>
        <v>390.74498763200336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</v>
      </c>
      <c r="DO6" s="13">
        <f>IF('Données projet'!$A$166&gt;35,DO5+DN6-DW5,IF(A6&lt;'Données projet'!$A$166,$DL$205^A6,IF(A6='Données projet'!$A$166,'Données projet'!$B$166,DO5+DN6-DW5)))</f>
        <v>2.3800262745964411</v>
      </c>
      <c r="DP6" s="18">
        <f>DO6*VLOOKUP('Données projet'!$B$14,Paramètres!$A$1:$I$89,3,0)*VLOOKUP('Données projet'!$B$14,Paramètres!$A$1:$I$89,5,0)</f>
        <v>2.0791909534874513</v>
      </c>
      <c r="DQ6" s="14">
        <f t="shared" si="43"/>
        <v>0.87992070356451979</v>
      </c>
      <c r="DR6" s="22">
        <f t="shared" si="16"/>
        <v>5.1537861360321822</v>
      </c>
      <c r="DS6" s="62">
        <f t="shared" si="17"/>
        <v>200.25338489677918</v>
      </c>
      <c r="DT6" s="62">
        <f ca="1">AVERAGE(OFFSET($DS$3,0,0,'Données projet'!$E$14+1,1))-AVERAGE(OFFSET($H$3,0,0,'Données projet'!$E$14+1,1))</f>
        <v>334.4692012109935</v>
      </c>
      <c r="DU6" s="62">
        <f t="shared" si="44"/>
        <v>316.360405424036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10</v>
      </c>
      <c r="EJ6" s="13">
        <f>IF('Données projet'!$A$192&gt;35,EJ5+EI6-ER5,IF(A6&lt;'Données projet'!$A$192,$EG$205^A6,IF(A6='Données projet'!$A$192,'Données projet'!$B$192,EJ5+EI6-ER5)))</f>
        <v>2.1465727583654437</v>
      </c>
      <c r="EK6" s="18">
        <f>EJ6*VLOOKUP('Données projet'!$B$15,Paramètres!$A$1:$I$89,3,0)*VLOOKUP('Données projet'!$B$15,Paramètres!$A$1:$I$89,5,0)</f>
        <v>1.199934171926283</v>
      </c>
      <c r="EL6" s="14">
        <f t="shared" si="45"/>
        <v>0.54137171618945512</v>
      </c>
      <c r="EM6" s="22">
        <f t="shared" si="19"/>
        <v>3.0327744218015771</v>
      </c>
      <c r="EN6" s="62">
        <f t="shared" si="20"/>
        <v>198.13237318254858</v>
      </c>
      <c r="EO6" s="62">
        <f ca="1">AVERAGE(OFFSET($EN$3,0,0,'Données projet'!$E$15+1,1))-AVERAGE(OFFSET($H$3,0,0,'Données projet'!$E$15+1,1))</f>
        <v>390.09289316045653</v>
      </c>
      <c r="EP6" s="62">
        <f t="shared" si="46"/>
        <v>364.34913542817617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2.9333333333333331</v>
      </c>
      <c r="FE6" s="13">
        <f>IF('Données projet'!$A$218&gt;35,FE5+FD6-FM5,IF(A6&lt;'Données projet'!$A$218,$FB$205^A6,IF(A6='Données projet'!$A$218,'Données projet'!$B$218,FE5+FD6-FM5)))</f>
        <v>1.5647619150300627</v>
      </c>
      <c r="FF6" s="18">
        <f>FE6*VLOOKUP('Données projet'!$B$16,Paramètres!$A$1:$I$89,3,0)*VLOOKUP('Données projet'!$B$16,Paramètres!$A$1:$I$89,5,0)</f>
        <v>0.73230857623406931</v>
      </c>
      <c r="FG6" s="14">
        <f t="shared" si="47"/>
        <v>0.3499417743602819</v>
      </c>
      <c r="FH6" s="22">
        <f t="shared" si="22"/>
        <v>1.8849193606184949</v>
      </c>
      <c r="FI6" s="62">
        <f t="shared" si="23"/>
        <v>196.98451812136548</v>
      </c>
      <c r="FJ6" s="62">
        <f ca="1">AVERAGE(OFFSET($FI$3,0,0,'Données projet'!$E$16+1,1))-AVERAGE(OFFSET($H$3,0,0,'Données projet'!$E$16+1,1))</f>
        <v>344.55118007058775</v>
      </c>
      <c r="FK6" s="62">
        <f t="shared" si="48"/>
        <v>144.16931602355001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6.2222222222222223</v>
      </c>
      <c r="FZ6" s="13">
        <f>IF('Données projet'!$A$244&gt;35,FZ5+FY6-GH5,IF(A6&lt;'Données projet'!$A$244,$FW$205^A6,IF(A6='Données projet'!$A$244,'Données projet'!$B$244,FZ5+FY6-GH5)))</f>
        <v>2.1955146386099229</v>
      </c>
      <c r="GA6" s="18">
        <f>FZ6*VLOOKUP('Données projet'!$B$17,Paramètres!$A$1:$I$89,3,0)*VLOOKUP('Données projet'!$B$17,Paramètres!$A$1:$I$89,5,0)</f>
        <v>1.3700011344925918</v>
      </c>
      <c r="GB6" s="14">
        <f t="shared" si="49"/>
        <v>0.60863745619068288</v>
      </c>
      <c r="GC6" s="22">
        <f t="shared" si="25"/>
        <v>3.4461288787733699</v>
      </c>
      <c r="GD6" s="62">
        <f t="shared" si="26"/>
        <v>198.54572763952038</v>
      </c>
      <c r="GE6" s="62">
        <f ca="1">AVERAGE(OFFSET($GD$3,0,0,'Données projet'!$E$17+1,1))-AVERAGE(OFFSET($H$3,0,0,'Données projet'!$E$17+1,1))</f>
        <v>252.60122125520482</v>
      </c>
      <c r="GF6" s="62">
        <f t="shared" si="50"/>
        <v>357.56833754121317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0.9</v>
      </c>
      <c r="GU6" s="13">
        <f>IF('Données projet'!$A$270&gt;35,GU5+GT6-HC5,IF(A6&lt;'Données projet'!$A$270,$GR$205^A6,IF(A6='Données projet'!$A$270,'Données projet'!$B$270,GU5+GT6-HC5)))</f>
        <v>1.9331820449317632</v>
      </c>
      <c r="GV6" s="18">
        <f>GU6*VLOOKUP('Données projet'!$B$18,Paramètres!$A$1:$I$89,3,0)*VLOOKUP('Données projet'!$B$18,Paramètres!$A$1:$I$89,5,0)</f>
        <v>1.5681972748486466</v>
      </c>
      <c r="GW6" s="14">
        <f t="shared" si="51"/>
        <v>0.68581679886281277</v>
      </c>
      <c r="GX6" s="22">
        <f t="shared" si="28"/>
        <v>3.9257411783807914</v>
      </c>
      <c r="GY6" s="62">
        <f t="shared" si="29"/>
        <v>199.0253399391278</v>
      </c>
      <c r="GZ6" s="62">
        <f ca="1">AVERAGE(OFFSET($GY$3,0,0,'Données projet'!$E$18+1,1))-AVERAGE(OFFSET($H$3,0,0,'Données projet'!$E$18+1,1))</f>
        <v>268.57152522489537</v>
      </c>
      <c r="HA6" s="62">
        <f t="shared" si="52"/>
        <v>311.80303557283207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3.75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13.75</v>
      </c>
      <c r="H7" s="70">
        <f t="shared" si="1"/>
        <v>201.66666666666666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202.2036472963276</v>
      </c>
      <c r="S7" s="62">
        <f ca="1">AVERAGE(OFFSET($R$3,0,0,'Données projet'!$E$9+1,1))-AVERAGE(OFFSET($H$3,0,0,'Données projet'!$E$9+1,1))</f>
        <v>461.02780119093666</v>
      </c>
      <c r="T7" s="62">
        <f t="shared" si="34"/>
        <v>245.70016468438834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1.7789683284079942</v>
      </c>
      <c r="AK7" s="14">
        <f t="shared" si="35"/>
        <v>0.76665628572357314</v>
      </c>
      <c r="AL7" s="22">
        <f t="shared" si="4"/>
        <v>4.4336295362791462</v>
      </c>
      <c r="AM7" s="62">
        <f t="shared" si="5"/>
        <v>201.88710997330077</v>
      </c>
      <c r="AN7" s="62">
        <f ca="1">AVERAGE(OFFSET($AM$3,0,0,'Données projet'!$E$10+1,1))-AVERAGE(OFFSET($H$3,0,0,'Données projet'!$E$10+1,1))</f>
        <v>434.22500776975596</v>
      </c>
      <c r="AO7" s="62">
        <f t="shared" si="36"/>
        <v>232.59777933076705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2.4358974358974361</v>
      </c>
      <c r="BD7" s="13">
        <f>IF('Données projet'!$A$88&gt;35,BD6+BC7-BL6,IF(A7&lt;'Données projet'!$A$88,$BA$205^A7,IF(A7='Données projet'!$A$88,'Données projet'!$B$88,BD6+BC7-BL6)))</f>
        <v>2.610558332842511</v>
      </c>
      <c r="BE7" s="14">
        <f>BD7*VLOOKUP('Données projet'!$B$11,Paramètres!$A$1:$I$89,3,0)*VLOOKUP('Données projet'!$B$11,Paramètres!$A$1:$I$89,5,0)</f>
        <v>2.4842073095329336</v>
      </c>
      <c r="BF7" s="14">
        <f t="shared" si="37"/>
        <v>1.029769527335997</v>
      </c>
      <c r="BG7" s="22">
        <f t="shared" si="7"/>
        <v>6.1201763242133866</v>
      </c>
      <c r="BH7" s="62">
        <f t="shared" si="8"/>
        <v>203.57365676123501</v>
      </c>
      <c r="BI7" s="62">
        <f ca="1">AVERAGE(OFFSET($BH$3,0,0,'Données projet'!$E$11+1,1))-AVERAGE(OFFSET($H$3,0,0,'Données projet'!$E$11+1,1))</f>
        <v>393.3005580838161</v>
      </c>
      <c r="BJ7" s="62">
        <f t="shared" si="38"/>
        <v>295.86019897822757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1.1099999999999999</v>
      </c>
      <c r="BY7" s="13">
        <f>IF('Données projet'!$A$114&gt;35,BY6+BX7-CG6,IF(A7&lt;'Données projet'!$A$114,$BV$205^A7,IF(A7='Données projet'!$A$114,'Données projet'!$B$114,BY6+BX7-CG6)))</f>
        <v>2.6189619666389237</v>
      </c>
      <c r="BZ7" s="14">
        <f>BY7*VLOOKUP('Données projet'!$B$12,Paramètres!$A$1:$I$89,3,0)*VLOOKUP('Données projet'!$B$12,Paramètres!$A$1:$I$89,5,0)</f>
        <v>2.0836461406579279</v>
      </c>
      <c r="CA7" s="14">
        <f t="shared" si="39"/>
        <v>0.88158647994800687</v>
      </c>
      <c r="CB7" s="22">
        <f t="shared" si="10"/>
        <v>5.1644468142220035</v>
      </c>
      <c r="CC7" s="62">
        <f t="shared" si="11"/>
        <v>202.61792725124363</v>
      </c>
      <c r="CD7" s="62">
        <f ca="1">AVERAGE(OFFSET($CC$3,0,0,'Données projet'!$E$12+1,1))-AVERAGE(OFFSET($H$3,0,0,'Données projet'!$E$12+1,1))</f>
        <v>388.52230330563884</v>
      </c>
      <c r="CE7" s="62">
        <f t="shared" si="40"/>
        <v>418.94833960687333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1.1099999999999999</v>
      </c>
      <c r="CT7" s="13">
        <f>IF('Données projet'!$A$140&gt;35,CT6+CS7-DB6,IF(A7&lt;'Données projet'!$A$140,$CQ$205^A7,IF(A7='Données projet'!$A$140,'Données projet'!$B$140,CT6+CS7-DB6)))</f>
        <v>2.6189619666389237</v>
      </c>
      <c r="CU7" s="18">
        <f>CT7*VLOOKUP('Données projet'!$B$13,Paramètres!$A$1:$I$89,3,0)*VLOOKUP('Données projet'!$B$13,Paramètres!$A$1:$I$89,5,0)</f>
        <v>1.9202229139396587</v>
      </c>
      <c r="CV7" s="14">
        <f t="shared" si="41"/>
        <v>0.82020342951495628</v>
      </c>
      <c r="CW7" s="22">
        <f t="shared" si="13"/>
        <v>4.7729092148501211</v>
      </c>
      <c r="CX7" s="62">
        <f t="shared" si="14"/>
        <v>202.22638965187176</v>
      </c>
      <c r="CY7" s="62">
        <f ca="1">AVERAGE(OFFSET($CX$3,0,0,'Données projet'!$E$13+1,1))-AVERAGE(OFFSET($H$3,0,0,'Données projet'!$E$13+1,1))</f>
        <v>362.38131866207266</v>
      </c>
      <c r="CZ7" s="62">
        <f t="shared" si="42"/>
        <v>390.74498763200336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</v>
      </c>
      <c r="DO7" s="13">
        <f>IF('Données projet'!$A$166&gt;35,DO6+DN7-DW6,IF(A7&lt;'Données projet'!$A$166,$DL$205^A7,IF(A7='Données projet'!$A$166,'Données projet'!$B$166,DO6+DN7-DW6)))</f>
        <v>3.1776715231464374</v>
      </c>
      <c r="DP7" s="18">
        <f>DO7*VLOOKUP('Données projet'!$B$14,Paramètres!$A$1:$I$89,3,0)*VLOOKUP('Données projet'!$B$14,Paramètres!$A$1:$I$89,5,0)</f>
        <v>2.7760138426207281</v>
      </c>
      <c r="DQ7" s="14">
        <f t="shared" si="43"/>
        <v>1.135950520408497</v>
      </c>
      <c r="DR7" s="22">
        <f t="shared" si="16"/>
        <v>6.8133379322758998</v>
      </c>
      <c r="DS7" s="62">
        <f t="shared" si="17"/>
        <v>204.26681836929754</v>
      </c>
      <c r="DT7" s="62">
        <f ca="1">AVERAGE(OFFSET($DS$3,0,0,'Données projet'!$E$14+1,1))-AVERAGE(OFFSET($H$3,0,0,'Données projet'!$E$14+1,1))</f>
        <v>334.4692012109935</v>
      </c>
      <c r="DU7" s="62">
        <f t="shared" si="44"/>
        <v>316.360405424036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10</v>
      </c>
      <c r="EJ7" s="13">
        <f>IF('Données projet'!$A$192&gt;35,EJ6+EI7-ER6,IF(A7&lt;'Données projet'!$A$192,$EG$205^A7,IF(A7='Données projet'!$A$192,'Données projet'!$B$192,EJ6+EI7-ER6)))</f>
        <v>2.7690288761929791</v>
      </c>
      <c r="EK7" s="18">
        <f>EJ7*VLOOKUP('Données projet'!$B$15,Paramètres!$A$1:$I$89,3,0)*VLOOKUP('Données projet'!$B$15,Paramètres!$A$1:$I$89,5,0)</f>
        <v>1.5478871417918754</v>
      </c>
      <c r="EL7" s="14">
        <f t="shared" si="45"/>
        <v>0.67796254889037699</v>
      </c>
      <c r="EM7" s="22">
        <f t="shared" si="19"/>
        <v>3.8766882112715897</v>
      </c>
      <c r="EN7" s="62">
        <f t="shared" si="20"/>
        <v>201.33016864829321</v>
      </c>
      <c r="EO7" s="62">
        <f ca="1">AVERAGE(OFFSET($EN$3,0,0,'Données projet'!$E$15+1,1))-AVERAGE(OFFSET($H$3,0,0,'Données projet'!$E$15+1,1))</f>
        <v>390.09289316045653</v>
      </c>
      <c r="EP7" s="62">
        <f t="shared" si="46"/>
        <v>364.34913542817617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2.9333333333333331</v>
      </c>
      <c r="FE7" s="13">
        <f>IF('Données projet'!$A$218&gt;35,FE6+FD7-FM6,IF(A7&lt;'Données projet'!$A$218,$FB$205^A7,IF(A7='Données projet'!$A$218,'Données projet'!$B$218,FE6+FD7-FM6)))</f>
        <v>1.8166211087320703</v>
      </c>
      <c r="FF7" s="18">
        <f>FE7*VLOOKUP('Données projet'!$B$16,Paramètres!$A$1:$I$89,3,0)*VLOOKUP('Données projet'!$B$16,Paramètres!$A$1:$I$89,5,0)</f>
        <v>0.85017867888660892</v>
      </c>
      <c r="FG7" s="14">
        <f t="shared" si="47"/>
        <v>0.39927055720143956</v>
      </c>
      <c r="FH7" s="22">
        <f t="shared" si="22"/>
        <v>2.1761240861866842</v>
      </c>
      <c r="FI7" s="62">
        <f t="shared" si="23"/>
        <v>199.62960452320831</v>
      </c>
      <c r="FJ7" s="62">
        <f ca="1">AVERAGE(OFFSET($FI$3,0,0,'Données projet'!$E$16+1,1))-AVERAGE(OFFSET($H$3,0,0,'Données projet'!$E$16+1,1))</f>
        <v>344.55118007058775</v>
      </c>
      <c r="FK7" s="62">
        <f t="shared" si="48"/>
        <v>144.16931602355001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6.2222222222222223</v>
      </c>
      <c r="FZ7" s="13">
        <f>IF('Données projet'!$A$244&gt;35,FZ6+FY7-GH6,IF(A7&lt;'Données projet'!$A$244,$FW$205^A7,IF(A7='Données projet'!$A$244,'Données projet'!$B$244,FZ6+FY7-GH6)))</f>
        <v>2.8535256637456983</v>
      </c>
      <c r="GA7" s="18">
        <f>FZ7*VLOOKUP('Données projet'!$B$17,Paramètres!$A$1:$I$89,3,0)*VLOOKUP('Données projet'!$B$17,Paramètres!$A$1:$I$89,5,0)</f>
        <v>1.7806000141773157</v>
      </c>
      <c r="GB7" s="14">
        <f t="shared" si="49"/>
        <v>0.76727758599241935</v>
      </c>
      <c r="GC7" s="22">
        <f t="shared" si="25"/>
        <v>4.4375534869622877</v>
      </c>
      <c r="GD7" s="62">
        <f t="shared" si="26"/>
        <v>201.89103392398391</v>
      </c>
      <c r="GE7" s="62">
        <f ca="1">AVERAGE(OFFSET($GD$3,0,0,'Données projet'!$E$17+1,1))-AVERAGE(OFFSET($H$3,0,0,'Données projet'!$E$17+1,1))</f>
        <v>252.60122125520482</v>
      </c>
      <c r="GF7" s="62">
        <f t="shared" si="50"/>
        <v>357.56833754121317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0.9</v>
      </c>
      <c r="GU7" s="13">
        <f>IF('Données projet'!$A$270&gt;35,GU6+GT7-HC6,IF(A7&lt;'Données projet'!$A$270,$GR$205^A7,IF(A7='Données projet'!$A$270,'Données projet'!$B$270,GU6+GT7-HC6)))</f>
        <v>2.4082246852806923</v>
      </c>
      <c r="GV7" s="18">
        <f>GU7*VLOOKUP('Données projet'!$B$18,Paramètres!$A$1:$I$89,3,0)*VLOOKUP('Données projet'!$B$18,Paramètres!$A$1:$I$89,5,0)</f>
        <v>1.9535518646996977</v>
      </c>
      <c r="GW7" s="14">
        <f t="shared" si="51"/>
        <v>0.83276983766381052</v>
      </c>
      <c r="GX7" s="22">
        <f t="shared" si="28"/>
        <v>4.8528436316164436</v>
      </c>
      <c r="GY7" s="62">
        <f t="shared" si="29"/>
        <v>202.30632406863808</v>
      </c>
      <c r="GZ7" s="62">
        <f ca="1">AVERAGE(OFFSET($GY$3,0,0,'Données projet'!$E$18+1,1))-AVERAGE(OFFSET($H$3,0,0,'Données projet'!$E$18+1,1))</f>
        <v>268.57152522489537</v>
      </c>
      <c r="HA7" s="62">
        <f t="shared" si="52"/>
        <v>311.80303557283207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3.75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13.75</v>
      </c>
      <c r="H8" s="70">
        <f t="shared" si="1"/>
        <v>201.66666666666666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205.47709960355363</v>
      </c>
      <c r="S8" s="62">
        <f ca="1">AVERAGE(OFFSET($R$3,0,0,'Données projet'!$E$9+1,1))-AVERAGE(OFFSET($H$3,0,0,'Données projet'!$E$9+1,1))</f>
        <v>461.02780119093666</v>
      </c>
      <c r="T8" s="62">
        <f t="shared" si="34"/>
        <v>245.70016468438834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2.1445228635663907</v>
      </c>
      <c r="AK8" s="14">
        <f t="shared" si="35"/>
        <v>0.90430692044106609</v>
      </c>
      <c r="AL8" s="22">
        <f t="shared" si="4"/>
        <v>5.3100452071463202</v>
      </c>
      <c r="AM8" s="62">
        <f t="shared" si="5"/>
        <v>205.09777555892626</v>
      </c>
      <c r="AN8" s="62">
        <f ca="1">AVERAGE(OFFSET($AM$3,0,0,'Données projet'!$E$10+1,1))-AVERAGE(OFFSET($H$3,0,0,'Données projet'!$E$10+1,1))</f>
        <v>434.22500776975596</v>
      </c>
      <c r="AO8" s="62">
        <f t="shared" si="36"/>
        <v>232.59777933076705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2.4358974358974361</v>
      </c>
      <c r="BD8" s="13">
        <f>IF('Données projet'!$A$88&gt;35,BD7+BC8-BL7,IF(A8&lt;'Données projet'!$A$88,$BA$205^A8,IF(A8='Données projet'!$A$88,'Données projet'!$B$88,BD7+BC8-BL7)))</f>
        <v>3.3183084459586891</v>
      </c>
      <c r="BE8" s="14">
        <f>BD8*VLOOKUP('Données projet'!$B$11,Paramètres!$A$1:$I$89,3,0)*VLOOKUP('Données projet'!$B$11,Paramètres!$A$1:$I$89,5,0)</f>
        <v>3.1577023171742886</v>
      </c>
      <c r="BF8" s="14">
        <f t="shared" si="37"/>
        <v>1.2729063254981332</v>
      </c>
      <c r="BG8" s="22">
        <f t="shared" si="7"/>
        <v>7.7166433859878012</v>
      </c>
      <c r="BH8" s="62">
        <f t="shared" si="8"/>
        <v>207.50437373776774</v>
      </c>
      <c r="BI8" s="62">
        <f ca="1">AVERAGE(OFFSET($BH$3,0,0,'Données projet'!$E$11+1,1))-AVERAGE(OFFSET($H$3,0,0,'Données projet'!$E$11+1,1))</f>
        <v>393.3005580838161</v>
      </c>
      <c r="BJ8" s="62">
        <f t="shared" si="38"/>
        <v>295.86019897822757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1.1099999999999999</v>
      </c>
      <c r="BY8" s="13">
        <f>IF('Données projet'!$A$114&gt;35,BY7+BX8-CG7,IF(A8&lt;'Données projet'!$A$114,$BV$205^A8,IF(A8='Données projet'!$A$114,'Données projet'!$B$114,BY7+BX8-CG7)))</f>
        <v>3.331666249791537</v>
      </c>
      <c r="BZ8" s="14">
        <f>BY8*VLOOKUP('Données projet'!$B$12,Paramètres!$A$1:$I$89,3,0)*VLOOKUP('Données projet'!$B$12,Paramètres!$A$1:$I$89,5,0)</f>
        <v>2.650673668334147</v>
      </c>
      <c r="CA8" s="14">
        <f t="shared" si="39"/>
        <v>1.0905100180313785</v>
      </c>
      <c r="CB8" s="22">
        <f t="shared" si="10"/>
        <v>6.5158949204199574</v>
      </c>
      <c r="CC8" s="62">
        <f t="shared" si="11"/>
        <v>206.30362527219989</v>
      </c>
      <c r="CD8" s="62">
        <f ca="1">AVERAGE(OFFSET($CC$3,0,0,'Données projet'!$E$12+1,1))-AVERAGE(OFFSET($H$3,0,0,'Données projet'!$E$12+1,1))</f>
        <v>388.52230330563884</v>
      </c>
      <c r="CE8" s="62">
        <f t="shared" si="40"/>
        <v>418.94833960687333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1.1099999999999999</v>
      </c>
      <c r="CT8" s="13">
        <f>IF('Données projet'!$A$140&gt;35,CT7+CS8-DB7,IF(A8&lt;'Données projet'!$A$140,$CQ$205^A8,IF(A8='Données projet'!$A$140,'Données projet'!$B$140,CT7+CS8-DB7)))</f>
        <v>3.331666249791537</v>
      </c>
      <c r="CU8" s="18">
        <f>CT8*VLOOKUP('Données projet'!$B$13,Paramètres!$A$1:$I$89,3,0)*VLOOKUP('Données projet'!$B$13,Paramètres!$A$1:$I$89,5,0)</f>
        <v>2.4427776943471549</v>
      </c>
      <c r="CV8" s="14">
        <f t="shared" si="41"/>
        <v>1.0145800520471964</v>
      </c>
      <c r="CW8" s="22">
        <f t="shared" si="13"/>
        <v>6.0215647416368272</v>
      </c>
      <c r="CX8" s="62">
        <f t="shared" si="14"/>
        <v>205.80929509341678</v>
      </c>
      <c r="CY8" s="62">
        <f ca="1">AVERAGE(OFFSET($CX$3,0,0,'Données projet'!$E$13+1,1))-AVERAGE(OFFSET($H$3,0,0,'Données projet'!$E$13+1,1))</f>
        <v>362.38131866207266</v>
      </c>
      <c r="CZ8" s="62">
        <f t="shared" si="42"/>
        <v>390.74498763200336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</v>
      </c>
      <c r="DO8" s="13">
        <f>IF('Données projet'!$A$166&gt;35,DO7+DN8-DW7,IF(A8&lt;'Données projet'!$A$166,$DL$205^A8,IF(A8='Données projet'!$A$166,'Données projet'!$B$166,DO7+DN8-DW7)))</f>
        <v>4.2426406871192865</v>
      </c>
      <c r="DP8" s="18">
        <f>DO8*VLOOKUP('Données projet'!$B$14,Paramètres!$A$1:$I$89,3,0)*VLOOKUP('Données projet'!$B$14,Paramètres!$A$1:$I$89,5,0)</f>
        <v>3.7063709042674091</v>
      </c>
      <c r="DQ8" s="14">
        <f t="shared" si="43"/>
        <v>1.4664771263922398</v>
      </c>
      <c r="DR8" s="22">
        <f t="shared" si="16"/>
        <v>9.0093769867322209</v>
      </c>
      <c r="DS8" s="62">
        <f t="shared" si="17"/>
        <v>208.79710733851215</v>
      </c>
      <c r="DT8" s="62">
        <f ca="1">AVERAGE(OFFSET($DS$3,0,0,'Données projet'!$E$14+1,1))-AVERAGE(OFFSET($H$3,0,0,'Données projet'!$E$14+1,1))</f>
        <v>334.4692012109935</v>
      </c>
      <c r="DU8" s="62">
        <f t="shared" si="44"/>
        <v>316.360405424036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10</v>
      </c>
      <c r="EJ8" s="13">
        <f>IF('Données projet'!$A$192&gt;35,EJ7+EI8-ER7,IF(A8&lt;'Données projet'!$A$192,$EG$205^A8,IF(A8='Données projet'!$A$192,'Données projet'!$B$192,EJ7+EI8-ER7)))</f>
        <v>3.5719827745457646</v>
      </c>
      <c r="EK8" s="18">
        <f>EJ8*VLOOKUP('Données projet'!$B$15,Paramètres!$A$1:$I$89,3,0)*VLOOKUP('Données projet'!$B$15,Paramètres!$A$1:$I$89,5,0)</f>
        <v>1.9967383709710824</v>
      </c>
      <c r="EL8" s="14">
        <f t="shared" si="45"/>
        <v>0.84901594219430265</v>
      </c>
      <c r="EM8" s="22">
        <f t="shared" si="19"/>
        <v>4.9563554287630449</v>
      </c>
      <c r="EN8" s="62">
        <f t="shared" si="20"/>
        <v>204.74408578054297</v>
      </c>
      <c r="EO8" s="62">
        <f ca="1">AVERAGE(OFFSET($EN$3,0,0,'Données projet'!$E$15+1,1))-AVERAGE(OFFSET($H$3,0,0,'Données projet'!$E$15+1,1))</f>
        <v>390.09289316045653</v>
      </c>
      <c r="EP8" s="62">
        <f t="shared" si="46"/>
        <v>364.34913542817617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2.9333333333333331</v>
      </c>
      <c r="FE8" s="13">
        <f>IF('Données projet'!$A$218&gt;35,FE7+FD8-FM7,IF(A8&lt;'Données projet'!$A$218,$FB$205^A8,IF(A8='Données projet'!$A$218,'Données projet'!$B$218,FE7+FD8-FM7)))</f>
        <v>2.1090187721162255</v>
      </c>
      <c r="FF8" s="18">
        <f>FE8*VLOOKUP('Données projet'!$B$16,Paramètres!$A$1:$I$89,3,0)*VLOOKUP('Données projet'!$B$16,Paramètres!$A$1:$I$89,5,0)</f>
        <v>0.9870207853503935</v>
      </c>
      <c r="FG8" s="14">
        <f t="shared" si="47"/>
        <v>0.45555286487123015</v>
      </c>
      <c r="FH8" s="22">
        <f t="shared" si="22"/>
        <v>2.5124824408026609</v>
      </c>
      <c r="FI8" s="62">
        <f t="shared" si="23"/>
        <v>202.30021279258261</v>
      </c>
      <c r="FJ8" s="62">
        <f ca="1">AVERAGE(OFFSET($FI$3,0,0,'Données projet'!$E$16+1,1))-AVERAGE(OFFSET($H$3,0,0,'Données projet'!$E$16+1,1))</f>
        <v>344.55118007058775</v>
      </c>
      <c r="FK8" s="62">
        <f t="shared" si="48"/>
        <v>144.16931602355001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6.2222222222222223</v>
      </c>
      <c r="FZ8" s="13">
        <f>IF('Données projet'!$A$244&gt;35,FZ7+FY8-GH7,IF(A8&lt;'Données projet'!$A$244,$FW$205^A8,IF(A8='Données projet'!$A$244,'Données projet'!$B$244,FZ7+FY8-GH7)))</f>
        <v>3.7087471750180505</v>
      </c>
      <c r="GA8" s="18">
        <f>FZ8*VLOOKUP('Données projet'!$B$17,Paramètres!$A$1:$I$89,3,0)*VLOOKUP('Données projet'!$B$17,Paramètres!$A$1:$I$89,5,0)</f>
        <v>2.3142582372112632</v>
      </c>
      <c r="GB8" s="14">
        <f t="shared" si="49"/>
        <v>0.96726694681425085</v>
      </c>
      <c r="GC8" s="22">
        <f t="shared" si="25"/>
        <v>5.7153230288444377</v>
      </c>
      <c r="GD8" s="62">
        <f t="shared" si="26"/>
        <v>205.50305338062438</v>
      </c>
      <c r="GE8" s="62">
        <f ca="1">AVERAGE(OFFSET($GD$3,0,0,'Données projet'!$E$17+1,1))-AVERAGE(OFFSET($H$3,0,0,'Données projet'!$E$17+1,1))</f>
        <v>252.60122125520482</v>
      </c>
      <c r="GF8" s="62">
        <f t="shared" si="50"/>
        <v>357.56833754121317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0.9</v>
      </c>
      <c r="GU8" s="13">
        <f>IF('Données projet'!$A$270&gt;35,GU7+GT8-HC7,IF(A8&lt;'Données projet'!$A$270,$GR$205^A8,IF(A8='Données projet'!$A$270,'Données projet'!$B$270,GU7+GT8-HC7)))</f>
        <v>3.0000000000000004</v>
      </c>
      <c r="GV8" s="18">
        <f>GU8*VLOOKUP('Données projet'!$B$18,Paramètres!$A$1:$I$89,3,0)*VLOOKUP('Données projet'!$B$18,Paramètres!$A$1:$I$89,5,0)</f>
        <v>2.4336000000000007</v>
      </c>
      <c r="GW8" s="14">
        <f t="shared" si="51"/>
        <v>1.0112111626203177</v>
      </c>
      <c r="GX8" s="22">
        <f t="shared" si="28"/>
        <v>5.9997127748970547</v>
      </c>
      <c r="GY8" s="62">
        <f t="shared" si="29"/>
        <v>205.787443126677</v>
      </c>
      <c r="GZ8" s="62">
        <f ca="1">AVERAGE(OFFSET($GY$3,0,0,'Données projet'!$E$18+1,1))-AVERAGE(OFFSET($H$3,0,0,'Données projet'!$E$18+1,1))</f>
        <v>268.57152522489537</v>
      </c>
      <c r="HA8" s="62">
        <f t="shared" si="52"/>
        <v>311.80303557283207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3.75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13.75</v>
      </c>
      <c r="H9" s="70">
        <f t="shared" si="1"/>
        <v>201.66666666666666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208.91763017955836</v>
      </c>
      <c r="S9" s="62">
        <f ca="1">AVERAGE(OFFSET($R$3,0,0,'Données projet'!$E$9+1,1))-AVERAGE(OFFSET($H$3,0,0,'Données projet'!$E$9+1,1))</f>
        <v>461.02780119093666</v>
      </c>
      <c r="T9" s="62">
        <f t="shared" si="34"/>
        <v>245.70016468438834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2.5851940357334171</v>
      </c>
      <c r="AK9" s="14">
        <f t="shared" si="35"/>
        <v>1.0666722775067177</v>
      </c>
      <c r="AL9" s="22">
        <f t="shared" si="4"/>
        <v>6.3603338288932347</v>
      </c>
      <c r="AM9" s="62">
        <f t="shared" si="5"/>
        <v>208.46302290108747</v>
      </c>
      <c r="AN9" s="62">
        <f ca="1">AVERAGE(OFFSET($AM$3,0,0,'Données projet'!$E$10+1,1))-AVERAGE(OFFSET($H$3,0,0,'Données projet'!$E$10+1,1))</f>
        <v>434.22500776975596</v>
      </c>
      <c r="AO9" s="62">
        <f t="shared" si="36"/>
        <v>232.59777933076705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2.4358974358974361</v>
      </c>
      <c r="BD9" s="13">
        <f>IF('Données projet'!$A$88&gt;35,BD8+BC9-BL8,IF(A9&lt;'Données projet'!$A$88,$BA$205^A9,IF(A9='Données projet'!$A$88,'Données projet'!$B$88,BD8+BC9-BL8)))</f>
        <v>4.2179371378119086</v>
      </c>
      <c r="BE9" s="14">
        <f>BD9*VLOOKUP('Données projet'!$B$11,Paramètres!$A$1:$I$89,3,0)*VLOOKUP('Données projet'!$B$11,Paramètres!$A$1:$I$89,5,0)</f>
        <v>4.0137889803418121</v>
      </c>
      <c r="BF9" s="14">
        <f t="shared" si="37"/>
        <v>1.5734496608040387</v>
      </c>
      <c r="BG9" s="22">
        <f t="shared" si="7"/>
        <v>9.7311072999956902</v>
      </c>
      <c r="BH9" s="62">
        <f t="shared" si="8"/>
        <v>211.83379637218994</v>
      </c>
      <c r="BI9" s="62">
        <f ca="1">AVERAGE(OFFSET($BH$3,0,0,'Données projet'!$E$11+1,1))-AVERAGE(OFFSET($H$3,0,0,'Données projet'!$E$11+1,1))</f>
        <v>393.3005580838161</v>
      </c>
      <c r="BJ9" s="62">
        <f t="shared" si="38"/>
        <v>295.86019897822757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1.1099999999999999</v>
      </c>
      <c r="BY9" s="13">
        <f>IF('Données projet'!$A$114&gt;35,BY8+BX9-CG8,IF(A9&lt;'Données projet'!$A$114,$BV$205^A9,IF(A9='Données projet'!$A$114,'Données projet'!$B$114,BY8+BX9-CG8)))</f>
        <v>4.2383204267167436</v>
      </c>
      <c r="BZ9" s="14">
        <f>BY9*VLOOKUP('Données projet'!$B$12,Paramètres!$A$1:$I$89,3,0)*VLOOKUP('Données projet'!$B$12,Paramètres!$A$1:$I$89,5,0)</f>
        <v>3.3720077314958417</v>
      </c>
      <c r="CA9" s="14">
        <f t="shared" si="39"/>
        <v>1.3489454823501079</v>
      </c>
      <c r="CB9" s="22">
        <f t="shared" si="10"/>
        <v>8.2223268474483628</v>
      </c>
      <c r="CC9" s="62">
        <f t="shared" si="11"/>
        <v>210.3250159196426</v>
      </c>
      <c r="CD9" s="62">
        <f ca="1">AVERAGE(OFFSET($CC$3,0,0,'Données projet'!$E$12+1,1))-AVERAGE(OFFSET($H$3,0,0,'Données projet'!$E$12+1,1))</f>
        <v>388.52230330563884</v>
      </c>
      <c r="CE9" s="62">
        <f t="shared" si="40"/>
        <v>418.94833960687333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1.1099999999999999</v>
      </c>
      <c r="CT9" s="13">
        <f>IF('Données projet'!$A$140&gt;35,CT8+CS9-DB8,IF(A9&lt;'Données projet'!$A$140,$CQ$205^A9,IF(A9='Données projet'!$A$140,'Données projet'!$B$140,CT8+CS9-DB8)))</f>
        <v>4.2383204267167436</v>
      </c>
      <c r="CU9" s="18">
        <f>CT9*VLOOKUP('Données projet'!$B$13,Paramètres!$A$1:$I$89,3,0)*VLOOKUP('Données projet'!$B$13,Paramètres!$A$1:$I$89,5,0)</f>
        <v>3.1075365368687162</v>
      </c>
      <c r="CV9" s="14">
        <f t="shared" si="41"/>
        <v>1.2550211873910744</v>
      </c>
      <c r="CW9" s="22">
        <f t="shared" si="13"/>
        <v>7.5981213697524668</v>
      </c>
      <c r="CX9" s="62">
        <f t="shared" si="14"/>
        <v>209.70081044194671</v>
      </c>
      <c r="CY9" s="62">
        <f ca="1">AVERAGE(OFFSET($CX$3,0,0,'Données projet'!$E$13+1,1))-AVERAGE(OFFSET($H$3,0,0,'Données projet'!$E$13+1,1))</f>
        <v>362.38131866207266</v>
      </c>
      <c r="CZ9" s="62">
        <f t="shared" si="42"/>
        <v>390.74498763200336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</v>
      </c>
      <c r="DO9" s="13">
        <f>IF('Données projet'!$A$166&gt;35,DO8+DN9-DW8,IF(A9&lt;'Données projet'!$A$166,$DL$205^A9,IF(A9='Données projet'!$A$166,'Données projet'!$B$166,DO8+DN9-DW8)))</f>
        <v>5.6645250677694134</v>
      </c>
      <c r="DP9" s="18">
        <f>DO9*VLOOKUP('Données projet'!$B$14,Paramètres!$A$1:$I$89,3,0)*VLOOKUP('Données projet'!$B$14,Paramètres!$A$1:$I$89,5,0)</f>
        <v>4.9485290992033608</v>
      </c>
      <c r="DQ9" s="14">
        <f t="shared" si="43"/>
        <v>1.8931767921179217</v>
      </c>
      <c r="DR9" s="22">
        <f t="shared" si="16"/>
        <v>11.915971094051232</v>
      </c>
      <c r="DS9" s="62">
        <f t="shared" si="17"/>
        <v>214.01866016624547</v>
      </c>
      <c r="DT9" s="62">
        <f ca="1">AVERAGE(OFFSET($DS$3,0,0,'Données projet'!$E$14+1,1))-AVERAGE(OFFSET($H$3,0,0,'Données projet'!$E$14+1,1))</f>
        <v>334.4692012109935</v>
      </c>
      <c r="DU9" s="62">
        <f t="shared" si="44"/>
        <v>316.360405424036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10</v>
      </c>
      <c r="EJ9" s="13">
        <f>IF('Données projet'!$A$192&gt;35,EJ8+EI9-ER8,IF(A9&lt;'Données projet'!$A$192,$EG$205^A9,IF(A9='Données projet'!$A$192,'Données projet'!$B$192,EJ8+EI9-ER8)))</f>
        <v>4.607774606956629</v>
      </c>
      <c r="EK9" s="18">
        <f>EJ9*VLOOKUP('Données projet'!$B$15,Paramètres!$A$1:$I$89,3,0)*VLOOKUP('Données projet'!$B$15,Paramètres!$A$1:$I$89,5,0)</f>
        <v>2.5757460052887557</v>
      </c>
      <c r="EL9" s="14">
        <f t="shared" si="45"/>
        <v>1.0632269751181105</v>
      </c>
      <c r="EM9" s="22">
        <f t="shared" si="19"/>
        <v>6.3378779408752912</v>
      </c>
      <c r="EN9" s="62">
        <f t="shared" si="20"/>
        <v>208.44056701306954</v>
      </c>
      <c r="EO9" s="62">
        <f ca="1">AVERAGE(OFFSET($EN$3,0,0,'Données projet'!$E$15+1,1))-AVERAGE(OFFSET($H$3,0,0,'Données projet'!$E$15+1,1))</f>
        <v>390.09289316045653</v>
      </c>
      <c r="EP9" s="62">
        <f t="shared" si="46"/>
        <v>364.34913542817617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2.9333333333333331</v>
      </c>
      <c r="FE9" s="13">
        <f>IF('Données projet'!$A$218&gt;35,FE8+FD9-FM8,IF(A9&lt;'Données projet'!$A$218,$FB$205^A9,IF(A9='Données projet'!$A$218,'Données projet'!$B$218,FE8+FD9-FM8)))</f>
        <v>2.4484798507285492</v>
      </c>
      <c r="FF9" s="18">
        <f>FE9*VLOOKUP('Données projet'!$B$16,Paramètres!$A$1:$I$89,3,0)*VLOOKUP('Données projet'!$B$16,Paramètres!$A$1:$I$89,5,0)</f>
        <v>1.1458885701409609</v>
      </c>
      <c r="FG9" s="14">
        <f t="shared" si="47"/>
        <v>0.51976888590781634</v>
      </c>
      <c r="FH9" s="22">
        <f t="shared" si="22"/>
        <v>2.9010200692849537</v>
      </c>
      <c r="FI9" s="62">
        <f t="shared" si="23"/>
        <v>205.00370914147919</v>
      </c>
      <c r="FJ9" s="62">
        <f ca="1">AVERAGE(OFFSET($FI$3,0,0,'Données projet'!$E$16+1,1))-AVERAGE(OFFSET($H$3,0,0,'Données projet'!$E$16+1,1))</f>
        <v>344.55118007058775</v>
      </c>
      <c r="FK9" s="62">
        <f t="shared" si="48"/>
        <v>144.16931602355001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6.2222222222222223</v>
      </c>
      <c r="FZ9" s="13">
        <f>IF('Données projet'!$A$244&gt;35,FZ8+FY9-GH8,IF(A9&lt;'Données projet'!$A$244,$FW$205^A9,IF(A9='Données projet'!$A$244,'Données projet'!$B$244,FZ8+FY9-GH8)))</f>
        <v>4.8202845283504612</v>
      </c>
      <c r="GA9" s="18">
        <f>FZ9*VLOOKUP('Données projet'!$B$17,Paramètres!$A$1:$I$89,3,0)*VLOOKUP('Données projet'!$B$17,Paramètres!$A$1:$I$89,5,0)</f>
        <v>3.0078575456906878</v>
      </c>
      <c r="GB9" s="14">
        <f t="shared" si="49"/>
        <v>1.2193831326236693</v>
      </c>
      <c r="GC9" s="22">
        <f t="shared" si="25"/>
        <v>7.3624441813975059</v>
      </c>
      <c r="GD9" s="62">
        <f t="shared" si="26"/>
        <v>209.46513325359174</v>
      </c>
      <c r="GE9" s="62">
        <f ca="1">AVERAGE(OFFSET($GD$3,0,0,'Données projet'!$E$17+1,1))-AVERAGE(OFFSET($H$3,0,0,'Données projet'!$E$17+1,1))</f>
        <v>252.60122125520482</v>
      </c>
      <c r="GF9" s="62">
        <f t="shared" si="50"/>
        <v>357.56833754121317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0.9</v>
      </c>
      <c r="GU9" s="13">
        <f>IF('Données projet'!$A$270&gt;35,GU8+GT9-HC8,IF(A9&lt;'Données projet'!$A$270,$GR$205^A9,IF(A9='Données projet'!$A$270,'Données projet'!$B$270,GU8+GT9-HC8)))</f>
        <v>3.7371928188465526</v>
      </c>
      <c r="GV9" s="18">
        <f>GU9*VLOOKUP('Données projet'!$B$18,Paramètres!$A$1:$I$89,3,0)*VLOOKUP('Données projet'!$B$18,Paramètres!$A$1:$I$89,5,0)</f>
        <v>3.0316108146483236</v>
      </c>
      <c r="GW9" s="14">
        <f t="shared" si="51"/>
        <v>1.2278879099133964</v>
      </c>
      <c r="GX9" s="22">
        <f t="shared" si="28"/>
        <v>7.4186269452783291</v>
      </c>
      <c r="GY9" s="62">
        <f t="shared" si="29"/>
        <v>209.52131601747257</v>
      </c>
      <c r="GZ9" s="62">
        <f ca="1">AVERAGE(OFFSET($GY$3,0,0,'Données projet'!$E$18+1,1))-AVERAGE(OFFSET($H$3,0,0,'Données projet'!$E$18+1,1))</f>
        <v>268.57152522489537</v>
      </c>
      <c r="HA9" s="62">
        <f t="shared" si="52"/>
        <v>311.80303557283207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3.75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13.75</v>
      </c>
      <c r="H10" s="70">
        <f t="shared" si="1"/>
        <v>201.66666666666666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212.56268078921624</v>
      </c>
      <c r="S10" s="62">
        <f ca="1">AVERAGE(OFFSET($R$3,0,0,'Données projet'!$E$9+1,1))-AVERAGE(OFFSET($H$3,0,0,'Données projet'!$E$9+1,1))</f>
        <v>461.02780119093666</v>
      </c>
      <c r="T10" s="62">
        <f t="shared" si="34"/>
        <v>245.70016468438834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3.1164173233748005</v>
      </c>
      <c r="AK10" s="14">
        <f t="shared" si="35"/>
        <v>1.2581898046809412</v>
      </c>
      <c r="AL10" s="22">
        <f t="shared" si="4"/>
        <v>7.6191074146970825</v>
      </c>
      <c r="AM10" s="62">
        <f t="shared" si="5"/>
        <v>212.01779867205482</v>
      </c>
      <c r="AN10" s="62">
        <f ca="1">AVERAGE(OFFSET($AM$3,0,0,'Données projet'!$E$10+1,1))-AVERAGE(OFFSET($H$3,0,0,'Données projet'!$E$10+1,1))</f>
        <v>434.22500776975596</v>
      </c>
      <c r="AO10" s="62">
        <f t="shared" si="36"/>
        <v>232.59777933076705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2.4358974358974361</v>
      </c>
      <c r="BD10" s="13">
        <f>IF('Données projet'!$A$88&gt;35,BD9+BC10-BL9,IF(A10&lt;'Données projet'!$A$88,$BA$205^A10,IF(A10='Données projet'!$A$88,'Données projet'!$B$88,BD9+BC10-BL9)))</f>
        <v>5.3614647306823651</v>
      </c>
      <c r="BE10" s="14">
        <f>BD10*VLOOKUP('Données projet'!$B$11,Paramètres!$A$1:$I$89,3,0)*VLOOKUP('Données projet'!$B$11,Paramètres!$A$1:$I$89,5,0)</f>
        <v>5.1019698377173386</v>
      </c>
      <c r="BF10" s="14">
        <f t="shared" si="37"/>
        <v>1.9449536745097864</v>
      </c>
      <c r="BG10" s="22">
        <f t="shared" si="7"/>
        <v>12.273391783795576</v>
      </c>
      <c r="BH10" s="62">
        <f t="shared" si="8"/>
        <v>216.67208304115331</v>
      </c>
      <c r="BI10" s="62">
        <f ca="1">AVERAGE(OFFSET($BH$3,0,0,'Données projet'!$E$11+1,1))-AVERAGE(OFFSET($H$3,0,0,'Données projet'!$E$11+1,1))</f>
        <v>393.3005580838161</v>
      </c>
      <c r="BJ10" s="62">
        <f t="shared" si="38"/>
        <v>295.86019897822757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1.1099999999999999</v>
      </c>
      <c r="BY10" s="13">
        <f>IF('Données projet'!$A$114&gt;35,BY9+BX10-CG9,IF(A10&lt;'Données projet'!$A$114,$BV$205^A10,IF(A10='Données projet'!$A$114,'Données projet'!$B$114,BY9+BX10-CG9)))</f>
        <v>5.3917045384267919</v>
      </c>
      <c r="BZ10" s="14">
        <f>BY10*VLOOKUP('Données projet'!$B$12,Paramètres!$A$1:$I$89,3,0)*VLOOKUP('Données projet'!$B$12,Paramètres!$A$1:$I$89,5,0)</f>
        <v>4.289640130772356</v>
      </c>
      <c r="CA10" s="14">
        <f t="shared" si="39"/>
        <v>1.6686264997708673</v>
      </c>
      <c r="CB10" s="22">
        <f t="shared" si="10"/>
        <v>10.377314381529446</v>
      </c>
      <c r="CC10" s="62">
        <f t="shared" si="11"/>
        <v>214.7760056388872</v>
      </c>
      <c r="CD10" s="62">
        <f ca="1">AVERAGE(OFFSET($CC$3,0,0,'Données projet'!$E$12+1,1))-AVERAGE(OFFSET($H$3,0,0,'Données projet'!$E$12+1,1))</f>
        <v>388.52230330563884</v>
      </c>
      <c r="CE10" s="62">
        <f t="shared" si="40"/>
        <v>418.94833960687333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1.1099999999999999</v>
      </c>
      <c r="CT10" s="13">
        <f>IF('Données projet'!$A$140&gt;35,CT9+CS10-DB9,IF(A10&lt;'Données projet'!$A$140,$CQ$205^A10,IF(A10='Données projet'!$A$140,'Données projet'!$B$140,CT9+CS10-DB9)))</f>
        <v>5.3917045384267919</v>
      </c>
      <c r="CU10" s="18">
        <f>CT10*VLOOKUP('Données projet'!$B$13,Paramètres!$A$1:$I$89,3,0)*VLOOKUP('Données projet'!$B$13,Paramètres!$A$1:$I$89,5,0)</f>
        <v>3.9531977675745238</v>
      </c>
      <c r="CV10" s="14">
        <f t="shared" si="41"/>
        <v>1.5524434741471074</v>
      </c>
      <c r="CW10" s="22">
        <f t="shared" si="13"/>
        <v>9.5889918293318406</v>
      </c>
      <c r="CX10" s="62">
        <f t="shared" si="14"/>
        <v>213.98768308668957</v>
      </c>
      <c r="CY10" s="62">
        <f ca="1">AVERAGE(OFFSET($CX$3,0,0,'Données projet'!$E$13+1,1))-AVERAGE(OFFSET($H$3,0,0,'Données projet'!$E$13+1,1))</f>
        <v>362.38131866207266</v>
      </c>
      <c r="CZ10" s="62">
        <f t="shared" si="42"/>
        <v>390.74498763200336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</v>
      </c>
      <c r="DO10" s="13">
        <f>IF('Données projet'!$A$166&gt;35,DO9+DN10-DW9,IF(A10&lt;'Données projet'!$A$166,$DL$205^A10,IF(A10='Données projet'!$A$166,'Données projet'!$B$166,DO9+DN10-DW9)))</f>
        <v>7.5629417171254145</v>
      </c>
      <c r="DP10" s="18">
        <f>DO10*VLOOKUP('Données projet'!$B$14,Paramètres!$A$1:$I$89,3,0)*VLOOKUP('Données projet'!$B$14,Paramètres!$A$1:$I$89,5,0)</f>
        <v>6.6069858840807631</v>
      </c>
      <c r="DQ10" s="14">
        <f t="shared" si="43"/>
        <v>2.4440329151477385</v>
      </c>
      <c r="DR10" s="22">
        <f t="shared" si="16"/>
        <v>15.763857741989639</v>
      </c>
      <c r="DS10" s="62">
        <f t="shared" si="17"/>
        <v>220.16254899934739</v>
      </c>
      <c r="DT10" s="62">
        <f ca="1">AVERAGE(OFFSET($DS$3,0,0,'Données projet'!$E$14+1,1))-AVERAGE(OFFSET($H$3,0,0,'Données projet'!$E$14+1,1))</f>
        <v>334.4692012109935</v>
      </c>
      <c r="DU10" s="62">
        <f t="shared" si="44"/>
        <v>316.360405424036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10</v>
      </c>
      <c r="EJ10" s="13">
        <f>IF('Données projet'!$A$192&gt;35,EJ9+EI10-ER9,IF(A10&lt;'Données projet'!$A$192,$EG$205^A10,IF(A10='Données projet'!$A$192,'Données projet'!$B$192,EJ9+EI10-ER9)))</f>
        <v>5.9439219527631275</v>
      </c>
      <c r="EK10" s="18">
        <f>EJ10*VLOOKUP('Données projet'!$B$15,Paramètres!$A$1:$I$89,3,0)*VLOOKUP('Données projet'!$B$15,Paramètres!$A$1:$I$89,5,0)</f>
        <v>3.3226523715945881</v>
      </c>
      <c r="EL10" s="14">
        <f t="shared" si="45"/>
        <v>1.3314845392621566</v>
      </c>
      <c r="EM10" s="22">
        <f t="shared" si="19"/>
        <v>8.1059551197421627</v>
      </c>
      <c r="EN10" s="62">
        <f t="shared" si="20"/>
        <v>212.5046463770999</v>
      </c>
      <c r="EO10" s="62">
        <f ca="1">AVERAGE(OFFSET($EN$3,0,0,'Données projet'!$E$15+1,1))-AVERAGE(OFFSET($H$3,0,0,'Données projet'!$E$15+1,1))</f>
        <v>390.09289316045653</v>
      </c>
      <c r="EP10" s="62">
        <f t="shared" si="46"/>
        <v>364.34913542817617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2.9333333333333331</v>
      </c>
      <c r="FE10" s="13">
        <f>IF('Données projet'!$A$218&gt;35,FE9+FD10-FM9,IF(A10&lt;'Données projet'!$A$218,$FB$205^A10,IF(A10='Données projet'!$A$218,'Données projet'!$B$218,FE9+FD10-FM9)))</f>
        <v>2.8425795249836301</v>
      </c>
      <c r="FF10" s="18">
        <f>FE10*VLOOKUP('Données projet'!$B$16,Paramètres!$A$1:$I$89,3,0)*VLOOKUP('Données projet'!$B$16,Paramètres!$A$1:$I$89,5,0)</f>
        <v>1.3303272176923389</v>
      </c>
      <c r="FG10" s="14">
        <f t="shared" si="47"/>
        <v>0.59303697899961161</v>
      </c>
      <c r="FH10" s="22">
        <f t="shared" si="22"/>
        <v>3.3498593092384805</v>
      </c>
      <c r="FI10" s="62">
        <f t="shared" si="23"/>
        <v>207.74855056659621</v>
      </c>
      <c r="FJ10" s="62">
        <f ca="1">AVERAGE(OFFSET($FI$3,0,0,'Données projet'!$E$16+1,1))-AVERAGE(OFFSET($H$3,0,0,'Données projet'!$E$16+1,1))</f>
        <v>344.55118007058775</v>
      </c>
      <c r="FK10" s="62">
        <f t="shared" si="48"/>
        <v>144.16931602355001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6.2222222222222223</v>
      </c>
      <c r="FZ10" s="13">
        <f>IF('Données projet'!$A$244&gt;35,FZ9+FY10-GH9,IF(A10&lt;'Données projet'!$A$244,$FW$205^A10,IF(A10='Données projet'!$A$244,'Données projet'!$B$244,FZ9+FY10-GH9)))</f>
        <v>6.2649573664027773</v>
      </c>
      <c r="GA10" s="18">
        <f>FZ10*VLOOKUP('Données projet'!$B$17,Paramètres!$A$1:$I$89,3,0)*VLOOKUP('Données projet'!$B$17,Paramètres!$A$1:$I$89,5,0)</f>
        <v>3.9093333966353332</v>
      </c>
      <c r="GB10" s="14">
        <f t="shared" si="49"/>
        <v>1.5372128955964925</v>
      </c>
      <c r="GC10" s="22">
        <f t="shared" si="25"/>
        <v>9.4860681256370967</v>
      </c>
      <c r="GD10" s="62">
        <f t="shared" si="26"/>
        <v>213.88475938299484</v>
      </c>
      <c r="GE10" s="62">
        <f ca="1">AVERAGE(OFFSET($GD$3,0,0,'Données projet'!$E$17+1,1))-AVERAGE(OFFSET($H$3,0,0,'Données projet'!$E$17+1,1))</f>
        <v>252.60122125520482</v>
      </c>
      <c r="GF10" s="62">
        <f t="shared" si="50"/>
        <v>357.56833754121317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0.9</v>
      </c>
      <c r="GU10" s="13">
        <f>IF('Données projet'!$A$270&gt;35,GU9+GT10-HC9,IF(A10&lt;'Données projet'!$A$270,$GR$205^A10,IF(A10='Données projet'!$A$270,'Données projet'!$B$270,GU9+GT10-HC9)))</f>
        <v>4.6555367217460804</v>
      </c>
      <c r="GV10" s="18">
        <f>GU10*VLOOKUP('Données projet'!$B$18,Paramètres!$A$1:$I$89,3,0)*VLOOKUP('Données projet'!$B$18,Paramètres!$A$1:$I$89,5,0)</f>
        <v>3.7765713886804204</v>
      </c>
      <c r="GW10" s="14">
        <f t="shared" si="51"/>
        <v>1.490992954829151</v>
      </c>
      <c r="GX10" s="22">
        <f t="shared" si="28"/>
        <v>9.1743412316125035</v>
      </c>
      <c r="GY10" s="62">
        <f t="shared" si="29"/>
        <v>213.57303248897026</v>
      </c>
      <c r="GZ10" s="62">
        <f ca="1">AVERAGE(OFFSET($GY$3,0,0,'Données projet'!$E$18+1,1))-AVERAGE(OFFSET($H$3,0,0,'Données projet'!$E$18+1,1))</f>
        <v>268.57152522489537</v>
      </c>
      <c r="HA10" s="62">
        <f t="shared" si="52"/>
        <v>311.80303557283207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3.75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13.75</v>
      </c>
      <c r="H11" s="70">
        <f t="shared" si="1"/>
        <v>201.66666666666666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216.45709886679774</v>
      </c>
      <c r="S11" s="62">
        <f ca="1">AVERAGE(OFFSET($R$3,0,0,'Données projet'!$E$9+1,1))-AVERAGE(OFFSET($H$3,0,0,'Données projet'!$E$9+1,1))</f>
        <v>461.02780119093666</v>
      </c>
      <c r="T11" s="62">
        <f t="shared" si="34"/>
        <v>245.70016468438834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3.7567999922587045</v>
      </c>
      <c r="AK11" s="14">
        <f t="shared" si="35"/>
        <v>1.4840936789913857</v>
      </c>
      <c r="AL11" s="22">
        <f t="shared" si="4"/>
        <v>9.127889810760573</v>
      </c>
      <c r="AM11" s="62">
        <f t="shared" si="5"/>
        <v>215.8039555715371</v>
      </c>
      <c r="AN11" s="62">
        <f ca="1">AVERAGE(OFFSET($AM$3,0,0,'Données projet'!$E$10+1,1))-AVERAGE(OFFSET($H$3,0,0,'Données projet'!$E$10+1,1))</f>
        <v>434.22500776975596</v>
      </c>
      <c r="AO11" s="62">
        <f t="shared" si="36"/>
        <v>232.59777933076705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2.4358974358974361</v>
      </c>
      <c r="BD11" s="13">
        <f>IF('Données projet'!$A$88&gt;35,BD10+BC11-BL10,IF(A11&lt;'Données projet'!$A$88,$BA$205^A11,IF(A11='Données projet'!$A$88,'Données projet'!$B$88,BD10+BC11-BL10)))</f>
        <v>6.815014809173471</v>
      </c>
      <c r="BE11" s="14">
        <f>BD11*VLOOKUP('Données projet'!$B$11,Paramètres!$A$1:$I$89,3,0)*VLOOKUP('Données projet'!$B$11,Paramètres!$A$1:$I$89,5,0)</f>
        <v>6.4851680924094746</v>
      </c>
      <c r="BF11" s="14">
        <f t="shared" si="37"/>
        <v>2.4041727487208409</v>
      </c>
      <c r="BG11" s="22">
        <f t="shared" si="7"/>
        <v>15.4822686316353</v>
      </c>
      <c r="BH11" s="62">
        <f t="shared" si="8"/>
        <v>222.15833439241183</v>
      </c>
      <c r="BI11" s="62">
        <f ca="1">AVERAGE(OFFSET($BH$3,0,0,'Données projet'!$E$11+1,1))-AVERAGE(OFFSET($H$3,0,0,'Données projet'!$E$11+1,1))</f>
        <v>393.3005580838161</v>
      </c>
      <c r="BJ11" s="62">
        <f t="shared" si="38"/>
        <v>295.86019897822757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1.1099999999999999</v>
      </c>
      <c r="BY11" s="13">
        <f>IF('Données projet'!$A$114&gt;35,BY10+BX11-CG10,IF(A11&lt;'Données projet'!$A$114,$BV$205^A11,IF(A11='Données projet'!$A$114,'Données projet'!$B$114,BY10+BX11-CG10)))</f>
        <v>6.8589617827012184</v>
      </c>
      <c r="BZ11" s="14">
        <f>BY11*VLOOKUP('Données projet'!$B$12,Paramètres!$A$1:$I$89,3,0)*VLOOKUP('Données projet'!$B$12,Paramètres!$A$1:$I$89,5,0)</f>
        <v>5.4569899943170901</v>
      </c>
      <c r="CA11" s="14">
        <f t="shared" si="39"/>
        <v>2.0640674009203073</v>
      </c>
      <c r="CB11" s="22">
        <f t="shared" si="10"/>
        <v>13.0991749633718</v>
      </c>
      <c r="CC11" s="62">
        <f t="shared" si="11"/>
        <v>219.77524072414835</v>
      </c>
      <c r="CD11" s="62">
        <f ca="1">AVERAGE(OFFSET($CC$3,0,0,'Données projet'!$E$12+1,1))-AVERAGE(OFFSET($H$3,0,0,'Données projet'!$E$12+1,1))</f>
        <v>388.52230330563884</v>
      </c>
      <c r="CE11" s="62">
        <f t="shared" si="40"/>
        <v>418.94833960687333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1.1099999999999999</v>
      </c>
      <c r="CT11" s="13">
        <f>IF('Données projet'!$A$140&gt;35,CT10+CS11-DB10,IF(A11&lt;'Données projet'!$A$140,$CQ$205^A11,IF(A11='Données projet'!$A$140,'Données projet'!$B$140,CT10+CS11-DB10)))</f>
        <v>6.8589617827012184</v>
      </c>
      <c r="CU11" s="18">
        <f>CT11*VLOOKUP('Données projet'!$B$13,Paramètres!$A$1:$I$89,3,0)*VLOOKUP('Données projet'!$B$13,Paramètres!$A$1:$I$89,5,0)</f>
        <v>5.0289907790765334</v>
      </c>
      <c r="CV11" s="14">
        <f t="shared" si="41"/>
        <v>1.920350640001538</v>
      </c>
      <c r="CW11" s="22">
        <f t="shared" si="13"/>
        <v>12.103436304894307</v>
      </c>
      <c r="CX11" s="62">
        <f t="shared" si="14"/>
        <v>218.77950206567084</v>
      </c>
      <c r="CY11" s="62">
        <f ca="1">AVERAGE(OFFSET($CX$3,0,0,'Données projet'!$E$13+1,1))-AVERAGE(OFFSET($H$3,0,0,'Données projet'!$E$13+1,1))</f>
        <v>362.38131866207266</v>
      </c>
      <c r="CZ11" s="62">
        <f t="shared" si="42"/>
        <v>390.74498763200336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</v>
      </c>
      <c r="DO11" s="13">
        <f>IF('Données projet'!$A$166&gt;35,DO10+DN11-DW10,IF(A11&lt;'Données projet'!$A$166,$DL$205^A11,IF(A11='Données projet'!$A$166,'Données projet'!$B$166,DO10+DN11-DW10)))</f>
        <v>10.097596309015799</v>
      </c>
      <c r="DP11" s="18">
        <f>DO11*VLOOKUP('Données projet'!$B$14,Paramètres!$A$1:$I$89,3,0)*VLOOKUP('Données projet'!$B$14,Paramètres!$A$1:$I$89,5,0)</f>
        <v>8.8212601355562033</v>
      </c>
      <c r="DQ11" s="14">
        <f t="shared" si="43"/>
        <v>3.1551711996443523</v>
      </c>
      <c r="DR11" s="22">
        <f t="shared" si="16"/>
        <v>20.858951242140964</v>
      </c>
      <c r="DS11" s="62">
        <f t="shared" si="17"/>
        <v>227.5350170029175</v>
      </c>
      <c r="DT11" s="62">
        <f ca="1">AVERAGE(OFFSET($DS$3,0,0,'Données projet'!$E$14+1,1))-AVERAGE(OFFSET($H$3,0,0,'Données projet'!$E$14+1,1))</f>
        <v>334.4692012109935</v>
      </c>
      <c r="DU11" s="62">
        <f t="shared" si="44"/>
        <v>316.360405424036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10</v>
      </c>
      <c r="EJ11" s="13">
        <f>IF('Données projet'!$A$192&gt;35,EJ10+EI11-ER10,IF(A11&lt;'Données projet'!$A$192,$EG$205^A11,IF(A11='Données projet'!$A$192,'Données projet'!$B$192,EJ10+EI11-ER10)))</f>
        <v>7.6675209171905525</v>
      </c>
      <c r="EK11" s="18">
        <f>EJ11*VLOOKUP('Données projet'!$B$15,Paramètres!$A$1:$I$89,3,0)*VLOOKUP('Données projet'!$B$15,Paramètres!$A$1:$I$89,5,0)</f>
        <v>4.2861441927095187</v>
      </c>
      <c r="EL11" s="14">
        <f t="shared" si="45"/>
        <v>1.6674248488637313</v>
      </c>
      <c r="EM11" s="22">
        <f t="shared" si="19"/>
        <v>10.369132747406743</v>
      </c>
      <c r="EN11" s="62">
        <f t="shared" si="20"/>
        <v>217.04519850818329</v>
      </c>
      <c r="EO11" s="62">
        <f ca="1">AVERAGE(OFFSET($EN$3,0,0,'Données projet'!$E$15+1,1))-AVERAGE(OFFSET($H$3,0,0,'Données projet'!$E$15+1,1))</f>
        <v>390.09289316045653</v>
      </c>
      <c r="EP11" s="62">
        <f t="shared" si="46"/>
        <v>364.34913542817617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2.9333333333333331</v>
      </c>
      <c r="FE11" s="13">
        <f>IF('Données projet'!$A$218&gt;35,FE10+FD11-FM10,IF(A11&lt;'Données projet'!$A$218,$FB$205^A11,IF(A11='Données projet'!$A$218,'Données projet'!$B$218,FE10+FD11-FM10)))</f>
        <v>3.3001122526909361</v>
      </c>
      <c r="FF11" s="18">
        <f>FE11*VLOOKUP('Données projet'!$B$16,Paramètres!$A$1:$I$89,3,0)*VLOOKUP('Données projet'!$B$16,Paramètres!$A$1:$I$89,5,0)</f>
        <v>1.5444525342593582</v>
      </c>
      <c r="FG11" s="14">
        <f t="shared" si="47"/>
        <v>0.67663314984067802</v>
      </c>
      <c r="FH11" s="22">
        <f t="shared" si="22"/>
        <v>3.8683908998075629</v>
      </c>
      <c r="FI11" s="62">
        <f t="shared" si="23"/>
        <v>210.5444566605841</v>
      </c>
      <c r="FJ11" s="62">
        <f ca="1">AVERAGE(OFFSET($FI$3,0,0,'Données projet'!$E$16+1,1))-AVERAGE(OFFSET($H$3,0,0,'Données projet'!$E$16+1,1))</f>
        <v>344.55118007058775</v>
      </c>
      <c r="FK11" s="62">
        <f t="shared" si="48"/>
        <v>144.16931602355001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6.2222222222222223</v>
      </c>
      <c r="FZ11" s="13">
        <f>IF('Données projet'!$A$244&gt;35,FZ10+FY11-GH10,IF(A11&lt;'Données projet'!$A$244,$FW$205^A11,IF(A11='Données projet'!$A$244,'Données projet'!$B$244,FZ10+FY11-GH10)))</f>
        <v>8.1426087136553278</v>
      </c>
      <c r="GA11" s="18">
        <f>FZ11*VLOOKUP('Données projet'!$B$17,Paramètres!$A$1:$I$89,3,0)*VLOOKUP('Données projet'!$B$17,Paramètres!$A$1:$I$89,5,0)</f>
        <v>5.080987837320925</v>
      </c>
      <c r="GB11" s="14">
        <f t="shared" si="49"/>
        <v>1.9378843475584122</v>
      </c>
      <c r="GC11" s="22">
        <f t="shared" si="25"/>
        <v>12.224535721998178</v>
      </c>
      <c r="GD11" s="62">
        <f t="shared" si="26"/>
        <v>218.9006014827747</v>
      </c>
      <c r="GE11" s="62">
        <f ca="1">AVERAGE(OFFSET($GD$3,0,0,'Données projet'!$E$17+1,1))-AVERAGE(OFFSET($H$3,0,0,'Données projet'!$E$17+1,1))</f>
        <v>252.60122125520482</v>
      </c>
      <c r="GF11" s="62">
        <f t="shared" si="50"/>
        <v>357.56833754121317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0.9</v>
      </c>
      <c r="GU11" s="13">
        <f>IF('Données projet'!$A$270&gt;35,GU10+GT11-HC10,IF(A11&lt;'Données projet'!$A$270,$GR$205^A11,IF(A11='Données projet'!$A$270,'Données projet'!$B$270,GU10+GT11-HC10)))</f>
        <v>5.7995461347952899</v>
      </c>
      <c r="GV11" s="18">
        <f>GU11*VLOOKUP('Données projet'!$B$18,Paramètres!$A$1:$I$89,3,0)*VLOOKUP('Données projet'!$B$18,Paramètres!$A$1:$I$89,5,0)</f>
        <v>4.7045918245459397</v>
      </c>
      <c r="GW11" s="14">
        <f t="shared" si="51"/>
        <v>1.8104746967554695</v>
      </c>
      <c r="GX11" s="22">
        <f t="shared" si="28"/>
        <v>11.347074191266621</v>
      </c>
      <c r="GY11" s="62">
        <f t="shared" si="29"/>
        <v>218.02313995204315</v>
      </c>
      <c r="GZ11" s="62">
        <f ca="1">AVERAGE(OFFSET($GY$3,0,0,'Données projet'!$E$18+1,1))-AVERAGE(OFFSET($H$3,0,0,'Données projet'!$E$18+1,1))</f>
        <v>268.57152522489537</v>
      </c>
      <c r="HA11" s="62">
        <f t="shared" si="52"/>
        <v>311.80303557283207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3.75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13.75</v>
      </c>
      <c r="H12" s="70">
        <f t="shared" si="1"/>
        <v>201.66666666666666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220.65462223558472</v>
      </c>
      <c r="S12" s="62">
        <f ca="1">AVERAGE(OFFSET($R$3,0,0,'Données projet'!$E$9+1,1))-AVERAGE(OFFSET($H$3,0,0,'Données projet'!$E$9+1,1))</f>
        <v>461.02780119093666</v>
      </c>
      <c r="T12" s="62">
        <f t="shared" si="34"/>
        <v>245.70016468438834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4.5287728559252471</v>
      </c>
      <c r="AK12" s="14">
        <f t="shared" si="35"/>
        <v>1.7505578568733651</v>
      </c>
      <c r="AL12" s="22">
        <f t="shared" si="4"/>
        <v>10.93650099145758</v>
      </c>
      <c r="AM12" s="62">
        <f t="shared" si="5"/>
        <v>219.8716367225413</v>
      </c>
      <c r="AN12" s="62">
        <f ca="1">AVERAGE(OFFSET($AM$3,0,0,'Données projet'!$E$10+1,1))-AVERAGE(OFFSET($H$3,0,0,'Données projet'!$E$10+1,1))</f>
        <v>434.22500776975596</v>
      </c>
      <c r="AO12" s="62">
        <f t="shared" si="36"/>
        <v>232.59777933076705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2.4358974358974361</v>
      </c>
      <c r="BD12" s="13">
        <f>IF('Données projet'!$A$88&gt;35,BD11+BC12-BL11,IF(A12&lt;'Données projet'!$A$88,$BA$205^A12,IF(A12='Données projet'!$A$88,'Données projet'!$B$88,BD11+BC12-BL11)))</f>
        <v>8.6626377645391397</v>
      </c>
      <c r="BE12" s="14">
        <f>BD12*VLOOKUP('Données projet'!$B$11,Paramètres!$A$1:$I$89,3,0)*VLOOKUP('Données projet'!$B$11,Paramètres!$A$1:$I$89,5,0)</f>
        <v>8.2433660967354445</v>
      </c>
      <c r="BF12" s="14">
        <f t="shared" si="37"/>
        <v>2.9718171087795939</v>
      </c>
      <c r="BG12" s="22">
        <f t="shared" si="7"/>
        <v>19.53311074960536</v>
      </c>
      <c r="BH12" s="62">
        <f t="shared" si="8"/>
        <v>228.46824648068906</v>
      </c>
      <c r="BI12" s="62">
        <f ca="1">AVERAGE(OFFSET($BH$3,0,0,'Données projet'!$E$11+1,1))-AVERAGE(OFFSET($H$3,0,0,'Données projet'!$E$11+1,1))</f>
        <v>393.3005580838161</v>
      </c>
      <c r="BJ12" s="62">
        <f t="shared" si="38"/>
        <v>295.86019897822757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1.1099999999999999</v>
      </c>
      <c r="BY12" s="13">
        <f>IF('Données projet'!$A$114&gt;35,BY11+BX12-CG11,IF(A12&lt;'Données projet'!$A$114,$BV$205^A12,IF(A12='Données projet'!$A$114,'Données projet'!$B$114,BY11+BX12-CG11)))</f>
        <v>8.7255071937385704</v>
      </c>
      <c r="BZ12" s="14">
        <f>BY12*VLOOKUP('Données projet'!$B$12,Paramètres!$A$1:$I$89,3,0)*VLOOKUP('Données projet'!$B$12,Paramètres!$A$1:$I$89,5,0)</f>
        <v>6.9420135233384066</v>
      </c>
      <c r="CA12" s="14">
        <f t="shared" si="39"/>
        <v>2.5532222076821487</v>
      </c>
      <c r="CB12" s="22">
        <f t="shared" si="10"/>
        <v>16.5375355648608</v>
      </c>
      <c r="CC12" s="62">
        <f t="shared" si="11"/>
        <v>225.47267129594451</v>
      </c>
      <c r="CD12" s="62">
        <f ca="1">AVERAGE(OFFSET($CC$3,0,0,'Données projet'!$E$12+1,1))-AVERAGE(OFFSET($H$3,0,0,'Données projet'!$E$12+1,1))</f>
        <v>388.52230330563884</v>
      </c>
      <c r="CE12" s="62">
        <f t="shared" si="40"/>
        <v>418.94833960687333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1.1099999999999999</v>
      </c>
      <c r="CT12" s="13">
        <f>IF('Données projet'!$A$140&gt;35,CT11+CS12-DB11,IF(A12&lt;'Données projet'!$A$140,$CQ$205^A12,IF(A12='Données projet'!$A$140,'Données projet'!$B$140,CT11+CS12-DB11)))</f>
        <v>8.7255071937385704</v>
      </c>
      <c r="CU12" s="18">
        <f>CT12*VLOOKUP('Données projet'!$B$13,Paramètres!$A$1:$I$89,3,0)*VLOOKUP('Données projet'!$B$13,Paramètres!$A$1:$I$89,5,0)</f>
        <v>6.3975418744491197</v>
      </c>
      <c r="CV12" s="14">
        <f t="shared" si="41"/>
        <v>2.3754466052815975</v>
      </c>
      <c r="CW12" s="22">
        <f t="shared" si="13"/>
        <v>15.279621602197665</v>
      </c>
      <c r="CX12" s="62">
        <f t="shared" si="14"/>
        <v>224.21475733328137</v>
      </c>
      <c r="CY12" s="62">
        <f ca="1">AVERAGE(OFFSET($CX$3,0,0,'Données projet'!$E$13+1,1))-AVERAGE(OFFSET($H$3,0,0,'Données projet'!$E$13+1,1))</f>
        <v>362.38131866207266</v>
      </c>
      <c r="CZ12" s="62">
        <f t="shared" si="42"/>
        <v>390.74498763200336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</v>
      </c>
      <c r="DO12" s="13">
        <f>IF('Données projet'!$A$166&gt;35,DO11+DN12-DW11,IF(A12&lt;'Données projet'!$A$166,$DL$205^A12,IF(A12='Données projet'!$A$166,'Données projet'!$B$166,DO11+DN12-DW11)))</f>
        <v>13.48171849440139</v>
      </c>
      <c r="DP12" s="18">
        <f>DO12*VLOOKUP('Données projet'!$B$14,Paramètres!$A$1:$I$89,3,0)*VLOOKUP('Données projet'!$B$14,Paramètres!$A$1:$I$89,5,0)</f>
        <v>11.777629276709055</v>
      </c>
      <c r="DQ12" s="14">
        <f t="shared" si="43"/>
        <v>4.0732288167499631</v>
      </c>
      <c r="DR12" s="22">
        <f t="shared" si="16"/>
        <v>27.606911179441123</v>
      </c>
      <c r="DS12" s="62">
        <f t="shared" si="17"/>
        <v>236.54204691052482</v>
      </c>
      <c r="DT12" s="62">
        <f ca="1">AVERAGE(OFFSET($DS$3,0,0,'Données projet'!$E$14+1,1))-AVERAGE(OFFSET($H$3,0,0,'Données projet'!$E$14+1,1))</f>
        <v>334.4692012109935</v>
      </c>
      <c r="DU12" s="62">
        <f t="shared" si="44"/>
        <v>316.360405424036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10</v>
      </c>
      <c r="EJ12" s="13">
        <f>IF('Données projet'!$A$192&gt;35,EJ11+EI12-ER11,IF(A12&lt;'Données projet'!$A$192,$EG$205^A12,IF(A12='Données projet'!$A$192,'Données projet'!$B$192,EJ11+EI12-ER11)))</f>
        <v>9.8909234479811374</v>
      </c>
      <c r="EK12" s="18">
        <f>EJ12*VLOOKUP('Données projet'!$B$15,Paramètres!$A$1:$I$89,3,0)*VLOOKUP('Données projet'!$B$15,Paramètres!$A$1:$I$89,5,0)</f>
        <v>5.529026207421456</v>
      </c>
      <c r="EL12" s="14">
        <f t="shared" si="45"/>
        <v>2.0881246042473354</v>
      </c>
      <c r="EM12" s="22">
        <f t="shared" si="19"/>
        <v>13.266537663656479</v>
      </c>
      <c r="EN12" s="62">
        <f t="shared" si="20"/>
        <v>222.20167339474017</v>
      </c>
      <c r="EO12" s="62">
        <f ca="1">AVERAGE(OFFSET($EN$3,0,0,'Données projet'!$E$15+1,1))-AVERAGE(OFFSET($H$3,0,0,'Données projet'!$E$15+1,1))</f>
        <v>390.09289316045653</v>
      </c>
      <c r="EP12" s="62">
        <f t="shared" si="46"/>
        <v>364.34913542817617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2.9333333333333331</v>
      </c>
      <c r="FE12" s="13">
        <f>IF('Données projet'!$A$218&gt;35,FE11+FD12-FM11,IF(A12&lt;'Données projet'!$A$218,$FB$205^A12,IF(A12='Données projet'!$A$218,'Données projet'!$B$218,FE11+FD12-FM11)))</f>
        <v>3.8312880201385267</v>
      </c>
      <c r="FF12" s="18">
        <f>FE12*VLOOKUP('Données projet'!$B$16,Paramètres!$A$1:$I$89,3,0)*VLOOKUP('Données projet'!$B$16,Paramètres!$A$1:$I$89,5,0)</f>
        <v>1.7930427934248305</v>
      </c>
      <c r="FG12" s="14">
        <f t="shared" si="47"/>
        <v>0.77201327349878002</v>
      </c>
      <c r="FH12" s="22">
        <f t="shared" si="22"/>
        <v>4.4674726498919552</v>
      </c>
      <c r="FI12" s="62">
        <f t="shared" si="23"/>
        <v>213.40260838097566</v>
      </c>
      <c r="FJ12" s="62">
        <f ca="1">AVERAGE(OFFSET($FI$3,0,0,'Données projet'!$E$16+1,1))-AVERAGE(OFFSET($H$3,0,0,'Données projet'!$E$16+1,1))</f>
        <v>344.55118007058775</v>
      </c>
      <c r="FK12" s="62">
        <f t="shared" si="48"/>
        <v>144.16931602355001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6.2222222222222223</v>
      </c>
      <c r="FZ12" s="13">
        <f>IF('Données projet'!$A$244&gt;35,FZ11+FY12-GH11,IF(A12&lt;'Données projet'!$A$244,$FW$205^A12,IF(A12='Données projet'!$A$244,'Données projet'!$B$244,FZ11+FY12-GH11)))</f>
        <v>10.583005244258365</v>
      </c>
      <c r="GA12" s="18">
        <f>FZ12*VLOOKUP('Données projet'!$B$17,Paramètres!$A$1:$I$89,3,0)*VLOOKUP('Données projet'!$B$17,Paramètres!$A$1:$I$89,5,0)</f>
        <v>6.6037952724172193</v>
      </c>
      <c r="GB12" s="14">
        <f t="shared" si="49"/>
        <v>2.4429900082608067</v>
      </c>
      <c r="GC12" s="22">
        <f t="shared" si="25"/>
        <v>15.75648436384756</v>
      </c>
      <c r="GD12" s="62">
        <f t="shared" si="26"/>
        <v>224.69162009493127</v>
      </c>
      <c r="GE12" s="62">
        <f ca="1">AVERAGE(OFFSET($GD$3,0,0,'Données projet'!$E$17+1,1))-AVERAGE(OFFSET($H$3,0,0,'Données projet'!$E$17+1,1))</f>
        <v>252.60122125520482</v>
      </c>
      <c r="GF12" s="62">
        <f t="shared" si="50"/>
        <v>357.56833754121317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0.9</v>
      </c>
      <c r="GU12" s="13">
        <f>IF('Données projet'!$A$270&gt;35,GU11+GT12-HC11,IF(A12&lt;'Données projet'!$A$270,$GR$205^A12,IF(A12='Données projet'!$A$270,'Données projet'!$B$270,GU11+GT12-HC11)))</f>
        <v>7.2246740558420788</v>
      </c>
      <c r="GV12" s="18">
        <f>GU12*VLOOKUP('Données projet'!$B$18,Paramètres!$A$1:$I$89,3,0)*VLOOKUP('Données projet'!$B$18,Paramètres!$A$1:$I$89,5,0)</f>
        <v>5.8606555940990948</v>
      </c>
      <c r="GW12" s="14">
        <f t="shared" si="51"/>
        <v>2.1984132231982314</v>
      </c>
      <c r="GX12" s="22">
        <f t="shared" si="28"/>
        <v>14.036211523459508</v>
      </c>
      <c r="GY12" s="62">
        <f t="shared" si="29"/>
        <v>222.97134725454322</v>
      </c>
      <c r="GZ12" s="62">
        <f ca="1">AVERAGE(OFFSET($GY$3,0,0,'Données projet'!$E$18+1,1))-AVERAGE(OFFSET($H$3,0,0,'Données projet'!$E$18+1,1))</f>
        <v>268.57152522489537</v>
      </c>
      <c r="HA12" s="62">
        <f t="shared" si="52"/>
        <v>311.80303557283207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3.75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13.75</v>
      </c>
      <c r="H13" s="70">
        <f t="shared" si="1"/>
        <v>201.66666666666666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225.21966201125909</v>
      </c>
      <c r="S13" s="62">
        <f ca="1">AVERAGE(OFFSET($R$3,0,0,'Données projet'!$E$9+1,1))-AVERAGE(OFFSET($H$3,0,0,'Données projet'!$E$9+1,1))</f>
        <v>461.02780119093666</v>
      </c>
      <c r="T13" s="62">
        <f t="shared" si="34"/>
        <v>245.70016468438834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5.4593759643387862</v>
      </c>
      <c r="AK13" s="14">
        <f t="shared" si="35"/>
        <v>2.0648648084962673</v>
      </c>
      <c r="AL13" s="22">
        <f t="shared" si="4"/>
        <v>13.104719346021051</v>
      </c>
      <c r="AM13" s="62">
        <f t="shared" si="5"/>
        <v>224.28093805702693</v>
      </c>
      <c r="AN13" s="62">
        <f ca="1">AVERAGE(OFFSET($AM$3,0,0,'Données projet'!$E$10+1,1))-AVERAGE(OFFSET($H$3,0,0,'Données projet'!$E$10+1,1))</f>
        <v>434.22500776975596</v>
      </c>
      <c r="AO13" s="62">
        <f t="shared" si="36"/>
        <v>232.59777933076705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2.4358974358974361</v>
      </c>
      <c r="BD13" s="13">
        <f>IF('Données projet'!$A$88&gt;35,BD12+BC13-BL12,IF(A13&lt;'Données projet'!$A$88,$BA$205^A13,IF(A13='Données projet'!$A$88,'Données projet'!$B$88,BD12+BC13-BL12)))</f>
        <v>11.011170942520771</v>
      </c>
      <c r="BE13" s="14">
        <f>BD13*VLOOKUP('Données projet'!$B$11,Paramètres!$A$1:$I$89,3,0)*VLOOKUP('Données projet'!$B$11,Paramètres!$A$1:$I$89,5,0)</f>
        <v>10.478230268902767</v>
      </c>
      <c r="BF13" s="14">
        <f t="shared" si="37"/>
        <v>3.67348682940279</v>
      </c>
      <c r="BG13" s="22">
        <f t="shared" si="7"/>
        <v>24.647573946215513</v>
      </c>
      <c r="BH13" s="62">
        <f t="shared" si="8"/>
        <v>235.82379265722139</v>
      </c>
      <c r="BI13" s="62">
        <f ca="1">AVERAGE(OFFSET($BH$3,0,0,'Données projet'!$E$11+1,1))-AVERAGE(OFFSET($H$3,0,0,'Données projet'!$E$11+1,1))</f>
        <v>393.3005580838161</v>
      </c>
      <c r="BJ13" s="62">
        <f t="shared" si="38"/>
        <v>295.86019897822757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11.1</v>
      </c>
      <c r="BW13" s="13">
        <f>VLOOKUP(A13,'Données projet'!$A$113:$I$133,9,0)</f>
        <v>1.1099999999999999</v>
      </c>
      <c r="BX13" s="13">
        <f t="array" ref="BX13">INDEX(BW:BW,MIN(IF(ISNUMBER(BW13:BW209),ROW(BW13:BW209),"")))</f>
        <v>1.1099999999999999</v>
      </c>
      <c r="BY13" s="13">
        <f>IF('Données projet'!$A$114&gt;35,BY12+BX13-CG12,IF(A13&lt;'Données projet'!$A$114,$BV$205^A13,IF(A13='Données projet'!$A$114,'Données projet'!$B$114,BY12+BX13-CG12)))</f>
        <v>11.1</v>
      </c>
      <c r="BZ13" s="14">
        <f>BY13*VLOOKUP('Données projet'!$B$12,Paramètres!$A$1:$I$89,3,0)*VLOOKUP('Données projet'!$B$12,Paramètres!$A$1:$I$89,5,0)</f>
        <v>8.8311599999999988</v>
      </c>
      <c r="CA13" s="14">
        <f t="shared" si="39"/>
        <v>3.1582997914189717</v>
      </c>
      <c r="CB13" s="22">
        <f t="shared" si="10"/>
        <v>20.881642470054704</v>
      </c>
      <c r="CC13" s="62">
        <f t="shared" si="11"/>
        <v>232.05786118106059</v>
      </c>
      <c r="CD13" s="62">
        <f ca="1">AVERAGE(OFFSET($CC$3,0,0,'Données projet'!$E$12+1,1))-AVERAGE(OFFSET($H$3,0,0,'Données projet'!$E$12+1,1))</f>
        <v>388.52230330563884</v>
      </c>
      <c r="CE13" s="62">
        <f t="shared" si="40"/>
        <v>418.94833960687333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11.1</v>
      </c>
      <c r="CR13" s="13">
        <f>VLOOKUP(A13,'Données projet'!$A$139:$I$159,9,0)</f>
        <v>1.1099999999999999</v>
      </c>
      <c r="CS13" s="13">
        <f t="array" ref="CS13">INDEX(CR:CR,MIN(IF(ISNUMBER(CR13:CR209),ROW(CR13:CR209),"")))</f>
        <v>1.1099999999999999</v>
      </c>
      <c r="CT13" s="13">
        <f>IF('Données projet'!$A$140&gt;35,CT12+CS13-DB12,IF(A13&lt;'Données projet'!$A$140,$CQ$205^A13,IF(A13='Données projet'!$A$140,'Données projet'!$B$140,CT12+CS13-DB12)))</f>
        <v>11.1</v>
      </c>
      <c r="CU13" s="18">
        <f>CT13*VLOOKUP('Données projet'!$B$13,Paramètres!$A$1:$I$89,3,0)*VLOOKUP('Données projet'!$B$13,Paramètres!$A$1:$I$89,5,0)</f>
        <v>8.1385199999999998</v>
      </c>
      <c r="CV13" s="14">
        <f t="shared" si="41"/>
        <v>2.9383938833896224</v>
      </c>
      <c r="CW13" s="22">
        <f t="shared" si="13"/>
        <v>19.292291680236925</v>
      </c>
      <c r="CX13" s="62">
        <f t="shared" si="14"/>
        <v>230.4685103912428</v>
      </c>
      <c r="CY13" s="62">
        <f ca="1">AVERAGE(OFFSET($CX$3,0,0,'Données projet'!$E$13+1,1))-AVERAGE(OFFSET($H$3,0,0,'Données projet'!$E$13+1,1))</f>
        <v>362.38131866207266</v>
      </c>
      <c r="CZ13" s="62">
        <f t="shared" si="42"/>
        <v>390.74498763200336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18</v>
      </c>
      <c r="DM13" s="13">
        <f>VLOOKUP(A13,'Données projet'!$A$165:$I$185,9,0)</f>
        <v>1.8</v>
      </c>
      <c r="DN13" s="13">
        <f t="array" ref="DN13">INDEX(DM:DM,MIN(IF(ISNUMBER(DM13:DM209),ROW(DM13:DM209),"")))</f>
        <v>1.8</v>
      </c>
      <c r="DO13" s="13">
        <f>IF('Données projet'!$A$166&gt;35,DO12+DN13-DW12,IF(A13&lt;'Données projet'!$A$166,$DL$205^A13,IF(A13='Données projet'!$A$166,'Données projet'!$B$166,DO12+DN13-DW12)))</f>
        <v>18</v>
      </c>
      <c r="DP13" s="18">
        <f>DO13*VLOOKUP('Données projet'!$B$14,Paramètres!$A$1:$I$89,3,0)*VLOOKUP('Données projet'!$B$14,Paramètres!$A$1:$I$89,5,0)</f>
        <v>15.724800000000004</v>
      </c>
      <c r="DQ13" s="14">
        <f t="shared" si="43"/>
        <v>5.2584129176484753</v>
      </c>
      <c r="DR13" s="22">
        <f t="shared" si="16"/>
        <v>36.545762498237771</v>
      </c>
      <c r="DS13" s="62">
        <f t="shared" si="17"/>
        <v>247.72198120924364</v>
      </c>
      <c r="DT13" s="62">
        <f ca="1">AVERAGE(OFFSET($DS$3,0,0,'Données projet'!$E$14+1,1))-AVERAGE(OFFSET($H$3,0,0,'Données projet'!$E$14+1,1))</f>
        <v>334.4692012109935</v>
      </c>
      <c r="DU13" s="62">
        <f t="shared" si="44"/>
        <v>316.360405424036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10</v>
      </c>
      <c r="EJ13" s="13">
        <f>IF('Données projet'!$A$192&gt;35,EJ12+EI13-ER12,IF(A13&lt;'Données projet'!$A$192,$EG$205^A13,IF(A13='Données projet'!$A$192,'Données projet'!$B$192,EJ12+EI13-ER12)))</f>
        <v>12.75906094165166</v>
      </c>
      <c r="EK13" s="18">
        <f>EJ13*VLOOKUP('Données projet'!$B$15,Paramètres!$A$1:$I$89,3,0)*VLOOKUP('Données projet'!$B$15,Paramètres!$A$1:$I$89,5,0)</f>
        <v>7.1323150663832777</v>
      </c>
      <c r="EL13" s="14">
        <f t="shared" si="45"/>
        <v>2.6149690439328648</v>
      </c>
      <c r="EM13" s="22">
        <f t="shared" si="19"/>
        <v>16.976519825467278</v>
      </c>
      <c r="EN13" s="62">
        <f t="shared" si="20"/>
        <v>228.15273853647315</v>
      </c>
      <c r="EO13" s="62">
        <f ca="1">AVERAGE(OFFSET($EN$3,0,0,'Données projet'!$E$15+1,1))-AVERAGE(OFFSET($H$3,0,0,'Données projet'!$E$15+1,1))</f>
        <v>390.09289316045653</v>
      </c>
      <c r="EP13" s="62">
        <f t="shared" si="46"/>
        <v>364.34913542817617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2.9333333333333331</v>
      </c>
      <c r="FE13" s="13">
        <f>IF('Données projet'!$A$218&gt;35,FE12+FD13-FM12,IF(A13&lt;'Données projet'!$A$218,$FB$205^A13,IF(A13='Données projet'!$A$218,'Données projet'!$B$218,FE12+FD13-FM12)))</f>
        <v>4.4479601811386305</v>
      </c>
      <c r="FF13" s="18">
        <f>FE13*VLOOKUP('Données projet'!$B$16,Paramètres!$A$1:$I$89,3,0)*VLOOKUP('Données projet'!$B$16,Paramètres!$A$1:$I$89,5,0)</f>
        <v>2.081645364772879</v>
      </c>
      <c r="FG13" s="14">
        <f t="shared" si="47"/>
        <v>0.88083844931132749</v>
      </c>
      <c r="FH13" s="22">
        <f t="shared" si="22"/>
        <v>5.1596593095299932</v>
      </c>
      <c r="FI13" s="62">
        <f t="shared" si="23"/>
        <v>216.33587802053586</v>
      </c>
      <c r="FJ13" s="62">
        <f ca="1">AVERAGE(OFFSET($FI$3,0,0,'Données projet'!$E$16+1,1))-AVERAGE(OFFSET($H$3,0,0,'Données projet'!$E$16+1,1))</f>
        <v>344.55118007058775</v>
      </c>
      <c r="FK13" s="62">
        <f t="shared" si="48"/>
        <v>144.16931602355001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6.2222222222222223</v>
      </c>
      <c r="FZ13" s="13">
        <f>IF('Données projet'!$A$244&gt;35,FZ12+FY13-GH12,IF(A13&lt;'Données projet'!$A$244,$FW$205^A13,IF(A13='Données projet'!$A$244,'Données projet'!$B$244,FZ12+FY13-GH12)))</f>
        <v>13.754805608204368</v>
      </c>
      <c r="GA13" s="18">
        <f>FZ13*VLOOKUP('Données projet'!$B$17,Paramètres!$A$1:$I$89,3,0)*VLOOKUP('Données projet'!$B$17,Paramètres!$A$1:$I$89,5,0)</f>
        <v>8.5829986995195267</v>
      </c>
      <c r="GB13" s="14">
        <f t="shared" si="49"/>
        <v>3.0797504443346257</v>
      </c>
      <c r="GC13" s="22">
        <f t="shared" si="25"/>
        <v>20.312621425545984</v>
      </c>
      <c r="GD13" s="62">
        <f t="shared" si="26"/>
        <v>231.48884013655186</v>
      </c>
      <c r="GE13" s="62">
        <f ca="1">AVERAGE(OFFSET($GD$3,0,0,'Données projet'!$E$17+1,1))-AVERAGE(OFFSET($H$3,0,0,'Données projet'!$E$17+1,1))</f>
        <v>252.60122125520482</v>
      </c>
      <c r="GF13" s="62">
        <f t="shared" si="50"/>
        <v>357.56833754121317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9</v>
      </c>
      <c r="GS13" s="13">
        <f>VLOOKUP(A13,'Données projet'!$A$269:$I$289,9,0)</f>
        <v>0.9</v>
      </c>
      <c r="GT13" s="13">
        <f t="array" ref="GT13">INDEX(GS:GS,MIN(IF(ISNUMBER(GS13:GS209),ROW(GS13:GS209),"")))</f>
        <v>0.9</v>
      </c>
      <c r="GU13" s="13">
        <f>IF('Données projet'!$A$270&gt;35,GU12+GT13-HC12,IF(A13&lt;'Données projet'!$A$270,$GR$205^A13,IF(A13='Données projet'!$A$270,'Données projet'!$B$270,GU12+GT13-HC12)))</f>
        <v>9</v>
      </c>
      <c r="GV13" s="18">
        <f>GU13*VLOOKUP('Données projet'!$B$18,Paramètres!$A$1:$I$89,3,0)*VLOOKUP('Données projet'!$B$18,Paramètres!$A$1:$I$89,5,0)</f>
        <v>7.3007999999999997</v>
      </c>
      <c r="GW13" s="14">
        <f t="shared" si="51"/>
        <v>2.6694770761469542</v>
      </c>
      <c r="GX13" s="22">
        <f t="shared" si="28"/>
        <v>17.364899240955943</v>
      </c>
      <c r="GY13" s="62">
        <f t="shared" si="29"/>
        <v>228.54111795196181</v>
      </c>
      <c r="GZ13" s="62">
        <f ca="1">AVERAGE(OFFSET($GY$3,0,0,'Données projet'!$E$18+1,1))-AVERAGE(OFFSET($H$3,0,0,'Données projet'!$E$18+1,1))</f>
        <v>268.57152522489537</v>
      </c>
      <c r="HA13" s="62">
        <f t="shared" si="52"/>
        <v>311.80303557283207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3.75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13.75</v>
      </c>
      <c r="H14" s="70">
        <f t="shared" si="1"/>
        <v>201.66666666666666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230.22944372627219</v>
      </c>
      <c r="S14" s="62">
        <f ca="1">AVERAGE(OFFSET($R$3,0,0,'Données projet'!$E$9+1,1))-AVERAGE(OFFSET($H$3,0,0,'Données projet'!$E$9+1,1))</f>
        <v>461.02780119093666</v>
      </c>
      <c r="T14" s="62">
        <f t="shared" si="34"/>
        <v>245.70016468438834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6.5812057411986977</v>
      </c>
      <c r="AK14" s="14">
        <f t="shared" si="35"/>
        <v>2.4356045477877388</v>
      </c>
      <c r="AL14" s="22">
        <f t="shared" si="4"/>
        <v>15.70427791998471</v>
      </c>
      <c r="AM14" s="62">
        <f t="shared" si="5"/>
        <v>229.10390465459813</v>
      </c>
      <c r="AN14" s="62">
        <f ca="1">AVERAGE(OFFSET($AM$3,0,0,'Données projet'!$E$10+1,1))-AVERAGE(OFFSET($H$3,0,0,'Données projet'!$E$10+1,1))</f>
        <v>434.22500776975596</v>
      </c>
      <c r="AO14" s="62">
        <f t="shared" si="36"/>
        <v>232.59777933076705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2.4358974358974361</v>
      </c>
      <c r="BD14" s="13">
        <f>IF('Données projet'!$A$88&gt;35,BD13+BC14-BL13,IF(A14&lt;'Données projet'!$A$88,$BA$205^A14,IF(A14='Données projet'!$A$88,'Données projet'!$B$88,BD13+BC14-BL13)))</f>
        <v>13.996416428924077</v>
      </c>
      <c r="BE14" s="14">
        <f>BD14*VLOOKUP('Données projet'!$B$11,Paramètres!$A$1:$I$89,3,0)*VLOOKUP('Données projet'!$B$11,Paramètres!$A$1:$I$89,5,0)</f>
        <v>13.318989873764153</v>
      </c>
      <c r="BF14" s="14">
        <f t="shared" si="37"/>
        <v>4.5408263671169857</v>
      </c>
      <c r="BG14" s="22">
        <f t="shared" si="7"/>
        <v>31.105846619534645</v>
      </c>
      <c r="BH14" s="62">
        <f t="shared" si="8"/>
        <v>244.50547335414805</v>
      </c>
      <c r="BI14" s="62">
        <f ca="1">AVERAGE(OFFSET($BH$3,0,0,'Données projet'!$E$11+1,1))-AVERAGE(OFFSET($H$3,0,0,'Données projet'!$E$11+1,1))</f>
        <v>393.3005580838161</v>
      </c>
      <c r="BJ14" s="62">
        <f t="shared" si="38"/>
        <v>295.86019897822757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10.68</v>
      </c>
      <c r="BY14" s="13">
        <f>IF('Données projet'!$A$114&gt;35,BY13+BX14-CG13,IF(A14&lt;'Données projet'!$A$114,$BV$205^A14,IF(A14='Données projet'!$A$114,'Données projet'!$B$114,BY13+BX14-CG13)))</f>
        <v>21.78</v>
      </c>
      <c r="BZ14" s="14">
        <f>BY14*VLOOKUP('Données projet'!$B$12,Paramètres!$A$1:$I$89,3,0)*VLOOKUP('Données projet'!$B$12,Paramètres!$A$1:$I$89,5,0)</f>
        <v>17.328168000000002</v>
      </c>
      <c r="CA14" s="14">
        <f t="shared" si="39"/>
        <v>5.7294628302508057</v>
      </c>
      <c r="CB14" s="22">
        <f t="shared" si="10"/>
        <v>40.158707029353486</v>
      </c>
      <c r="CC14" s="62">
        <f t="shared" si="11"/>
        <v>253.55833376396689</v>
      </c>
      <c r="CD14" s="62">
        <f ca="1">AVERAGE(OFFSET($CC$3,0,0,'Données projet'!$E$12+1,1))-AVERAGE(OFFSET($H$3,0,0,'Données projet'!$E$12+1,1))</f>
        <v>388.52230330563884</v>
      </c>
      <c r="CE14" s="62">
        <f t="shared" si="40"/>
        <v>418.94833960687333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10.68</v>
      </c>
      <c r="CT14" s="13">
        <f>IF('Données projet'!$A$140&gt;35,CT13+CS14-DB13,IF(A14&lt;'Données projet'!$A$140,$CQ$205^A14,IF(A14='Données projet'!$A$140,'Données projet'!$B$140,CT13+CS14-DB13)))</f>
        <v>21.78</v>
      </c>
      <c r="CU14" s="18">
        <f>CT14*VLOOKUP('Données projet'!$B$13,Paramètres!$A$1:$I$89,3,0)*VLOOKUP('Données projet'!$B$13,Paramètres!$A$1:$I$89,5,0)</f>
        <v>15.969095999999999</v>
      </c>
      <c r="CV14" s="14">
        <f t="shared" si="41"/>
        <v>5.3305321367080518</v>
      </c>
      <c r="CW14" s="22">
        <f t="shared" si="13"/>
        <v>37.096852338099858</v>
      </c>
      <c r="CX14" s="62">
        <f t="shared" si="14"/>
        <v>250.49647907271327</v>
      </c>
      <c r="CY14" s="62">
        <f ca="1">AVERAGE(OFFSET($CX$3,0,0,'Données projet'!$E$13+1,1))-AVERAGE(OFFSET($H$3,0,0,'Données projet'!$E$13+1,1))</f>
        <v>362.38131866207266</v>
      </c>
      <c r="CZ14" s="62">
        <f t="shared" si="42"/>
        <v>390.74498763200336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5.8</v>
      </c>
      <c r="DO14" s="13">
        <f>IF('Données projet'!$A$166&gt;35,DO13+DN14-DW13,IF(A14&lt;'Données projet'!$A$166,$DL$205^A14,IF(A14='Données projet'!$A$166,'Données projet'!$B$166,DO13+DN14-DW13)))</f>
        <v>23.8</v>
      </c>
      <c r="DP14" s="18">
        <f>DO14*VLOOKUP('Données projet'!$B$14,Paramètres!$A$1:$I$89,3,0)*VLOOKUP('Données projet'!$B$14,Paramètres!$A$1:$I$89,5,0)</f>
        <v>20.791680000000003</v>
      </c>
      <c r="DQ14" s="14">
        <f t="shared" si="43"/>
        <v>6.7303755760501467</v>
      </c>
      <c r="DR14" s="22">
        <f t="shared" si="16"/>
        <v>47.934246794954014</v>
      </c>
      <c r="DS14" s="62">
        <f t="shared" si="17"/>
        <v>261.33387352956743</v>
      </c>
      <c r="DT14" s="62">
        <f ca="1">AVERAGE(OFFSET($DS$3,0,0,'Données projet'!$E$14+1,1))-AVERAGE(OFFSET($H$3,0,0,'Données projet'!$E$14+1,1))</f>
        <v>334.4692012109935</v>
      </c>
      <c r="DU14" s="62">
        <f t="shared" si="44"/>
        <v>316.360405424036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10</v>
      </c>
      <c r="EJ14" s="13">
        <f>IF('Données projet'!$A$192&gt;35,EJ13+EI14-ER13,IF(A14&lt;'Données projet'!$A$192,$EG$205^A14,IF(A14='Données projet'!$A$192,'Données projet'!$B$192,EJ13+EI14-ER13)))</f>
        <v>16.45889152503846</v>
      </c>
      <c r="EK14" s="18">
        <f>EJ14*VLOOKUP('Données projet'!$B$15,Paramètres!$A$1:$I$89,3,0)*VLOOKUP('Données projet'!$B$15,Paramètres!$A$1:$I$89,5,0)</f>
        <v>9.2005203624964995</v>
      </c>
      <c r="EL14" s="14">
        <f t="shared" si="45"/>
        <v>3.2747390106980423</v>
      </c>
      <c r="EM14" s="22">
        <f t="shared" si="19"/>
        <v>21.727743408313824</v>
      </c>
      <c r="EN14" s="62">
        <f t="shared" si="20"/>
        <v>235.12737014292722</v>
      </c>
      <c r="EO14" s="62">
        <f ca="1">AVERAGE(OFFSET($EN$3,0,0,'Données projet'!$E$15+1,1))-AVERAGE(OFFSET($H$3,0,0,'Données projet'!$E$15+1,1))</f>
        <v>390.09289316045653</v>
      </c>
      <c r="EP14" s="62">
        <f t="shared" si="46"/>
        <v>364.34913542817617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2.9333333333333331</v>
      </c>
      <c r="FE14" s="13">
        <f>IF('Données projet'!$A$218&gt;35,FE13+FD14-FM13,IF(A14&lt;'Données projet'!$A$218,$FB$205^A14,IF(A14='Données projet'!$A$218,'Données projet'!$B$218,FE13+FD14-FM13)))</f>
        <v>5.1638899683348436</v>
      </c>
      <c r="FF14" s="18">
        <f>FE14*VLOOKUP('Données projet'!$B$16,Paramètres!$A$1:$I$89,3,0)*VLOOKUP('Données projet'!$B$16,Paramètres!$A$1:$I$89,5,0)</f>
        <v>2.4167005051807071</v>
      </c>
      <c r="FG14" s="14">
        <f t="shared" si="47"/>
        <v>1.0050039298792064</v>
      </c>
      <c r="FH14" s="22">
        <f t="shared" si="22"/>
        <v>5.9594685577293491</v>
      </c>
      <c r="FI14" s="62">
        <f t="shared" si="23"/>
        <v>219.35909529234274</v>
      </c>
      <c r="FJ14" s="62">
        <f ca="1">AVERAGE(OFFSET($FI$3,0,0,'Données projet'!$E$16+1,1))-AVERAGE(OFFSET($H$3,0,0,'Données projet'!$E$16+1,1))</f>
        <v>344.55118007058775</v>
      </c>
      <c r="FK14" s="62">
        <f t="shared" si="48"/>
        <v>144.16931602355001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6.2222222222222223</v>
      </c>
      <c r="FZ14" s="13">
        <f>IF('Données projet'!$A$244&gt;35,FZ13+FY14-GH13,IF(A14&lt;'Données projet'!$A$244,$FW$205^A14,IF(A14='Données projet'!$A$244,'Données projet'!$B$244,FZ13+FY14-GH13)))</f>
        <v>17.877216627302985</v>
      </c>
      <c r="GA14" s="18">
        <f>FZ14*VLOOKUP('Données projet'!$B$17,Paramètres!$A$1:$I$89,3,0)*VLOOKUP('Données projet'!$B$17,Paramètres!$A$1:$I$89,5,0)</f>
        <v>11.155383175437063</v>
      </c>
      <c r="GB14" s="14">
        <f t="shared" si="49"/>
        <v>3.8824812083990929</v>
      </c>
      <c r="GC14" s="22">
        <f t="shared" si="25"/>
        <v>26.1909471351813</v>
      </c>
      <c r="GD14" s="62">
        <f t="shared" si="26"/>
        <v>239.5905738697947</v>
      </c>
      <c r="GE14" s="62">
        <f ca="1">AVERAGE(OFFSET($GD$3,0,0,'Données projet'!$E$17+1,1))-AVERAGE(OFFSET($H$3,0,0,'Données projet'!$E$17+1,1))</f>
        <v>252.60122125520482</v>
      </c>
      <c r="GF14" s="62">
        <f t="shared" si="50"/>
        <v>357.56833754121317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8</v>
      </c>
      <c r="GU14" s="13">
        <f>IF('Données projet'!$A$270&gt;35,GU13+GT14-HC13,IF(A14&lt;'Données projet'!$A$270,$GR$205^A14,IF(A14='Données projet'!$A$270,'Données projet'!$B$270,GU13+GT14-HC13)))</f>
        <v>17</v>
      </c>
      <c r="GV14" s="18">
        <f>GU14*VLOOKUP('Données projet'!$B$18,Paramètres!$A$1:$I$89,3,0)*VLOOKUP('Données projet'!$B$18,Paramètres!$A$1:$I$89,5,0)</f>
        <v>13.7904</v>
      </c>
      <c r="GW14" s="14">
        <f t="shared" si="51"/>
        <v>4.6825473896592289</v>
      </c>
      <c r="GX14" s="22">
        <f t="shared" si="28"/>
        <v>32.173716703656488</v>
      </c>
      <c r="GY14" s="62">
        <f t="shared" si="29"/>
        <v>245.57334343826989</v>
      </c>
      <c r="GZ14" s="62">
        <f ca="1">AVERAGE(OFFSET($GY$3,0,0,'Données projet'!$E$18+1,1))-AVERAGE(OFFSET($H$3,0,0,'Données projet'!$E$18+1,1))</f>
        <v>268.57152522489537</v>
      </c>
      <c r="HA14" s="62">
        <f t="shared" si="52"/>
        <v>311.80303557283207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3.75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13.75</v>
      </c>
      <c r="H15" s="70">
        <f t="shared" si="1"/>
        <v>201.66666666666666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235.77657882732774</v>
      </c>
      <c r="S15" s="62">
        <f ca="1">AVERAGE(OFFSET($R$3,0,0,'Données projet'!$E$9+1,1))-AVERAGE(OFFSET($H$3,0,0,'Données projet'!$E$9+1,1))</f>
        <v>461.02780119093666</v>
      </c>
      <c r="T15" s="62">
        <f t="shared" si="34"/>
        <v>245.70016468438834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7.9335567454791462</v>
      </c>
      <c r="AK15" s="14">
        <f t="shared" si="35"/>
        <v>2.8729093976493338</v>
      </c>
      <c r="AL15" s="22">
        <f t="shared" si="4"/>
        <v>18.82126186594877</v>
      </c>
      <c r="AM15" s="62">
        <f t="shared" si="5"/>
        <v>234.42692828883176</v>
      </c>
      <c r="AN15" s="62">
        <f ca="1">AVERAGE(OFFSET($AM$3,0,0,'Données projet'!$E$10+1,1))-AVERAGE(OFFSET($H$3,0,0,'Données projet'!$E$10+1,1))</f>
        <v>434.22500776975596</v>
      </c>
      <c r="AO15" s="62">
        <f t="shared" si="36"/>
        <v>232.59777933076705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2.4358974358974361</v>
      </c>
      <c r="BD15" s="13">
        <f>IF('Données projet'!$A$88&gt;35,BD14+BC15-BL14,IF(A15&lt;'Données projet'!$A$88,$BA$205^A15,IF(A15='Données projet'!$A$88,'Données projet'!$B$88,BD14+BC15-BL14)))</f>
        <v>17.790993698532919</v>
      </c>
      <c r="BE15" s="14">
        <f>BD15*VLOOKUP('Données projet'!$B$11,Paramètres!$A$1:$I$89,3,0)*VLOOKUP('Données projet'!$B$11,Paramètres!$A$1:$I$89,5,0)</f>
        <v>16.929909603523928</v>
      </c>
      <c r="BF15" s="14">
        <f t="shared" si="37"/>
        <v>5.6129516870098515</v>
      </c>
      <c r="BG15" s="22">
        <f t="shared" si="7"/>
        <v>39.262150081012997</v>
      </c>
      <c r="BH15" s="62">
        <f t="shared" si="8"/>
        <v>254.86781650389599</v>
      </c>
      <c r="BI15" s="62">
        <f ca="1">AVERAGE(OFFSET($BH$3,0,0,'Données projet'!$E$11+1,1))-AVERAGE(OFFSET($H$3,0,0,'Données projet'!$E$11+1,1))</f>
        <v>393.3005580838161</v>
      </c>
      <c r="BJ15" s="62">
        <f t="shared" si="38"/>
        <v>295.86019897822757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10.68</v>
      </c>
      <c r="BY15" s="13">
        <f>IF('Données projet'!$A$114&gt;35,BY14+BX15-CG14,IF(A15&lt;'Données projet'!$A$114,$BV$205^A15,IF(A15='Données projet'!$A$114,'Données projet'!$B$114,BY14+BX15-CG14)))</f>
        <v>32.46</v>
      </c>
      <c r="BZ15" s="14">
        <f>BY15*VLOOKUP('Données projet'!$B$12,Paramètres!$A$1:$I$89,3,0)*VLOOKUP('Données projet'!$B$12,Paramètres!$A$1:$I$89,5,0)</f>
        <v>25.825176000000003</v>
      </c>
      <c r="CA15" s="14">
        <f t="shared" si="39"/>
        <v>8.1514246027621944</v>
      </c>
      <c r="CB15" s="22">
        <f t="shared" si="10"/>
        <v>59.175912716477491</v>
      </c>
      <c r="CC15" s="62">
        <f t="shared" si="11"/>
        <v>274.78157913936047</v>
      </c>
      <c r="CD15" s="62">
        <f ca="1">AVERAGE(OFFSET($CC$3,0,0,'Données projet'!$E$12+1,1))-AVERAGE(OFFSET($H$3,0,0,'Données projet'!$E$12+1,1))</f>
        <v>388.52230330563884</v>
      </c>
      <c r="CE15" s="62">
        <f t="shared" si="40"/>
        <v>418.94833960687333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10.68</v>
      </c>
      <c r="CT15" s="13">
        <f>IF('Données projet'!$A$140&gt;35,CT14+CS15-DB14,IF(A15&lt;'Données projet'!$A$140,$CQ$205^A15,IF(A15='Données projet'!$A$140,'Données projet'!$B$140,CT14+CS15-DB14)))</f>
        <v>32.46</v>
      </c>
      <c r="CU15" s="18">
        <f>CT15*VLOOKUP('Données projet'!$B$13,Paramètres!$A$1:$I$89,3,0)*VLOOKUP('Données projet'!$B$13,Paramètres!$A$1:$I$89,5,0)</f>
        <v>23.799672000000001</v>
      </c>
      <c r="CV15" s="14">
        <f t="shared" si="41"/>
        <v>7.5838577005088039</v>
      </c>
      <c r="CW15" s="22">
        <f t="shared" si="13"/>
        <v>54.659647561719503</v>
      </c>
      <c r="CX15" s="62">
        <f t="shared" si="14"/>
        <v>270.26531398460247</v>
      </c>
      <c r="CY15" s="62">
        <f ca="1">AVERAGE(OFFSET($CX$3,0,0,'Données projet'!$E$13+1,1))-AVERAGE(OFFSET($H$3,0,0,'Données projet'!$E$13+1,1))</f>
        <v>362.38131866207266</v>
      </c>
      <c r="CZ15" s="62">
        <f t="shared" si="42"/>
        <v>390.74498763200336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5.8</v>
      </c>
      <c r="DO15" s="13">
        <f>IF('Données projet'!$A$166&gt;35,DO14+DN15-DW14,IF(A15&lt;'Données projet'!$A$166,$DL$205^A15,IF(A15='Données projet'!$A$166,'Données projet'!$B$166,DO14+DN15-DW14)))</f>
        <v>29.6</v>
      </c>
      <c r="DP15" s="18">
        <f>DO15*VLOOKUP('Données projet'!$B$14,Paramètres!$A$1:$I$89,3,0)*VLOOKUP('Données projet'!$B$14,Paramètres!$A$1:$I$89,5,0)</f>
        <v>25.858560000000008</v>
      </c>
      <c r="DQ15" s="14">
        <f t="shared" si="43"/>
        <v>8.1607346448714608</v>
      </c>
      <c r="DR15" s="22">
        <f t="shared" si="16"/>
        <v>59.250271506484466</v>
      </c>
      <c r="DS15" s="62">
        <f t="shared" si="17"/>
        <v>274.85593792936743</v>
      </c>
      <c r="DT15" s="62">
        <f ca="1">AVERAGE(OFFSET($DS$3,0,0,'Données projet'!$E$14+1,1))-AVERAGE(OFFSET($H$3,0,0,'Données projet'!$E$14+1,1))</f>
        <v>334.4692012109935</v>
      </c>
      <c r="DU15" s="62">
        <f t="shared" si="44"/>
        <v>316.360405424036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10</v>
      </c>
      <c r="EJ15" s="13">
        <f>IF('Données projet'!$A$192&gt;35,EJ14+EI15-ER14,IF(A15&lt;'Données projet'!$A$192,$EG$205^A15,IF(A15='Données projet'!$A$192,'Données projet'!$B$192,EJ14+EI15-ER14)))</f>
        <v>21.231586828514317</v>
      </c>
      <c r="EK15" s="18">
        <f>EJ15*VLOOKUP('Données projet'!$B$15,Paramètres!$A$1:$I$89,3,0)*VLOOKUP('Données projet'!$B$15,Paramètres!$A$1:$I$89,5,0)</f>
        <v>11.868457037139505</v>
      </c>
      <c r="EL15" s="14">
        <f t="shared" si="45"/>
        <v>4.1009722899277703</v>
      </c>
      <c r="EM15" s="22">
        <f t="shared" si="19"/>
        <v>27.813422744642168</v>
      </c>
      <c r="EN15" s="62">
        <f t="shared" si="20"/>
        <v>243.41908916752516</v>
      </c>
      <c r="EO15" s="62">
        <f ca="1">AVERAGE(OFFSET($EN$3,0,0,'Données projet'!$E$15+1,1))-AVERAGE(OFFSET($H$3,0,0,'Données projet'!$E$15+1,1))</f>
        <v>390.09289316045653</v>
      </c>
      <c r="EP15" s="62">
        <f t="shared" si="46"/>
        <v>364.34913542817617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2.9333333333333331</v>
      </c>
      <c r="FE15" s="13">
        <f>IF('Données projet'!$A$218&gt;35,FE14+FD15-FM14,IF(A15&lt;'Données projet'!$A$218,$FB$205^A15,IF(A15='Données projet'!$A$218,'Données projet'!$B$218,FE14+FD15-FM14)))</f>
        <v>5.9950535794236988</v>
      </c>
      <c r="FF15" s="18">
        <f>FE15*VLOOKUP('Données projet'!$B$16,Paramètres!$A$1:$I$89,3,0)*VLOOKUP('Données projet'!$B$16,Paramètres!$A$1:$I$89,5,0)</f>
        <v>2.8056850751702913</v>
      </c>
      <c r="FG15" s="14">
        <f t="shared" si="47"/>
        <v>1.146672127973444</v>
      </c>
      <c r="FH15" s="22">
        <f t="shared" si="22"/>
        <v>6.8836887954753392</v>
      </c>
      <c r="FI15" s="62">
        <f t="shared" si="23"/>
        <v>222.48935521835833</v>
      </c>
      <c r="FJ15" s="62">
        <f ca="1">AVERAGE(OFFSET($FI$3,0,0,'Données projet'!$E$16+1,1))-AVERAGE(OFFSET($H$3,0,0,'Données projet'!$E$16+1,1))</f>
        <v>344.55118007058775</v>
      </c>
      <c r="FK15" s="62">
        <f t="shared" si="48"/>
        <v>144.16931602355001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6.2222222222222223</v>
      </c>
      <c r="FZ15" s="13">
        <f>IF('Données projet'!$A$244&gt;35,FZ14+FY15-GH14,IF(A15&lt;'Données projet'!$A$244,$FW$205^A15,IF(A15='Données projet'!$A$244,'Données projet'!$B$244,FZ14+FY15-GH14)))</f>
        <v>23.235142934254824</v>
      </c>
      <c r="GA15" s="18">
        <f>FZ15*VLOOKUP('Données projet'!$B$17,Paramètres!$A$1:$I$89,3,0)*VLOOKUP('Données projet'!$B$17,Paramètres!$A$1:$I$89,5,0)</f>
        <v>14.498729190975009</v>
      </c>
      <c r="GB15" s="14">
        <f t="shared" si="49"/>
        <v>4.8944421329010357</v>
      </c>
      <c r="GC15" s="22">
        <f t="shared" si="25"/>
        <v>33.776440055750776</v>
      </c>
      <c r="GD15" s="62">
        <f t="shared" si="26"/>
        <v>249.38210647863377</v>
      </c>
      <c r="GE15" s="62">
        <f ca="1">AVERAGE(OFFSET($GD$3,0,0,'Données projet'!$E$17+1,1))-AVERAGE(OFFSET($H$3,0,0,'Données projet'!$E$17+1,1))</f>
        <v>252.60122125520482</v>
      </c>
      <c r="GF15" s="62">
        <f t="shared" si="50"/>
        <v>357.56833754121317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8</v>
      </c>
      <c r="GU15" s="13">
        <f>IF('Données projet'!$A$270&gt;35,GU14+GT15-HC14,IF(A15&lt;'Données projet'!$A$270,$GR$205^A15,IF(A15='Données projet'!$A$270,'Données projet'!$B$270,GU14+GT15-HC14)))</f>
        <v>25</v>
      </c>
      <c r="GV15" s="18">
        <f>GU15*VLOOKUP('Données projet'!$B$18,Paramètres!$A$1:$I$89,3,0)*VLOOKUP('Données projet'!$B$18,Paramètres!$A$1:$I$89,5,0)</f>
        <v>20.28</v>
      </c>
      <c r="GW15" s="14">
        <f t="shared" si="51"/>
        <v>6.5838102554415308</v>
      </c>
      <c r="GX15" s="22">
        <f t="shared" si="28"/>
        <v>46.787802861560664</v>
      </c>
      <c r="GY15" s="62">
        <f t="shared" si="29"/>
        <v>262.39346928444365</v>
      </c>
      <c r="GZ15" s="62">
        <f ca="1">AVERAGE(OFFSET($GY$3,0,0,'Données projet'!$E$18+1,1))-AVERAGE(OFFSET($H$3,0,0,'Données projet'!$E$18+1,1))</f>
        <v>268.57152522489537</v>
      </c>
      <c r="HA15" s="62">
        <f t="shared" si="52"/>
        <v>311.80303557283207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3.75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13.75</v>
      </c>
      <c r="H16" s="70">
        <f t="shared" si="1"/>
        <v>201.66666666666666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241.97215326264802</v>
      </c>
      <c r="S16" s="62">
        <f ca="1">AVERAGE(OFFSET($R$3,0,0,'Données projet'!$E$9+1,1))-AVERAGE(OFFSET($H$3,0,0,'Données projet'!$E$9+1,1))</f>
        <v>461.02780119093666</v>
      </c>
      <c r="T16" s="62">
        <f t="shared" si="34"/>
        <v>245.70016468438834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9.5637980499107691</v>
      </c>
      <c r="AK16" s="14">
        <f t="shared" si="35"/>
        <v>3.3887309065006521</v>
      </c>
      <c r="AL16" s="22">
        <f t="shared" si="4"/>
        <v>22.558987932416557</v>
      </c>
      <c r="AM16" s="62">
        <f t="shared" si="5"/>
        <v>240.35362701001958</v>
      </c>
      <c r="AN16" s="62">
        <f ca="1">AVERAGE(OFFSET($AM$3,0,0,'Données projet'!$E$10+1,1))-AVERAGE(OFFSET($H$3,0,0,'Données projet'!$E$10+1,1))</f>
        <v>434.22500776975596</v>
      </c>
      <c r="AO16" s="62">
        <f t="shared" si="36"/>
        <v>232.59777933076705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2.4358974358974361</v>
      </c>
      <c r="BD16" s="13">
        <f>IF('Données projet'!$A$88&gt;35,BD15+BC16-BL15,IF(A16&lt;'Données projet'!$A$88,$BA$205^A16,IF(A16='Données projet'!$A$88,'Données projet'!$B$88,BD15+BC16-BL15)))</f>
        <v>22.614321200613873</v>
      </c>
      <c r="BE16" s="14">
        <f>BD16*VLOOKUP('Données projet'!$B$11,Paramètres!$A$1:$I$89,3,0)*VLOOKUP('Données projet'!$B$11,Paramètres!$A$1:$I$89,5,0)</f>
        <v>21.519788054504161</v>
      </c>
      <c r="BF16" s="14">
        <f t="shared" si="37"/>
        <v>6.9382143454892127</v>
      </c>
      <c r="BG16" s="22">
        <f t="shared" si="7"/>
        <v>49.564354179988463</v>
      </c>
      <c r="BH16" s="62">
        <f t="shared" si="8"/>
        <v>267.35899325759146</v>
      </c>
      <c r="BI16" s="62">
        <f ca="1">AVERAGE(OFFSET($BH$3,0,0,'Données projet'!$E$11+1,1))-AVERAGE(OFFSET($H$3,0,0,'Données projet'!$E$11+1,1))</f>
        <v>393.3005580838161</v>
      </c>
      <c r="BJ16" s="62">
        <f t="shared" si="38"/>
        <v>295.86019897822757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10.68</v>
      </c>
      <c r="BY16" s="13">
        <f>IF('Données projet'!$A$114&gt;35,BY15+BX16-CG15,IF(A16&lt;'Données projet'!$A$114,$BV$205^A16,IF(A16='Données projet'!$A$114,'Données projet'!$B$114,BY15+BX16-CG15)))</f>
        <v>43.14</v>
      </c>
      <c r="BZ16" s="14">
        <f>BY16*VLOOKUP('Données projet'!$B$12,Paramètres!$A$1:$I$89,3,0)*VLOOKUP('Données projet'!$B$12,Paramètres!$A$1:$I$89,5,0)</f>
        <v>34.322184</v>
      </c>
      <c r="CA16" s="14">
        <f t="shared" si="39"/>
        <v>10.480597920580347</v>
      </c>
      <c r="CB16" s="22">
        <f t="shared" si="10"/>
        <v>78.031511845010769</v>
      </c>
      <c r="CC16" s="62">
        <f t="shared" si="11"/>
        <v>295.82615092261381</v>
      </c>
      <c r="CD16" s="62">
        <f ca="1">AVERAGE(OFFSET($CC$3,0,0,'Données projet'!$E$12+1,1))-AVERAGE(OFFSET($H$3,0,0,'Données projet'!$E$12+1,1))</f>
        <v>388.52230330563884</v>
      </c>
      <c r="CE16" s="62">
        <f t="shared" si="40"/>
        <v>418.94833960687333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10.68</v>
      </c>
      <c r="CT16" s="13">
        <f>IF('Données projet'!$A$140&gt;35,CT15+CS16-DB15,IF(A16&lt;'Données projet'!$A$140,$CQ$205^A16,IF(A16='Données projet'!$A$140,'Données projet'!$B$140,CT15+CS16-DB15)))</f>
        <v>43.14</v>
      </c>
      <c r="CU16" s="18">
        <f>CT16*VLOOKUP('Données projet'!$B$13,Paramètres!$A$1:$I$89,3,0)*VLOOKUP('Données projet'!$B$13,Paramètres!$A$1:$I$89,5,0)</f>
        <v>31.630248000000002</v>
      </c>
      <c r="CV16" s="14">
        <f t="shared" si="41"/>
        <v>9.7508554785621282</v>
      </c>
      <c r="CW16" s="22">
        <f t="shared" si="13"/>
        <v>72.072088558495707</v>
      </c>
      <c r="CX16" s="62">
        <f t="shared" si="14"/>
        <v>289.86672763609874</v>
      </c>
      <c r="CY16" s="62">
        <f ca="1">AVERAGE(OFFSET($CX$3,0,0,'Données projet'!$E$13+1,1))-AVERAGE(OFFSET($H$3,0,0,'Données projet'!$E$13+1,1))</f>
        <v>362.38131866207266</v>
      </c>
      <c r="CZ16" s="62">
        <f t="shared" si="42"/>
        <v>390.74498763200336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5.8</v>
      </c>
      <c r="DO16" s="13">
        <f>IF('Données projet'!$A$166&gt;35,DO15+DN16-DW15,IF(A16&lt;'Données projet'!$A$166,$DL$205^A16,IF(A16='Données projet'!$A$166,'Données projet'!$B$166,DO15+DN16-DW15)))</f>
        <v>35.4</v>
      </c>
      <c r="DP16" s="18">
        <f>DO16*VLOOKUP('Données projet'!$B$14,Paramètres!$A$1:$I$89,3,0)*VLOOKUP('Données projet'!$B$14,Paramètres!$A$1:$I$89,5,0)</f>
        <v>30.925440000000002</v>
      </c>
      <c r="DQ16" s="14">
        <f t="shared" si="43"/>
        <v>9.5586196975402125</v>
      </c>
      <c r="DR16" s="22">
        <f t="shared" si="16"/>
        <v>70.509737306549212</v>
      </c>
      <c r="DS16" s="62">
        <f t="shared" si="17"/>
        <v>288.30437638415225</v>
      </c>
      <c r="DT16" s="62">
        <f ca="1">AVERAGE(OFFSET($DS$3,0,0,'Données projet'!$E$14+1,1))-AVERAGE(OFFSET($H$3,0,0,'Données projet'!$E$14+1,1))</f>
        <v>334.4692012109935</v>
      </c>
      <c r="DU16" s="62">
        <f t="shared" si="44"/>
        <v>316.360405424036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10</v>
      </c>
      <c r="EJ16" s="13">
        <f>IF('Données projet'!$A$192&gt;35,EJ15+EI16-ER15,IF(A16&lt;'Données projet'!$A$192,$EG$205^A16,IF(A16='Données projet'!$A$192,'Données projet'!$B$192,EJ15+EI16-ER15)))</f>
        <v>27.388252639673997</v>
      </c>
      <c r="EK16" s="18">
        <f>EJ16*VLOOKUP('Données projet'!$B$15,Paramètres!$A$1:$I$89,3,0)*VLOOKUP('Données projet'!$B$15,Paramètres!$A$1:$I$89,5,0)</f>
        <v>15.310033225577765</v>
      </c>
      <c r="EL16" s="14">
        <f t="shared" si="45"/>
        <v>5.1356684205409415</v>
      </c>
      <c r="EM16" s="22">
        <f t="shared" si="19"/>
        <v>35.609597033656748</v>
      </c>
      <c r="EN16" s="62">
        <f t="shared" si="20"/>
        <v>253.40423611125976</v>
      </c>
      <c r="EO16" s="62">
        <f ca="1">AVERAGE(OFFSET($EN$3,0,0,'Données projet'!$E$15+1,1))-AVERAGE(OFFSET($H$3,0,0,'Données projet'!$E$15+1,1))</f>
        <v>390.09289316045653</v>
      </c>
      <c r="EP16" s="62">
        <f t="shared" si="46"/>
        <v>364.34913542817617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2.9333333333333331</v>
      </c>
      <c r="FE16" s="13">
        <f>IF('Données projet'!$A$218&gt;35,FE15+FD16-FM15,IF(A16&lt;'Données projet'!$A$218,$FB$205^A16,IF(A16='Données projet'!$A$218,'Données projet'!$B$218,FE15+FD16-FM15)))</f>
        <v>6.959998691015949</v>
      </c>
      <c r="FF16" s="18">
        <f>FE16*VLOOKUP('Données projet'!$B$16,Paramètres!$A$1:$I$89,3,0)*VLOOKUP('Données projet'!$B$16,Paramètres!$A$1:$I$89,5,0)</f>
        <v>3.2572793873954642</v>
      </c>
      <c r="FG16" s="14">
        <f t="shared" si="47"/>
        <v>1.3083102761888523</v>
      </c>
      <c r="FH16" s="22">
        <f t="shared" si="22"/>
        <v>7.9517353307426832</v>
      </c>
      <c r="FI16" s="62">
        <f t="shared" si="23"/>
        <v>225.7463744083457</v>
      </c>
      <c r="FJ16" s="62">
        <f ca="1">AVERAGE(OFFSET($FI$3,0,0,'Données projet'!$E$16+1,1))-AVERAGE(OFFSET($H$3,0,0,'Données projet'!$E$16+1,1))</f>
        <v>344.55118007058775</v>
      </c>
      <c r="FK16" s="62">
        <f t="shared" si="48"/>
        <v>144.16931602355001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6.2222222222222223</v>
      </c>
      <c r="FZ16" s="13">
        <f>IF('Données projet'!$A$244&gt;35,FZ15+FY16-GH15,IF(A16&lt;'Données projet'!$A$244,$FW$205^A16,IF(A16='Données projet'!$A$244,'Données projet'!$B$244,FZ15+FY16-GH15)))</f>
        <v>30.19887706404656</v>
      </c>
      <c r="GA16" s="18">
        <f>FZ16*VLOOKUP('Données projet'!$B$17,Paramètres!$A$1:$I$89,3,0)*VLOOKUP('Données projet'!$B$17,Paramètres!$A$1:$I$89,5,0)</f>
        <v>18.844099287965054</v>
      </c>
      <c r="GB16" s="14">
        <f t="shared" si="49"/>
        <v>6.1701686386769925</v>
      </c>
      <c r="GC16" s="22">
        <f t="shared" si="25"/>
        <v>43.566516638901568</v>
      </c>
      <c r="GD16" s="62">
        <f t="shared" si="26"/>
        <v>261.36115571650458</v>
      </c>
      <c r="GE16" s="62">
        <f ca="1">AVERAGE(OFFSET($GD$3,0,0,'Données projet'!$E$17+1,1))-AVERAGE(OFFSET($H$3,0,0,'Données projet'!$E$17+1,1))</f>
        <v>252.60122125520482</v>
      </c>
      <c r="GF16" s="62">
        <f t="shared" si="50"/>
        <v>357.56833754121317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8</v>
      </c>
      <c r="GU16" s="13">
        <f>IF('Données projet'!$A$270&gt;35,GU15+GT16-HC15,IF(A16&lt;'Données projet'!$A$270,$GR$205^A16,IF(A16='Données projet'!$A$270,'Données projet'!$B$270,GU15+GT16-HC15)))</f>
        <v>33</v>
      </c>
      <c r="GV16" s="18">
        <f>GU16*VLOOKUP('Données projet'!$B$18,Paramètres!$A$1:$I$89,3,0)*VLOOKUP('Données projet'!$B$18,Paramètres!$A$1:$I$89,5,0)</f>
        <v>26.769600000000001</v>
      </c>
      <c r="GW16" s="14">
        <f t="shared" si="51"/>
        <v>8.4142697673415618</v>
      </c>
      <c r="GX16" s="22">
        <f t="shared" si="28"/>
        <v>61.278573178119878</v>
      </c>
      <c r="GY16" s="62">
        <f t="shared" si="29"/>
        <v>279.07321225572292</v>
      </c>
      <c r="GZ16" s="62">
        <f ca="1">AVERAGE(OFFSET($GY$3,0,0,'Données projet'!$E$18+1,1))-AVERAGE(OFFSET($H$3,0,0,'Données projet'!$E$18+1,1))</f>
        <v>268.57152522489537</v>
      </c>
      <c r="HA16" s="62">
        <f t="shared" si="52"/>
        <v>311.80303557283207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3.75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13.75</v>
      </c>
      <c r="H17" s="70">
        <f t="shared" si="1"/>
        <v>201.66666666666666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248.94943738605147</v>
      </c>
      <c r="S17" s="62">
        <f ca="1">AVERAGE(OFFSET($R$3,0,0,'Données projet'!$E$9+1,1))-AVERAGE(OFFSET($H$3,0,0,'Données projet'!$E$9+1,1))</f>
        <v>461.02780119093666</v>
      </c>
      <c r="T17" s="62">
        <f t="shared" si="34"/>
        <v>245.70016468438834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11.529032447092296</v>
      </c>
      <c r="AK17" s="14">
        <f t="shared" si="35"/>
        <v>3.9971664842854926</v>
      </c>
      <c r="AL17" s="22">
        <f t="shared" si="4"/>
        <v>27.041463138816312</v>
      </c>
      <c r="AM17" s="62">
        <f t="shared" si="5"/>
        <v>247.00830391246566</v>
      </c>
      <c r="AN17" s="62">
        <f ca="1">AVERAGE(OFFSET($AM$3,0,0,'Données projet'!$E$10+1,1))-AVERAGE(OFFSET($H$3,0,0,'Données projet'!$E$10+1,1))</f>
        <v>434.22500776975596</v>
      </c>
      <c r="AO17" s="62">
        <f t="shared" si="36"/>
        <v>232.59777933076705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2.4358974358974361</v>
      </c>
      <c r="BD17" s="13">
        <f>IF('Données projet'!$A$88&gt;35,BD16+BC17-BL16,IF(A17&lt;'Données projet'!$A$88,$BA$205^A17,IF(A17='Données projet'!$A$88,'Données projet'!$B$88,BD16+BC17-BL16)))</f>
        <v>28.745304058350921</v>
      </c>
      <c r="BE17" s="14">
        <f>BD17*VLOOKUP('Données projet'!$B$11,Paramètres!$A$1:$I$89,3,0)*VLOOKUP('Données projet'!$B$11,Paramètres!$A$1:$I$89,5,0)</f>
        <v>27.354031341926738</v>
      </c>
      <c r="BF17" s="14">
        <f t="shared" si="37"/>
        <v>8.5763820870506962</v>
      </c>
      <c r="BG17" s="22">
        <f t="shared" si="7"/>
        <v>62.578803388802356</v>
      </c>
      <c r="BH17" s="62">
        <f t="shared" si="8"/>
        <v>282.54564416245171</v>
      </c>
      <c r="BI17" s="62">
        <f ca="1">AVERAGE(OFFSET($BH$3,0,0,'Données projet'!$E$11+1,1))-AVERAGE(OFFSET($H$3,0,0,'Données projet'!$E$11+1,1))</f>
        <v>393.3005580838161</v>
      </c>
      <c r="BJ17" s="62">
        <f t="shared" si="38"/>
        <v>295.86019897822757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10.68</v>
      </c>
      <c r="BY17" s="13">
        <f>IF('Données projet'!$A$114&gt;35,BY16+BX17-CG16,IF(A17&lt;'Données projet'!$A$114,$BV$205^A17,IF(A17='Données projet'!$A$114,'Données projet'!$B$114,BY16+BX17-CG16)))</f>
        <v>53.82</v>
      </c>
      <c r="BZ17" s="14">
        <f>BY17*VLOOKUP('Données projet'!$B$12,Paramètres!$A$1:$I$89,3,0)*VLOOKUP('Données projet'!$B$12,Paramètres!$A$1:$I$89,5,0)</f>
        <v>42.819192000000001</v>
      </c>
      <c r="CA17" s="14">
        <f t="shared" si="39"/>
        <v>12.742886505722554</v>
      </c>
      <c r="CB17" s="22">
        <f t="shared" si="10"/>
        <v>96.770620064133439</v>
      </c>
      <c r="CC17" s="62">
        <f t="shared" si="11"/>
        <v>316.73746083778281</v>
      </c>
      <c r="CD17" s="62">
        <f ca="1">AVERAGE(OFFSET($CC$3,0,0,'Données projet'!$E$12+1,1))-AVERAGE(OFFSET($H$3,0,0,'Données projet'!$E$12+1,1))</f>
        <v>388.52230330563884</v>
      </c>
      <c r="CE17" s="62">
        <f t="shared" si="40"/>
        <v>418.94833960687333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10.68</v>
      </c>
      <c r="CT17" s="13">
        <f>IF('Données projet'!$A$140&gt;35,CT16+CS17-DB16,IF(A17&lt;'Données projet'!$A$140,$CQ$205^A17,IF(A17='Données projet'!$A$140,'Données projet'!$B$140,CT16+CS17-DB16)))</f>
        <v>53.82</v>
      </c>
      <c r="CU17" s="18">
        <f>CT17*VLOOKUP('Données projet'!$B$13,Paramètres!$A$1:$I$89,3,0)*VLOOKUP('Données projet'!$B$13,Paramètres!$A$1:$I$89,5,0)</f>
        <v>39.460823999999995</v>
      </c>
      <c r="CV17" s="14">
        <f t="shared" si="41"/>
        <v>11.85562557008577</v>
      </c>
      <c r="CW17" s="22">
        <f t="shared" si="13"/>
        <v>89.376149667899369</v>
      </c>
      <c r="CX17" s="62">
        <f t="shared" si="14"/>
        <v>309.34299044154875</v>
      </c>
      <c r="CY17" s="62">
        <f ca="1">AVERAGE(OFFSET($CX$3,0,0,'Données projet'!$E$13+1,1))-AVERAGE(OFFSET($H$3,0,0,'Données projet'!$E$13+1,1))</f>
        <v>362.38131866207266</v>
      </c>
      <c r="CZ17" s="62">
        <f t="shared" si="42"/>
        <v>390.74498763200336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5.8</v>
      </c>
      <c r="DO17" s="13">
        <f>IF('Données projet'!$A$166&gt;35,DO16+DN17-DW16,IF(A17&lt;'Données projet'!$A$166,$DL$205^A17,IF(A17='Données projet'!$A$166,'Données projet'!$B$166,DO16+DN17-DW16)))</f>
        <v>41.199999999999996</v>
      </c>
      <c r="DP17" s="18">
        <f>DO17*VLOOKUP('Données projet'!$B$14,Paramètres!$A$1:$I$89,3,0)*VLOOKUP('Données projet'!$B$14,Paramètres!$A$1:$I$89,5,0)</f>
        <v>35.992319999999999</v>
      </c>
      <c r="DQ17" s="14">
        <f t="shared" si="43"/>
        <v>10.929972788578748</v>
      </c>
      <c r="DR17" s="22">
        <f t="shared" si="16"/>
        <v>81.722993273441304</v>
      </c>
      <c r="DS17" s="62">
        <f t="shared" si="17"/>
        <v>301.68983404709064</v>
      </c>
      <c r="DT17" s="62">
        <f ca="1">AVERAGE(OFFSET($DS$3,0,0,'Données projet'!$E$14+1,1))-AVERAGE(OFFSET($H$3,0,0,'Données projet'!$E$14+1,1))</f>
        <v>334.4692012109935</v>
      </c>
      <c r="DU17" s="62">
        <f t="shared" si="44"/>
        <v>316.360405424036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10</v>
      </c>
      <c r="EJ17" s="13">
        <f>IF('Données projet'!$A$192&gt;35,EJ16+EI17-ER16,IF(A17&lt;'Données projet'!$A$192,$EG$205^A17,IF(A17='Données projet'!$A$192,'Données projet'!$B$192,EJ16+EI17-ER16)))</f>
        <v>35.330208180539429</v>
      </c>
      <c r="EK17" s="18">
        <f>EJ17*VLOOKUP('Données projet'!$B$15,Paramètres!$A$1:$I$89,3,0)*VLOOKUP('Données projet'!$B$15,Paramètres!$A$1:$I$89,5,0)</f>
        <v>19.749586372921542</v>
      </c>
      <c r="EL17" s="14">
        <f t="shared" si="45"/>
        <v>6.4314236383699175</v>
      </c>
      <c r="EM17" s="22">
        <f t="shared" si="19"/>
        <v>45.598592436332616</v>
      </c>
      <c r="EN17" s="62">
        <f t="shared" si="20"/>
        <v>265.56543320998196</v>
      </c>
      <c r="EO17" s="62">
        <f ca="1">AVERAGE(OFFSET($EN$3,0,0,'Données projet'!$E$15+1,1))-AVERAGE(OFFSET($H$3,0,0,'Données projet'!$E$15+1,1))</f>
        <v>390.09289316045653</v>
      </c>
      <c r="EP17" s="62">
        <f t="shared" si="46"/>
        <v>364.34913542817617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2.9333333333333331</v>
      </c>
      <c r="FE17" s="13">
        <f>IF('Données projet'!$A$218&gt;35,FE16+FD17-FM16,IF(A17&lt;'Données projet'!$A$218,$FB$205^A17,IF(A17='Données projet'!$A$218,'Données projet'!$B$218,FE16+FD17-FM16)))</f>
        <v>8.0802583558561594</v>
      </c>
      <c r="FF17" s="18">
        <f>FE17*VLOOKUP('Données projet'!$B$16,Paramètres!$A$1:$I$89,3,0)*VLOOKUP('Données projet'!$B$16,Paramètres!$A$1:$I$89,5,0)</f>
        <v>3.7815609105406822</v>
      </c>
      <c r="FG17" s="14">
        <f t="shared" si="47"/>
        <v>1.4927333952090196</v>
      </c>
      <c r="FH17" s="22">
        <f t="shared" si="22"/>
        <v>9.1860625825140634</v>
      </c>
      <c r="FI17" s="62">
        <f t="shared" si="23"/>
        <v>229.15290335616342</v>
      </c>
      <c r="FJ17" s="62">
        <f ca="1">AVERAGE(OFFSET($FI$3,0,0,'Données projet'!$E$16+1,1))-AVERAGE(OFFSET($H$3,0,0,'Données projet'!$E$16+1,1))</f>
        <v>344.55118007058775</v>
      </c>
      <c r="FK17" s="62">
        <f t="shared" si="48"/>
        <v>144.16931602355001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6.2222222222222223</v>
      </c>
      <c r="FZ17" s="13">
        <f>IF('Données projet'!$A$244&gt;35,FZ16+FY17-GH16,IF(A17&lt;'Données projet'!$A$244,$FW$205^A17,IF(A17='Données projet'!$A$244,'Données projet'!$B$244,FZ16+FY17-GH16)))</f>
        <v>39.249690802844427</v>
      </c>
      <c r="GA17" s="18">
        <f>FZ17*VLOOKUP('Données projet'!$B$17,Paramètres!$A$1:$I$89,3,0)*VLOOKUP('Données projet'!$B$17,Paramètres!$A$1:$I$89,5,0)</f>
        <v>24.491807060974921</v>
      </c>
      <c r="GB17" s="14">
        <f t="shared" si="49"/>
        <v>7.7784106944068903</v>
      </c>
      <c r="GC17" s="22">
        <f t="shared" si="25"/>
        <v>56.203962590623313</v>
      </c>
      <c r="GD17" s="62">
        <f t="shared" si="26"/>
        <v>276.17080336427267</v>
      </c>
      <c r="GE17" s="62">
        <f ca="1">AVERAGE(OFFSET($GD$3,0,0,'Données projet'!$E$17+1,1))-AVERAGE(OFFSET($H$3,0,0,'Données projet'!$E$17+1,1))</f>
        <v>252.60122125520482</v>
      </c>
      <c r="GF17" s="62">
        <f t="shared" si="50"/>
        <v>357.56833754121317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8</v>
      </c>
      <c r="GU17" s="13">
        <f>IF('Données projet'!$A$270&gt;35,GU16+GT17-HC16,IF(A17&lt;'Données projet'!$A$270,$GR$205^A17,IF(A17='Données projet'!$A$270,'Données projet'!$B$270,GU16+GT17-HC16)))</f>
        <v>41</v>
      </c>
      <c r="GV17" s="18">
        <f>GU17*VLOOKUP('Données projet'!$B$18,Paramètres!$A$1:$I$89,3,0)*VLOOKUP('Données projet'!$B$18,Paramètres!$A$1:$I$89,5,0)</f>
        <v>33.2592</v>
      </c>
      <c r="GW17" s="14">
        <f t="shared" si="51"/>
        <v>10.193265358024187</v>
      </c>
      <c r="GX17" s="22">
        <f t="shared" si="28"/>
        <v>75.679710498558791</v>
      </c>
      <c r="GY17" s="62">
        <f t="shared" si="29"/>
        <v>295.64655127220817</v>
      </c>
      <c r="GZ17" s="62">
        <f ca="1">AVERAGE(OFFSET($GY$3,0,0,'Données projet'!$E$18+1,1))-AVERAGE(OFFSET($H$3,0,0,'Données projet'!$E$18+1,1))</f>
        <v>268.57152522489537</v>
      </c>
      <c r="HA17" s="62">
        <f t="shared" si="52"/>
        <v>311.80303557283207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3.75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13.75</v>
      </c>
      <c r="H18" s="70">
        <f t="shared" si="1"/>
        <v>201.66666666666666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256.86834245793744</v>
      </c>
      <c r="S18" s="62">
        <f ca="1">AVERAGE(OFFSET($R$3,0,0,'Données projet'!$E$9+1,1))-AVERAGE(OFFSET($H$3,0,0,'Données projet'!$E$9+1,1))</f>
        <v>461.02780119093666</v>
      </c>
      <c r="T18" s="62">
        <f t="shared" si="34"/>
        <v>245.70016468438834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13.898096600580887</v>
      </c>
      <c r="AK18" s="14">
        <f t="shared" si="35"/>
        <v>4.7148446849071632</v>
      </c>
      <c r="AL18" s="22">
        <f t="shared" si="4"/>
        <v>32.417539405558351</v>
      </c>
      <c r="AM18" s="62">
        <f t="shared" si="5"/>
        <v>254.54010185521915</v>
      </c>
      <c r="AN18" s="62">
        <f ca="1">AVERAGE(OFFSET($AM$3,0,0,'Données projet'!$E$10+1,1))-AVERAGE(OFFSET($H$3,0,0,'Données projet'!$E$10+1,1))</f>
        <v>434.22500776975596</v>
      </c>
      <c r="AO18" s="62">
        <f t="shared" si="36"/>
        <v>232.59777933076705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36.53846153846154</v>
      </c>
      <c r="BB18" s="13">
        <f>VLOOKUP(A18,'Données projet'!$A$87:$I$107,9,0)</f>
        <v>2.4358974358974361</v>
      </c>
      <c r="BC18" s="13">
        <f t="array" ref="BC18">INDEX(BB:BB,MIN(IF(ISNUMBER(BB18:BB214),ROW(BB18:BB214),"")))</f>
        <v>2.4358974358974361</v>
      </c>
      <c r="BD18" s="13">
        <f>IF('Données projet'!$A$88&gt;35,BD17+BC18-BL17,IF(A18&lt;'Données projet'!$A$88,$BA$205^A18,IF(A18='Données projet'!$A$88,'Données projet'!$B$88,BD17+BC18-BL17)))</f>
        <v>36.53846153846154</v>
      </c>
      <c r="BE18" s="14">
        <f>BD18*VLOOKUP('Données projet'!$B$11,Paramètres!$A$1:$I$89,3,0)*VLOOKUP('Données projet'!$B$11,Paramètres!$A$1:$I$89,5,0)</f>
        <v>34.770000000000003</v>
      </c>
      <c r="BF18" s="14">
        <f t="shared" si="37"/>
        <v>10.601334297333203</v>
      </c>
      <c r="BG18" s="22">
        <f t="shared" si="7"/>
        <v>79.021740567855332</v>
      </c>
      <c r="BH18" s="62">
        <f t="shared" si="8"/>
        <v>301.14430301751611</v>
      </c>
      <c r="BI18" s="62">
        <f ca="1">AVERAGE(OFFSET($BH$3,0,0,'Données projet'!$E$11+1,1))-AVERAGE(OFFSET($H$3,0,0,'Données projet'!$E$11+1,1))</f>
        <v>393.3005580838161</v>
      </c>
      <c r="BJ18" s="62">
        <f t="shared" si="38"/>
        <v>295.86019897822757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64.5</v>
      </c>
      <c r="BW18" s="13">
        <f>VLOOKUP(A18,'Données projet'!$A$113:$I$133,9,0)</f>
        <v>10.68</v>
      </c>
      <c r="BX18" s="13">
        <f t="array" ref="BX18">INDEX(BW:BW,MIN(IF(ISNUMBER(BW18:BW214),ROW(BW18:BW214),"")))</f>
        <v>10.68</v>
      </c>
      <c r="BY18" s="13">
        <f>IF('Données projet'!$A$114&gt;35,BY17+BX18-CG17,IF(A18&lt;'Données projet'!$A$114,$BV$205^A18,IF(A18='Données projet'!$A$114,'Données projet'!$B$114,BY17+BX18-CG17)))</f>
        <v>64.5</v>
      </c>
      <c r="BZ18" s="14">
        <f>BY18*VLOOKUP('Données projet'!$B$12,Paramètres!$A$1:$I$89,3,0)*VLOOKUP('Données projet'!$B$12,Paramètres!$A$1:$I$89,5,0)</f>
        <v>51.316200000000009</v>
      </c>
      <c r="CA18" s="14">
        <f t="shared" si="39"/>
        <v>14.953158316506878</v>
      </c>
      <c r="CB18" s="22">
        <f t="shared" si="10"/>
        <v>115.41913240124948</v>
      </c>
      <c r="CC18" s="62">
        <f t="shared" si="11"/>
        <v>337.54169485091029</v>
      </c>
      <c r="CD18" s="62">
        <f ca="1">AVERAGE(OFFSET($CC$3,0,0,'Données projet'!$E$12+1,1))-AVERAGE(OFFSET($H$3,0,0,'Données projet'!$E$12+1,1))</f>
        <v>388.52230330563884</v>
      </c>
      <c r="CE18" s="62">
        <f t="shared" si="40"/>
        <v>418.94833960687333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64.5</v>
      </c>
      <c r="CR18" s="13">
        <f>VLOOKUP(A18,'Données projet'!$A$139:$I$159,9,0)</f>
        <v>10.68</v>
      </c>
      <c r="CS18" s="13">
        <f t="array" ref="CS18">INDEX(CR:CR,MIN(IF(ISNUMBER(CR18:CR214),ROW(CR18:CR214),"")))</f>
        <v>10.68</v>
      </c>
      <c r="CT18" s="13">
        <f>IF('Données projet'!$A$140&gt;35,CT17+CS18-DB17,IF(A18&lt;'Données projet'!$A$140,$CQ$205^A18,IF(A18='Données projet'!$A$140,'Données projet'!$B$140,CT17+CS18-DB17)))</f>
        <v>64.5</v>
      </c>
      <c r="CU18" s="18">
        <f>CT18*VLOOKUP('Données projet'!$B$13,Paramètres!$A$1:$I$89,3,0)*VLOOKUP('Données projet'!$B$13,Paramètres!$A$1:$I$89,5,0)</f>
        <v>47.291399999999996</v>
      </c>
      <c r="CV18" s="14">
        <f t="shared" si="41"/>
        <v>13.91200070808976</v>
      </c>
      <c r="CW18" s="22">
        <f t="shared" si="13"/>
        <v>106.595922899923</v>
      </c>
      <c r="CX18" s="62">
        <f t="shared" si="14"/>
        <v>328.71848534958377</v>
      </c>
      <c r="CY18" s="62">
        <f ca="1">AVERAGE(OFFSET($CX$3,0,0,'Données projet'!$E$13+1,1))-AVERAGE(OFFSET($H$3,0,0,'Données projet'!$E$13+1,1))</f>
        <v>362.38131866207266</v>
      </c>
      <c r="CZ18" s="62">
        <f t="shared" si="42"/>
        <v>390.74498763200336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47</v>
      </c>
      <c r="DM18" s="13">
        <f>VLOOKUP(A18,'Données projet'!$A$165:$I$185,9,0)</f>
        <v>5.8</v>
      </c>
      <c r="DN18" s="13">
        <f t="array" ref="DN18">INDEX(DM:DM,MIN(IF(ISNUMBER(DM18:DM214),ROW(DM18:DM214),"")))</f>
        <v>5.8</v>
      </c>
      <c r="DO18" s="13">
        <f>IF('Données projet'!$A$166&gt;35,DO17+DN18-DW17,IF(A18&lt;'Données projet'!$A$166,$DL$205^A18,IF(A18='Données projet'!$A$166,'Données projet'!$B$166,DO17+DN18-DW17)))</f>
        <v>46.999999999999993</v>
      </c>
      <c r="DP18" s="18">
        <f>DO18*VLOOKUP('Données projet'!$B$14,Paramètres!$A$1:$I$89,3,0)*VLOOKUP('Données projet'!$B$14,Paramètres!$A$1:$I$89,5,0)</f>
        <v>41.059200000000004</v>
      </c>
      <c r="DQ18" s="14">
        <f t="shared" si="43"/>
        <v>12.278959527914743</v>
      </c>
      <c r="DR18" s="22">
        <f t="shared" si="16"/>
        <v>92.897294511118176</v>
      </c>
      <c r="DS18" s="62">
        <f t="shared" si="17"/>
        <v>315.01985696077895</v>
      </c>
      <c r="DT18" s="62">
        <f ca="1">AVERAGE(OFFSET($DS$3,0,0,'Données projet'!$E$14+1,1))-AVERAGE(OFFSET($H$3,0,0,'Données projet'!$E$14+1,1))</f>
        <v>334.4692012109935</v>
      </c>
      <c r="DU18" s="62">
        <f t="shared" si="44"/>
        <v>316.360405424036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10</v>
      </c>
      <c r="EJ18" s="13">
        <f>IF('Données projet'!$A$192&gt;35,EJ17+EI18-ER17,IF(A18&lt;'Données projet'!$A$192,$EG$205^A18,IF(A18='Données projet'!$A$192,'Données projet'!$B$192,EJ17+EI18-ER17)))</f>
        <v>45.575145902959399</v>
      </c>
      <c r="EK18" s="18">
        <f>EJ18*VLOOKUP('Données projet'!$B$15,Paramètres!$A$1:$I$89,3,0)*VLOOKUP('Données projet'!$B$15,Paramètres!$A$1:$I$89,5,0)</f>
        <v>25.476506559754306</v>
      </c>
      <c r="EL18" s="14">
        <f t="shared" si="45"/>
        <v>8.0541044765944179</v>
      </c>
      <c r="EM18" s="22">
        <f t="shared" si="19"/>
        <v>58.399147554974014</v>
      </c>
      <c r="EN18" s="62">
        <f t="shared" si="20"/>
        <v>280.52171000463483</v>
      </c>
      <c r="EO18" s="62">
        <f ca="1">AVERAGE(OFFSET($EN$3,0,0,'Données projet'!$E$15+1,1))-AVERAGE(OFFSET($H$3,0,0,'Données projet'!$E$15+1,1))</f>
        <v>390.09289316045653</v>
      </c>
      <c r="EP18" s="62">
        <f t="shared" si="46"/>
        <v>364.34913542817617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2.9333333333333331</v>
      </c>
      <c r="FE18" s="13">
        <f>IF('Données projet'!$A$218&gt;35,FE17+FD18-FM17,IF(A18&lt;'Données projet'!$A$218,$FB$205^A18,IF(A18='Données projet'!$A$218,'Données projet'!$B$218,FE17+FD18-FM17)))</f>
        <v>9.3808315196468595</v>
      </c>
      <c r="FF18" s="18">
        <f>FE18*VLOOKUP('Données projet'!$B$16,Paramètres!$A$1:$I$89,3,0)*VLOOKUP('Données projet'!$B$16,Paramètres!$A$1:$I$89,5,0)</f>
        <v>4.3902291511947302</v>
      </c>
      <c r="FG18" s="14">
        <f t="shared" si="47"/>
        <v>1.7031533189995398</v>
      </c>
      <c r="FH18" s="22">
        <f t="shared" si="22"/>
        <v>10.612641135588353</v>
      </c>
      <c r="FI18" s="62">
        <f t="shared" si="23"/>
        <v>232.73520358524914</v>
      </c>
      <c r="FJ18" s="62">
        <f ca="1">AVERAGE(OFFSET($FI$3,0,0,'Données projet'!$E$16+1,1))-AVERAGE(OFFSET($H$3,0,0,'Données projet'!$E$16+1,1))</f>
        <v>344.55118007058775</v>
      </c>
      <c r="FK18" s="62">
        <f t="shared" si="48"/>
        <v>144.16931602355001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6.2222222222222223</v>
      </c>
      <c r="FZ18" s="13">
        <f>IF('Données projet'!$A$244&gt;35,FZ17+FY18-GH17,IF(A18&lt;'Données projet'!$A$244,$FW$205^A18,IF(A18='Données projet'!$A$244,'Données projet'!$B$244,FZ17+FY18-GH17)))</f>
        <v>51.013096442350388</v>
      </c>
      <c r="GA18" s="18">
        <f>FZ18*VLOOKUP('Données projet'!$B$17,Paramètres!$A$1:$I$89,3,0)*VLOOKUP('Données projet'!$B$17,Paramètres!$A$1:$I$89,5,0)</f>
        <v>31.832172180026642</v>
      </c>
      <c r="GB18" s="14">
        <f t="shared" si="49"/>
        <v>9.8058378099430179</v>
      </c>
      <c r="GC18" s="22">
        <f t="shared" si="25"/>
        <v>72.519534065863823</v>
      </c>
      <c r="GD18" s="62">
        <f t="shared" si="26"/>
        <v>294.6420965155246</v>
      </c>
      <c r="GE18" s="62">
        <f ca="1">AVERAGE(OFFSET($GD$3,0,0,'Données projet'!$E$17+1,1))-AVERAGE(OFFSET($H$3,0,0,'Données projet'!$E$17+1,1))</f>
        <v>252.60122125520482</v>
      </c>
      <c r="GF18" s="62">
        <f t="shared" si="50"/>
        <v>357.56833754121317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49</v>
      </c>
      <c r="GS18" s="13">
        <f>VLOOKUP(A18,'Données projet'!$A$269:$I$289,9,0)</f>
        <v>8</v>
      </c>
      <c r="GT18" s="13">
        <f t="array" ref="GT18">INDEX(GS:GS,MIN(IF(ISNUMBER(GS18:GS214),ROW(GS18:GS214),"")))</f>
        <v>8</v>
      </c>
      <c r="GU18" s="13">
        <f>IF('Données projet'!$A$270&gt;35,GU17+GT18-HC17,IF(A18&lt;'Données projet'!$A$270,$GR$205^A18,IF(A18='Données projet'!$A$270,'Données projet'!$B$270,GU17+GT18-HC17)))</f>
        <v>49</v>
      </c>
      <c r="GV18" s="18">
        <f>GU18*VLOOKUP('Données projet'!$B$18,Paramètres!$A$1:$I$89,3,0)*VLOOKUP('Données projet'!$B$18,Paramètres!$A$1:$I$89,5,0)</f>
        <v>39.748800000000003</v>
      </c>
      <c r="GW18" s="14">
        <f t="shared" si="51"/>
        <v>11.932041927023215</v>
      </c>
      <c r="GX18" s="22">
        <f t="shared" si="28"/>
        <v>90.010799689565431</v>
      </c>
      <c r="GY18" s="62">
        <f t="shared" si="29"/>
        <v>312.13336213922622</v>
      </c>
      <c r="GZ18" s="62">
        <f ca="1">AVERAGE(OFFSET($GY$3,0,0,'Données projet'!$E$18+1,1))-AVERAGE(OFFSET($H$3,0,0,'Données projet'!$E$18+1,1))</f>
        <v>268.57152522489537</v>
      </c>
      <c r="HA18" s="62">
        <f t="shared" si="52"/>
        <v>311.80303557283207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3.75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13.75</v>
      </c>
      <c r="H19" s="70">
        <f t="shared" si="1"/>
        <v>201.66666666666666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265.92077433707675</v>
      </c>
      <c r="S19" s="62">
        <f ca="1">AVERAGE(OFFSET($R$3,0,0,'Données projet'!$E$9+1,1))-AVERAGE(OFFSET($H$3,0,0,'Données projet'!$E$9+1,1))</f>
        <v>461.02780119093666</v>
      </c>
      <c r="T19" s="62">
        <f t="shared" si="34"/>
        <v>245.70016468438834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16.753972200658836</v>
      </c>
      <c r="AK19" s="14">
        <f t="shared" si="35"/>
        <v>5.5613796648680189</v>
      </c>
      <c r="AL19" s="22">
        <f t="shared" si="4"/>
        <v>38.865904499125939</v>
      </c>
      <c r="AM19" s="62">
        <f t="shared" si="5"/>
        <v>263.12799449626704</v>
      </c>
      <c r="AN19" s="62">
        <f ca="1">AVERAGE(OFFSET($AM$3,0,0,'Données projet'!$E$10+1,1))-AVERAGE(OFFSET($H$3,0,0,'Données projet'!$E$10+1,1))</f>
        <v>434.22500776975596</v>
      </c>
      <c r="AO19" s="62">
        <f t="shared" si="36"/>
        <v>232.59777933076705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6.2820512820512802</v>
      </c>
      <c r="BD19" s="13">
        <f>IF('Données projet'!$A$88&gt;35,BD18+BC19-BL18,IF(A19&lt;'Données projet'!$A$88,$BA$205^A19,IF(A19='Données projet'!$A$88,'Données projet'!$B$88,BD18+BC19-BL18)))</f>
        <v>42.820512820512818</v>
      </c>
      <c r="BE19" s="14">
        <f>BD19*VLOOKUP('Données projet'!$B$11,Paramètres!$A$1:$I$89,3,0)*VLOOKUP('Données projet'!$B$11,Paramètres!$A$1:$I$89,5,0)</f>
        <v>40.747999999999998</v>
      </c>
      <c r="BF19" s="14">
        <f t="shared" si="37"/>
        <v>12.196690104400222</v>
      </c>
      <c r="BG19" s="22">
        <f t="shared" si="7"/>
        <v>92.212001931830386</v>
      </c>
      <c r="BH19" s="62">
        <f t="shared" si="8"/>
        <v>316.47409192897146</v>
      </c>
      <c r="BI19" s="62">
        <f ca="1">AVERAGE(OFFSET($BH$3,0,0,'Données projet'!$E$11+1,1))-AVERAGE(OFFSET($H$3,0,0,'Données projet'!$E$11+1,1))</f>
        <v>393.3005580838161</v>
      </c>
      <c r="BJ19" s="62">
        <f t="shared" si="38"/>
        <v>295.86019897822757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13.760000000000002</v>
      </c>
      <c r="BY19" s="13">
        <f>IF('Données projet'!$A$114&gt;35,BY18+BX19-CG18,IF(A19&lt;'Données projet'!$A$114,$BV$205^A19,IF(A19='Données projet'!$A$114,'Données projet'!$B$114,BY18+BX19-CG18)))</f>
        <v>78.260000000000005</v>
      </c>
      <c r="BZ19" s="14">
        <f>BY19*VLOOKUP('Données projet'!$B$12,Paramètres!$A$1:$I$89,3,0)*VLOOKUP('Données projet'!$B$12,Paramètres!$A$1:$I$89,5,0)</f>
        <v>62.263656000000012</v>
      </c>
      <c r="CA19" s="14">
        <f t="shared" si="39"/>
        <v>17.739352894036266</v>
      </c>
      <c r="CB19" s="22">
        <f t="shared" si="10"/>
        <v>139.33857382377983</v>
      </c>
      <c r="CC19" s="62">
        <f t="shared" si="11"/>
        <v>363.60066382092089</v>
      </c>
      <c r="CD19" s="62">
        <f ca="1">AVERAGE(OFFSET($CC$3,0,0,'Données projet'!$E$12+1,1))-AVERAGE(OFFSET($H$3,0,0,'Données projet'!$E$12+1,1))</f>
        <v>388.52230330563884</v>
      </c>
      <c r="CE19" s="62">
        <f t="shared" si="40"/>
        <v>418.94833960687333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13.760000000000002</v>
      </c>
      <c r="CT19" s="13">
        <f>IF('Données projet'!$A$140&gt;35,CT18+CS19-DB18,IF(A19&lt;'Données projet'!$A$140,$CQ$205^A19,IF(A19='Données projet'!$A$140,'Données projet'!$B$140,CT18+CS19-DB18)))</f>
        <v>78.260000000000005</v>
      </c>
      <c r="CU19" s="18">
        <f>CT19*VLOOKUP('Données projet'!$B$13,Paramètres!$A$1:$I$89,3,0)*VLOOKUP('Données projet'!$B$13,Paramètres!$A$1:$I$89,5,0)</f>
        <v>57.380232000000007</v>
      </c>
      <c r="CV19" s="14">
        <f t="shared" si="41"/>
        <v>16.504198297054995</v>
      </c>
      <c r="CW19" s="22">
        <f t="shared" si="13"/>
        <v>128.68204943403745</v>
      </c>
      <c r="CX19" s="62">
        <f t="shared" si="14"/>
        <v>352.94413943117854</v>
      </c>
      <c r="CY19" s="62">
        <f ca="1">AVERAGE(OFFSET($CX$3,0,0,'Données projet'!$E$13+1,1))-AVERAGE(OFFSET($H$3,0,0,'Données projet'!$E$13+1,1))</f>
        <v>362.38131866207266</v>
      </c>
      <c r="CZ19" s="62">
        <f t="shared" si="42"/>
        <v>390.74498763200336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</v>
      </c>
      <c r="DO19" s="13">
        <f>IF('Données projet'!$A$166&gt;35,DO18+DN19-DW18,IF(A19&lt;'Données projet'!$A$166,$DL$205^A19,IF(A19='Données projet'!$A$166,'Données projet'!$B$166,DO18+DN19-DW18)))</f>
        <v>54.999999999999993</v>
      </c>
      <c r="DP19" s="18">
        <f>DO19*VLOOKUP('Données projet'!$B$14,Paramètres!$A$1:$I$89,3,0)*VLOOKUP('Données projet'!$B$14,Paramètres!$A$1:$I$89,5,0)</f>
        <v>48.048000000000002</v>
      </c>
      <c r="DQ19" s="14">
        <f t="shared" si="43"/>
        <v>14.108484750160615</v>
      </c>
      <c r="DR19" s="22">
        <f t="shared" si="16"/>
        <v>108.25587760652974</v>
      </c>
      <c r="DS19" s="62">
        <f t="shared" si="17"/>
        <v>332.51796760367085</v>
      </c>
      <c r="DT19" s="62">
        <f ca="1">AVERAGE(OFFSET($DS$3,0,0,'Données projet'!$E$14+1,1))-AVERAGE(OFFSET($H$3,0,0,'Données projet'!$E$14+1,1))</f>
        <v>334.4692012109935</v>
      </c>
      <c r="DU19" s="62">
        <f t="shared" si="44"/>
        <v>316.360405424036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10</v>
      </c>
      <c r="EJ19" s="13">
        <f>IF('Données projet'!$A$192&gt;35,EJ18+EI19-ER18,IF(A19&lt;'Données projet'!$A$192,$EG$205^A19,IF(A19='Données projet'!$A$192,'Données projet'!$B$192,EJ18+EI19-ER18)))</f>
        <v>58.790877015554649</v>
      </c>
      <c r="EK19" s="18">
        <f>EJ19*VLOOKUP('Données projet'!$B$15,Paramètres!$A$1:$I$89,3,0)*VLOOKUP('Données projet'!$B$15,Paramètres!$A$1:$I$89,5,0)</f>
        <v>32.864100251695049</v>
      </c>
      <c r="EL19" s="14">
        <f t="shared" si="45"/>
        <v>10.086195929139501</v>
      </c>
      <c r="EM19" s="22">
        <f t="shared" si="19"/>
        <v>74.805099181620164</v>
      </c>
      <c r="EN19" s="62">
        <f t="shared" si="20"/>
        <v>299.06718917876128</v>
      </c>
      <c r="EO19" s="62">
        <f ca="1">AVERAGE(OFFSET($EN$3,0,0,'Données projet'!$E$15+1,1))-AVERAGE(OFFSET($H$3,0,0,'Données projet'!$E$15+1,1))</f>
        <v>390.09289316045653</v>
      </c>
      <c r="EP19" s="62">
        <f t="shared" si="46"/>
        <v>364.34913542817617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2.9333333333333331</v>
      </c>
      <c r="FE19" s="13">
        <f>IF('Données projet'!$A$218&gt;35,FE18+FD19-FM18,IF(A19&lt;'Données projet'!$A$218,$FB$205^A19,IF(A19='Données projet'!$A$218,'Données projet'!$B$218,FE18+FD19-FM18)))</f>
        <v>10.890740880360845</v>
      </c>
      <c r="FF19" s="18">
        <f>FE19*VLOOKUP('Données projet'!$B$16,Paramètres!$A$1:$I$89,3,0)*VLOOKUP('Données projet'!$B$16,Paramètres!$A$1:$I$89,5,0)</f>
        <v>5.0968667320088752</v>
      </c>
      <c r="FG19" s="14">
        <f t="shared" si="47"/>
        <v>1.9432346307312112</v>
      </c>
      <c r="FH19" s="22">
        <f t="shared" si="22"/>
        <v>12.261509873438984</v>
      </c>
      <c r="FI19" s="62">
        <f t="shared" si="23"/>
        <v>236.52359987058009</v>
      </c>
      <c r="FJ19" s="62">
        <f ca="1">AVERAGE(OFFSET($FI$3,0,0,'Données projet'!$E$16+1,1))-AVERAGE(OFFSET($H$3,0,0,'Données projet'!$E$16+1,1))</f>
        <v>344.55118007058775</v>
      </c>
      <c r="FK19" s="62">
        <f t="shared" si="48"/>
        <v>144.16931602355001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6.2222222222222223</v>
      </c>
      <c r="FZ19" s="13">
        <f>IF('Données projet'!$A$244&gt;35,FZ18+FY19-GH18,IF(A19&lt;'Données projet'!$A$244,$FW$205^A19,IF(A19='Données projet'!$A$244,'Données projet'!$B$244,FZ18+FY19-GH18)))</f>
        <v>66.302076663695672</v>
      </c>
      <c r="GA19" s="18">
        <f>FZ19*VLOOKUP('Données projet'!$B$17,Paramètres!$A$1:$I$89,3,0)*VLOOKUP('Données projet'!$B$17,Paramètres!$A$1:$I$89,5,0)</f>
        <v>41.372495838146101</v>
      </c>
      <c r="GB19" s="14">
        <f t="shared" si="49"/>
        <v>12.361709728704412</v>
      </c>
      <c r="GC19" s="22">
        <f t="shared" si="25"/>
        <v>93.587074695597963</v>
      </c>
      <c r="GD19" s="62">
        <f t="shared" si="26"/>
        <v>317.84916469273907</v>
      </c>
      <c r="GE19" s="62">
        <f ca="1">AVERAGE(OFFSET($GD$3,0,0,'Données projet'!$E$17+1,1))-AVERAGE(OFFSET($H$3,0,0,'Données projet'!$E$17+1,1))</f>
        <v>252.60122125520482</v>
      </c>
      <c r="GF19" s="62">
        <f t="shared" si="50"/>
        <v>357.56833754121317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10</v>
      </c>
      <c r="GU19" s="13">
        <f>IF('Données projet'!$A$270&gt;35,GU18+GT19-HC18,IF(A19&lt;'Données projet'!$A$270,$GR$205^A19,IF(A19='Données projet'!$A$270,'Données projet'!$B$270,GU18+GT19-HC18)))</f>
        <v>59</v>
      </c>
      <c r="GV19" s="18">
        <f>GU19*VLOOKUP('Données projet'!$B$18,Paramètres!$A$1:$I$89,3,0)*VLOOKUP('Données projet'!$B$18,Paramètres!$A$1:$I$89,5,0)</f>
        <v>47.860800000000005</v>
      </c>
      <c r="GW19" s="14">
        <f t="shared" si="51"/>
        <v>14.059903887836867</v>
      </c>
      <c r="GX19" s="22">
        <f t="shared" si="28"/>
        <v>107.84522593798255</v>
      </c>
      <c r="GY19" s="62">
        <f t="shared" si="29"/>
        <v>332.10731593512367</v>
      </c>
      <c r="GZ19" s="62">
        <f ca="1">AVERAGE(OFFSET($GY$3,0,0,'Données projet'!$E$18+1,1))-AVERAGE(OFFSET($H$3,0,0,'Données projet'!$E$18+1,1))</f>
        <v>268.57152522489537</v>
      </c>
      <c r="HA19" s="62">
        <f t="shared" si="52"/>
        <v>311.80303557283207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3.75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13.75</v>
      </c>
      <c r="H20" s="70">
        <f t="shared" si="1"/>
        <v>201.66666666666666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276.33706539543266</v>
      </c>
      <c r="S20" s="62">
        <f ca="1">AVERAGE(OFFSET($R$3,0,0,'Données projet'!$E$9+1,1))-AVERAGE(OFFSET($H$3,0,0,'Données projet'!$E$9+1,1))</f>
        <v>461.02780119093666</v>
      </c>
      <c r="T20" s="62">
        <f t="shared" si="34"/>
        <v>245.70016468438834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20.196692580818372</v>
      </c>
      <c r="AK20" s="14">
        <f t="shared" si="35"/>
        <v>6.5599072384749233</v>
      </c>
      <c r="AL20" s="22">
        <f t="shared" si="4"/>
        <v>46.601078018602493</v>
      </c>
      <c r="AM20" s="62">
        <f t="shared" si="5"/>
        <v>272.98678236661817</v>
      </c>
      <c r="AN20" s="62">
        <f ca="1">AVERAGE(OFFSET($AM$3,0,0,'Données projet'!$E$10+1,1))-AVERAGE(OFFSET($H$3,0,0,'Données projet'!$E$10+1,1))</f>
        <v>434.22500776975596</v>
      </c>
      <c r="AO20" s="62">
        <f t="shared" si="36"/>
        <v>232.59777933076705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6.2820512820512802</v>
      </c>
      <c r="BD20" s="13">
        <f>IF('Données projet'!$A$88&gt;35,BD19+BC20-BL19,IF(A20&lt;'Données projet'!$A$88,$BA$205^A20,IF(A20='Données projet'!$A$88,'Données projet'!$B$88,BD19+BC20-BL19)))</f>
        <v>49.102564102564095</v>
      </c>
      <c r="BE20" s="14">
        <f>BD20*VLOOKUP('Données projet'!$B$11,Paramètres!$A$1:$I$89,3,0)*VLOOKUP('Données projet'!$B$11,Paramètres!$A$1:$I$89,5,0)</f>
        <v>46.725999999999992</v>
      </c>
      <c r="BF20" s="14">
        <f t="shared" si="37"/>
        <v>13.764931291666562</v>
      </c>
      <c r="BG20" s="22">
        <f t="shared" si="7"/>
        <v>105.35503866631923</v>
      </c>
      <c r="BH20" s="62">
        <f t="shared" si="8"/>
        <v>331.7407430143349</v>
      </c>
      <c r="BI20" s="62">
        <f ca="1">AVERAGE(OFFSET($BH$3,0,0,'Données projet'!$E$11+1,1))-AVERAGE(OFFSET($H$3,0,0,'Données projet'!$E$11+1,1))</f>
        <v>393.3005580838161</v>
      </c>
      <c r="BJ20" s="62">
        <f t="shared" si="38"/>
        <v>295.86019897822757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13.760000000000002</v>
      </c>
      <c r="BY20" s="13">
        <f>IF('Données projet'!$A$114&gt;35,BY19+BX20-CG19,IF(A20&lt;'Données projet'!$A$114,$BV$205^A20,IF(A20='Données projet'!$A$114,'Données projet'!$B$114,BY19+BX20-CG19)))</f>
        <v>92.02000000000001</v>
      </c>
      <c r="BZ20" s="14">
        <f>BY20*VLOOKUP('Données projet'!$B$12,Paramètres!$A$1:$I$89,3,0)*VLOOKUP('Données projet'!$B$12,Paramètres!$A$1:$I$89,5,0)</f>
        <v>73.211112000000014</v>
      </c>
      <c r="CA20" s="14">
        <f t="shared" si="39"/>
        <v>20.468796348022103</v>
      </c>
      <c r="CB20" s="22">
        <f t="shared" si="10"/>
        <v>163.15917370613849</v>
      </c>
      <c r="CC20" s="62">
        <f t="shared" si="11"/>
        <v>389.54487805415414</v>
      </c>
      <c r="CD20" s="62">
        <f ca="1">AVERAGE(OFFSET($CC$3,0,0,'Données projet'!$E$12+1,1))-AVERAGE(OFFSET($H$3,0,0,'Données projet'!$E$12+1,1))</f>
        <v>388.52230330563884</v>
      </c>
      <c r="CE20" s="62">
        <f t="shared" si="40"/>
        <v>418.94833960687333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13.760000000000002</v>
      </c>
      <c r="CT20" s="13">
        <f>IF('Données projet'!$A$140&gt;35,CT19+CS20-DB19,IF(A20&lt;'Données projet'!$A$140,$CQ$205^A20,IF(A20='Données projet'!$A$140,'Données projet'!$B$140,CT19+CS20-DB19)))</f>
        <v>92.02000000000001</v>
      </c>
      <c r="CU20" s="18">
        <f>CT20*VLOOKUP('Données projet'!$B$13,Paramètres!$A$1:$I$89,3,0)*VLOOKUP('Données projet'!$B$13,Paramètres!$A$1:$I$89,5,0)</f>
        <v>67.469064000000003</v>
      </c>
      <c r="CV20" s="14">
        <f t="shared" si="41"/>
        <v>19.043596226295445</v>
      </c>
      <c r="CW20" s="22">
        <f t="shared" si="13"/>
        <v>150.67621656079791</v>
      </c>
      <c r="CX20" s="62">
        <f t="shared" si="14"/>
        <v>377.06192090881359</v>
      </c>
      <c r="CY20" s="62">
        <f ca="1">AVERAGE(OFFSET($CX$3,0,0,'Données projet'!$E$13+1,1))-AVERAGE(OFFSET($H$3,0,0,'Données projet'!$E$13+1,1))</f>
        <v>362.38131866207266</v>
      </c>
      <c r="CZ20" s="62">
        <f t="shared" si="42"/>
        <v>390.74498763200336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</v>
      </c>
      <c r="DO20" s="13">
        <f>IF('Données projet'!$A$166&gt;35,DO19+DN20-DW19,IF(A20&lt;'Données projet'!$A$166,$DL$205^A20,IF(A20='Données projet'!$A$166,'Données projet'!$B$166,DO19+DN20-DW19)))</f>
        <v>62.999999999999993</v>
      </c>
      <c r="DP20" s="18">
        <f>DO20*VLOOKUP('Données projet'!$B$14,Paramètres!$A$1:$I$89,3,0)*VLOOKUP('Données projet'!$B$14,Paramètres!$A$1:$I$89,5,0)</f>
        <v>55.036800000000007</v>
      </c>
      <c r="DQ20" s="14">
        <f t="shared" si="43"/>
        <v>15.907180538864345</v>
      </c>
      <c r="DR20" s="22">
        <f t="shared" si="16"/>
        <v>123.56076610518875</v>
      </c>
      <c r="DS20" s="62">
        <f t="shared" si="17"/>
        <v>349.94647045320437</v>
      </c>
      <c r="DT20" s="62">
        <f ca="1">AVERAGE(OFFSET($DS$3,0,0,'Données projet'!$E$14+1,1))-AVERAGE(OFFSET($H$3,0,0,'Données projet'!$E$14+1,1))</f>
        <v>334.4692012109935</v>
      </c>
      <c r="DU20" s="62">
        <f t="shared" si="44"/>
        <v>316.360405424036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10</v>
      </c>
      <c r="EJ20" s="13">
        <f>IF('Données projet'!$A$192&gt;35,EJ19+EI20-ER19,IF(A20&lt;'Données projet'!$A$192,$EG$205^A20,IF(A20='Données projet'!$A$192,'Données projet'!$B$192,EJ19+EI20-ER19)))</f>
        <v>75.838862427725871</v>
      </c>
      <c r="EK20" s="18">
        <f>EJ20*VLOOKUP('Données projet'!$B$15,Paramètres!$A$1:$I$89,3,0)*VLOOKUP('Données projet'!$B$15,Paramètres!$A$1:$I$89,5,0)</f>
        <v>42.393924097098761</v>
      </c>
      <c r="EL20" s="14">
        <f t="shared" si="45"/>
        <v>12.630994372698538</v>
      </c>
      <c r="EM20" s="22">
        <f t="shared" si="19"/>
        <v>95.835066334896965</v>
      </c>
      <c r="EN20" s="62">
        <f t="shared" si="20"/>
        <v>322.22077068291264</v>
      </c>
      <c r="EO20" s="62">
        <f ca="1">AVERAGE(OFFSET($EN$3,0,0,'Données projet'!$E$15+1,1))-AVERAGE(OFFSET($H$3,0,0,'Données projet'!$E$15+1,1))</f>
        <v>390.09289316045653</v>
      </c>
      <c r="EP20" s="62">
        <f t="shared" si="46"/>
        <v>364.34913542817617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2.9333333333333331</v>
      </c>
      <c r="FE20" s="13">
        <f>IF('Données projet'!$A$218&gt;35,FE19+FD20-FM19,IF(A20&lt;'Données projet'!$A$218,$FB$205^A20,IF(A20='Données projet'!$A$218,'Données projet'!$B$218,FE19+FD20-FM19)))</f>
        <v>12.64368053884715</v>
      </c>
      <c r="FF20" s="18">
        <f>FE20*VLOOKUP('Données projet'!$B$16,Paramètres!$A$1:$I$89,3,0)*VLOOKUP('Données projet'!$B$16,Paramètres!$A$1:$I$89,5,0)</f>
        <v>5.9172424921804661</v>
      </c>
      <c r="FG20" s="14">
        <f t="shared" si="47"/>
        <v>2.2171584835892797</v>
      </c>
      <c r="FH20" s="22">
        <f t="shared" si="22"/>
        <v>14.167415032798971</v>
      </c>
      <c r="FI20" s="62">
        <f t="shared" si="23"/>
        <v>240.55311938081462</v>
      </c>
      <c r="FJ20" s="62">
        <f ca="1">AVERAGE(OFFSET($FI$3,0,0,'Données projet'!$E$16+1,1))-AVERAGE(OFFSET($H$3,0,0,'Données projet'!$E$16+1,1))</f>
        <v>344.55118007058775</v>
      </c>
      <c r="FK20" s="62">
        <f t="shared" si="48"/>
        <v>144.16931602355001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6.2222222222222223</v>
      </c>
      <c r="FZ20" s="13">
        <f>IF('Données projet'!$A$244&gt;35,FZ19+FY20-GH19,IF(A20&lt;'Données projet'!$A$244,$FW$205^A20,IF(A20='Données projet'!$A$244,'Données projet'!$B$244,FZ19+FY20-GH19)))</f>
        <v>86.1732707185582</v>
      </c>
      <c r="GA20" s="18">
        <f>FZ20*VLOOKUP('Données projet'!$B$17,Paramètres!$A$1:$I$89,3,0)*VLOOKUP('Données projet'!$B$17,Paramètres!$A$1:$I$89,5,0)</f>
        <v>53.772120928380318</v>
      </c>
      <c r="GB20" s="14">
        <f t="shared" si="49"/>
        <v>15.583764526657339</v>
      </c>
      <c r="GC20" s="22">
        <f t="shared" si="25"/>
        <v>120.79483383419057</v>
      </c>
      <c r="GD20" s="62">
        <f t="shared" si="26"/>
        <v>347.18053818220619</v>
      </c>
      <c r="GE20" s="62">
        <f ca="1">AVERAGE(OFFSET($GD$3,0,0,'Données projet'!$E$17+1,1))-AVERAGE(OFFSET($H$3,0,0,'Données projet'!$E$17+1,1))</f>
        <v>252.60122125520482</v>
      </c>
      <c r="GF20" s="62">
        <f t="shared" si="50"/>
        <v>357.56833754121317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10</v>
      </c>
      <c r="GU20" s="13">
        <f>IF('Données projet'!$A$270&gt;35,GU19+GT20-HC19,IF(A20&lt;'Données projet'!$A$270,$GR$205^A20,IF(A20='Données projet'!$A$270,'Données projet'!$B$270,GU19+GT20-HC19)))</f>
        <v>69</v>
      </c>
      <c r="GV20" s="18">
        <f>GU20*VLOOKUP('Données projet'!$B$18,Paramètres!$A$1:$I$89,3,0)*VLOOKUP('Données projet'!$B$18,Paramètres!$A$1:$I$89,5,0)</f>
        <v>55.972800000000007</v>
      </c>
      <c r="GW20" s="14">
        <f t="shared" si="51"/>
        <v>16.145985978099571</v>
      </c>
      <c r="GX20" s="22">
        <f t="shared" si="28"/>
        <v>125.60688557852342</v>
      </c>
      <c r="GY20" s="62">
        <f t="shared" si="29"/>
        <v>351.99258992653904</v>
      </c>
      <c r="GZ20" s="62">
        <f ca="1">AVERAGE(OFFSET($GY$3,0,0,'Données projet'!$E$18+1,1))-AVERAGE(OFFSET($H$3,0,0,'Données projet'!$E$18+1,1))</f>
        <v>268.57152522489537</v>
      </c>
      <c r="HA20" s="62">
        <f t="shared" si="52"/>
        <v>311.80303557283207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3.75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13.75</v>
      </c>
      <c r="H21" s="70">
        <f t="shared" si="1"/>
        <v>201.66666666666666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288.39370229024951</v>
      </c>
      <c r="S21" s="62">
        <f ca="1">AVERAGE(OFFSET($R$3,0,0,'Données projet'!$E$9+1,1))-AVERAGE(OFFSET($H$3,0,0,'Données projet'!$E$9+1,1))</f>
        <v>461.02780119093666</v>
      </c>
      <c r="T21" s="62">
        <f t="shared" si="34"/>
        <v>245.70016468438834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24.346846605609343</v>
      </c>
      <c r="AK21" s="14">
        <f t="shared" si="35"/>
        <v>7.7377171800078735</v>
      </c>
      <c r="AL21" s="22">
        <f t="shared" si="4"/>
        <v>55.880615259949991</v>
      </c>
      <c r="AM21" s="62">
        <f t="shared" si="5"/>
        <v>284.37429682061895</v>
      </c>
      <c r="AN21" s="62">
        <f ca="1">AVERAGE(OFFSET($AM$3,0,0,'Données projet'!$E$10+1,1))-AVERAGE(OFFSET($H$3,0,0,'Données projet'!$E$10+1,1))</f>
        <v>434.22500776975596</v>
      </c>
      <c r="AO21" s="62">
        <f t="shared" si="36"/>
        <v>232.59777933076705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6.2820512820512802</v>
      </c>
      <c r="BD21" s="13">
        <f>IF('Données projet'!$A$88&gt;35,BD20+BC21-BL20,IF(A21&lt;'Données projet'!$A$88,$BA$205^A21,IF(A21='Données projet'!$A$88,'Données projet'!$B$88,BD20+BC21-BL20)))</f>
        <v>55.384615384615373</v>
      </c>
      <c r="BE21" s="14">
        <f>BD21*VLOOKUP('Données projet'!$B$11,Paramètres!$A$1:$I$89,3,0)*VLOOKUP('Données projet'!$B$11,Paramètres!$A$1:$I$89,5,0)</f>
        <v>52.703999999999994</v>
      </c>
      <c r="BF21" s="14">
        <f t="shared" si="37"/>
        <v>15.30992453291827</v>
      </c>
      <c r="BG21" s="22">
        <f t="shared" si="7"/>
        <v>118.45758522816597</v>
      </c>
      <c r="BH21" s="62">
        <f t="shared" si="8"/>
        <v>346.95126678883497</v>
      </c>
      <c r="BI21" s="62">
        <f ca="1">AVERAGE(OFFSET($BH$3,0,0,'Données projet'!$E$11+1,1))-AVERAGE(OFFSET($H$3,0,0,'Données projet'!$E$11+1,1))</f>
        <v>393.3005580838161</v>
      </c>
      <c r="BJ21" s="62">
        <f t="shared" si="38"/>
        <v>295.86019897822757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13.760000000000002</v>
      </c>
      <c r="BY21" s="13">
        <f>IF('Données projet'!$A$114&gt;35,BY20+BX21-CG20,IF(A21&lt;'Données projet'!$A$114,$BV$205^A21,IF(A21='Données projet'!$A$114,'Données projet'!$B$114,BY20+BX21-CG20)))</f>
        <v>105.78000000000002</v>
      </c>
      <c r="BZ21" s="14">
        <f>BY21*VLOOKUP('Données projet'!$B$12,Paramètres!$A$1:$I$89,3,0)*VLOOKUP('Données projet'!$B$12,Paramètres!$A$1:$I$89,5,0)</f>
        <v>84.158568000000017</v>
      </c>
      <c r="CA21" s="14">
        <f t="shared" si="39"/>
        <v>23.15095738591862</v>
      </c>
      <c r="CB21" s="22">
        <f t="shared" si="10"/>
        <v>186.89742338047495</v>
      </c>
      <c r="CC21" s="62">
        <f t="shared" si="11"/>
        <v>415.39110494114391</v>
      </c>
      <c r="CD21" s="62">
        <f ca="1">AVERAGE(OFFSET($CC$3,0,0,'Données projet'!$E$12+1,1))-AVERAGE(OFFSET($H$3,0,0,'Données projet'!$E$12+1,1))</f>
        <v>388.52230330563884</v>
      </c>
      <c r="CE21" s="62">
        <f t="shared" si="40"/>
        <v>418.94833960687333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13.760000000000002</v>
      </c>
      <c r="CT21" s="13">
        <f>IF('Données projet'!$A$140&gt;35,CT20+CS21-DB20,IF(A21&lt;'Données projet'!$A$140,$CQ$205^A21,IF(A21='Données projet'!$A$140,'Données projet'!$B$140,CT20+CS21-DB20)))</f>
        <v>105.78000000000002</v>
      </c>
      <c r="CU21" s="18">
        <f>CT21*VLOOKUP('Données projet'!$B$13,Paramètres!$A$1:$I$89,3,0)*VLOOKUP('Données projet'!$B$13,Paramètres!$A$1:$I$89,5,0)</f>
        <v>77.557896000000014</v>
      </c>
      <c r="CV21" s="14">
        <f t="shared" si="41"/>
        <v>21.539003916671845</v>
      </c>
      <c r="CW21" s="22">
        <f t="shared" si="13"/>
        <v>172.59376735487015</v>
      </c>
      <c r="CX21" s="62">
        <f t="shared" si="14"/>
        <v>401.08744891553914</v>
      </c>
      <c r="CY21" s="62">
        <f ca="1">AVERAGE(OFFSET($CX$3,0,0,'Données projet'!$E$13+1,1))-AVERAGE(OFFSET($H$3,0,0,'Données projet'!$E$13+1,1))</f>
        <v>362.38131866207266</v>
      </c>
      <c r="CZ21" s="62">
        <f t="shared" si="42"/>
        <v>390.74498763200336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</v>
      </c>
      <c r="DO21" s="13">
        <f>IF('Données projet'!$A$166&gt;35,DO20+DN21-DW20,IF(A21&lt;'Données projet'!$A$166,$DL$205^A21,IF(A21='Données projet'!$A$166,'Données projet'!$B$166,DO20+DN21-DW20)))</f>
        <v>71</v>
      </c>
      <c r="DP21" s="18">
        <f>DO21*VLOOKUP('Données projet'!$B$14,Paramètres!$A$1:$I$89,3,0)*VLOOKUP('Données projet'!$B$14,Paramètres!$A$1:$I$89,5,0)</f>
        <v>62.025600000000011</v>
      </c>
      <c r="DQ21" s="14">
        <f t="shared" si="43"/>
        <v>17.679410406677221</v>
      </c>
      <c r="DR21" s="22">
        <f t="shared" si="16"/>
        <v>138.8195597916295</v>
      </c>
      <c r="DS21" s="62">
        <f t="shared" si="17"/>
        <v>367.31324135229852</v>
      </c>
      <c r="DT21" s="62">
        <f ca="1">AVERAGE(OFFSET($DS$3,0,0,'Données projet'!$E$14+1,1))-AVERAGE(OFFSET($H$3,0,0,'Données projet'!$E$14+1,1))</f>
        <v>334.4692012109935</v>
      </c>
      <c r="DU21" s="62">
        <f t="shared" si="44"/>
        <v>316.360405424036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10</v>
      </c>
      <c r="EJ21" s="13">
        <f>IF('Données projet'!$A$192&gt;35,EJ20+EI21-ER20,IF(A21&lt;'Données projet'!$A$192,$EG$205^A21,IF(A21='Données projet'!$A$192,'Données projet'!$B$192,EJ20+EI21-ER20)))</f>
        <v>97.830366653823091</v>
      </c>
      <c r="EK21" s="18">
        <f>EJ21*VLOOKUP('Données projet'!$B$15,Paramètres!$A$1:$I$89,3,0)*VLOOKUP('Données projet'!$B$15,Paramètres!$A$1:$I$89,5,0)</f>
        <v>54.687174959487109</v>
      </c>
      <c r="EL21" s="14">
        <f t="shared" si="45"/>
        <v>15.817858384271306</v>
      </c>
      <c r="EM21" s="22">
        <f t="shared" si="19"/>
        <v>122.79626640704589</v>
      </c>
      <c r="EN21" s="62">
        <f t="shared" si="20"/>
        <v>351.28994796771485</v>
      </c>
      <c r="EO21" s="62">
        <f ca="1">AVERAGE(OFFSET($EN$3,0,0,'Données projet'!$E$15+1,1))-AVERAGE(OFFSET($H$3,0,0,'Données projet'!$E$15+1,1))</f>
        <v>390.09289316045653</v>
      </c>
      <c r="EP21" s="62">
        <f t="shared" si="46"/>
        <v>364.34913542817617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2.9333333333333331</v>
      </c>
      <c r="FE21" s="13">
        <f>IF('Données projet'!$A$218&gt;35,FE20+FD21-FM20,IF(A21&lt;'Données projet'!$A$218,$FB$205^A21,IF(A21='Données projet'!$A$218,'Données projet'!$B$218,FE20+FD21-FM20)))</f>
        <v>14.678767893256991</v>
      </c>
      <c r="FF21" s="18">
        <f>FE21*VLOOKUP('Données projet'!$B$16,Paramètres!$A$1:$I$89,3,0)*VLOOKUP('Données projet'!$B$16,Paramètres!$A$1:$I$89,5,0)</f>
        <v>6.8696633740442712</v>
      </c>
      <c r="FG21" s="14">
        <f t="shared" si="47"/>
        <v>2.5296954179445494</v>
      </c>
      <c r="FH21" s="22">
        <f t="shared" si="22"/>
        <v>16.370549896047194</v>
      </c>
      <c r="FI21" s="62">
        <f t="shared" si="23"/>
        <v>244.8642314567162</v>
      </c>
      <c r="FJ21" s="62">
        <f ca="1">AVERAGE(OFFSET($FI$3,0,0,'Données projet'!$E$16+1,1))-AVERAGE(OFFSET($H$3,0,0,'Données projet'!$E$16+1,1))</f>
        <v>344.55118007058775</v>
      </c>
      <c r="FK21" s="62">
        <f t="shared" si="48"/>
        <v>144.16931602355001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112</v>
      </c>
      <c r="FX21" s="13">
        <f>VLOOKUP(A21,'Données projet'!$A$243:$I$263,9,0)</f>
        <v>6.2222222222222223</v>
      </c>
      <c r="FY21" s="13">
        <f t="array" ref="FY21">INDEX(FX:FX,MIN(IF(ISNUMBER(FX21:FX217),ROW(FX21:FX217),"")))</f>
        <v>6.2222222222222223</v>
      </c>
      <c r="FZ21" s="13">
        <f>IF('Données projet'!$A$244&gt;35,FZ20+FY21-GH20,IF(A21&lt;'Données projet'!$A$244,$FW$205^A21,IF(A21='Données projet'!$A$244,'Données projet'!$B$244,FZ20+FY21-GH20)))</f>
        <v>112</v>
      </c>
      <c r="GA21" s="18">
        <f>FZ21*VLOOKUP('Données projet'!$B$17,Paramètres!$A$1:$I$89,3,0)*VLOOKUP('Données projet'!$B$17,Paramètres!$A$1:$I$89,5,0)</f>
        <v>69.888000000000005</v>
      </c>
      <c r="GB21" s="14">
        <f t="shared" si="49"/>
        <v>19.645641432461961</v>
      </c>
      <c r="GC21" s="22">
        <f t="shared" si="25"/>
        <v>155.93775882820458</v>
      </c>
      <c r="GD21" s="62">
        <f t="shared" si="26"/>
        <v>384.43144038887357</v>
      </c>
      <c r="GE21" s="62">
        <f ca="1">AVERAGE(OFFSET($GD$3,0,0,'Données projet'!$E$17+1,1))-AVERAGE(OFFSET($H$3,0,0,'Données projet'!$E$17+1,1))</f>
        <v>252.60122125520482</v>
      </c>
      <c r="GF21" s="62">
        <f t="shared" si="50"/>
        <v>357.56833754121317</v>
      </c>
      <c r="GG21" s="16">
        <f>IF(ISNA(VLOOKUP(A21,'Données projet'!$A$243:$I$263,3,0)),0,VLOOKUP(A21,'Données projet'!$A$243:$I$263,3,0))</f>
        <v>1</v>
      </c>
      <c r="GH21" s="16">
        <f>IF(ISNA(VLOOKUP(A21,'Données projet'!$A$243:$I$263,4,0)),0,VLOOKUP(A21,'Données projet'!$A$243:$I$263,4,0))</f>
        <v>20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0.5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7.0651295365651476</v>
      </c>
      <c r="GO21" s="23">
        <f t="shared" si="27"/>
        <v>7.0651295365651476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10</v>
      </c>
      <c r="GU21" s="13">
        <f>IF('Données projet'!$A$270&gt;35,GU20+GT21-HC20,IF(A21&lt;'Données projet'!$A$270,$GR$205^A21,IF(A21='Données projet'!$A$270,'Données projet'!$B$270,GU20+GT21-HC20)))</f>
        <v>79</v>
      </c>
      <c r="GV21" s="18">
        <f>GU21*VLOOKUP('Données projet'!$B$18,Paramètres!$A$1:$I$89,3,0)*VLOOKUP('Données projet'!$B$18,Paramètres!$A$1:$I$89,5,0)</f>
        <v>64.084800000000001</v>
      </c>
      <c r="GW21" s="14">
        <f t="shared" si="51"/>
        <v>18.197042620605469</v>
      </c>
      <c r="GX21" s="22">
        <f t="shared" si="28"/>
        <v>143.30754256422119</v>
      </c>
      <c r="GY21" s="62">
        <f t="shared" si="29"/>
        <v>371.80122412489015</v>
      </c>
      <c r="GZ21" s="62">
        <f ca="1">AVERAGE(OFFSET($GY$3,0,0,'Données projet'!$E$18+1,1))-AVERAGE(OFFSET($H$3,0,0,'Données projet'!$E$18+1,1))</f>
        <v>268.57152522489537</v>
      </c>
      <c r="HA21" s="62">
        <f t="shared" si="52"/>
        <v>311.80303557283207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3.75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13.75</v>
      </c>
      <c r="H22" s="70">
        <f t="shared" si="1"/>
        <v>201.66666666666666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302.42261124358117</v>
      </c>
      <c r="S22" s="62">
        <f ca="1">AVERAGE(OFFSET($R$3,0,0,'Données projet'!$E$9+1,1))-AVERAGE(OFFSET($H$3,0,0,'Données projet'!$E$9+1,1))</f>
        <v>461.02780119093666</v>
      </c>
      <c r="T22" s="62">
        <f t="shared" si="34"/>
        <v>245.70016468438834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29.349802561239567</v>
      </c>
      <c r="AK22" s="14">
        <f t="shared" si="35"/>
        <v>9.1269990536799668</v>
      </c>
      <c r="AL22" s="22">
        <f t="shared" si="4"/>
        <v>67.013762812651535</v>
      </c>
      <c r="AM22" s="62">
        <f t="shared" si="5"/>
        <v>297.60005571714146</v>
      </c>
      <c r="AN22" s="62">
        <f ca="1">AVERAGE(OFFSET($AM$3,0,0,'Données projet'!$E$10+1,1))-AVERAGE(OFFSET($H$3,0,0,'Données projet'!$E$10+1,1))</f>
        <v>434.22500776975596</v>
      </c>
      <c r="AO22" s="62">
        <f t="shared" si="36"/>
        <v>232.59777933076705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6.2820512820512802</v>
      </c>
      <c r="BD22" s="13">
        <f>IF('Données projet'!$A$88&gt;35,BD21+BC22-BL21,IF(A22&lt;'Données projet'!$A$88,$BA$205^A22,IF(A22='Données projet'!$A$88,'Données projet'!$B$88,BD21+BC22-BL21)))</f>
        <v>61.66666666666665</v>
      </c>
      <c r="BE22" s="14">
        <f>BD22*VLOOKUP('Données projet'!$B$11,Paramètres!$A$1:$I$89,3,0)*VLOOKUP('Données projet'!$B$11,Paramètres!$A$1:$I$89,5,0)</f>
        <v>58.681999999999981</v>
      </c>
      <c r="BF22" s="14">
        <f t="shared" si="37"/>
        <v>16.834607713213735</v>
      </c>
      <c r="BG22" s="22">
        <f t="shared" si="7"/>
        <v>131.52475843384721</v>
      </c>
      <c r="BH22" s="62">
        <f t="shared" si="8"/>
        <v>362.11105133833712</v>
      </c>
      <c r="BI22" s="62">
        <f ca="1">AVERAGE(OFFSET($BH$3,0,0,'Données projet'!$E$11+1,1))-AVERAGE(OFFSET($H$3,0,0,'Données projet'!$E$11+1,1))</f>
        <v>393.3005580838161</v>
      </c>
      <c r="BJ22" s="62">
        <f t="shared" si="38"/>
        <v>295.86019897822757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13.760000000000002</v>
      </c>
      <c r="BY22" s="13">
        <f>IF('Données projet'!$A$114&gt;35,BY21+BX22-CG21,IF(A22&lt;'Données projet'!$A$114,$BV$205^A22,IF(A22='Données projet'!$A$114,'Données projet'!$B$114,BY21+BX22-CG21)))</f>
        <v>119.54000000000002</v>
      </c>
      <c r="BZ22" s="14">
        <f>BY22*VLOOKUP('Données projet'!$B$12,Paramètres!$A$1:$I$89,3,0)*VLOOKUP('Données projet'!$B$12,Paramètres!$A$1:$I$89,5,0)</f>
        <v>95.106024000000019</v>
      </c>
      <c r="CA22" s="14">
        <f t="shared" si="39"/>
        <v>25.792692267172022</v>
      </c>
      <c r="CB22" s="22">
        <f t="shared" si="10"/>
        <v>210.56526416532461</v>
      </c>
      <c r="CC22" s="62">
        <f t="shared" si="11"/>
        <v>441.15155706981454</v>
      </c>
      <c r="CD22" s="62">
        <f ca="1">AVERAGE(OFFSET($CC$3,0,0,'Données projet'!$E$12+1,1))-AVERAGE(OFFSET($H$3,0,0,'Données projet'!$E$12+1,1))</f>
        <v>388.52230330563884</v>
      </c>
      <c r="CE22" s="62">
        <f t="shared" si="40"/>
        <v>418.94833960687333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13.760000000000002</v>
      </c>
      <c r="CT22" s="13">
        <f>IF('Données projet'!$A$140&gt;35,CT21+CS22-DB21,IF(A22&lt;'Données projet'!$A$140,$CQ$205^A22,IF(A22='Données projet'!$A$140,'Données projet'!$B$140,CT21+CS22-DB21)))</f>
        <v>119.54000000000002</v>
      </c>
      <c r="CU22" s="18">
        <f>CT22*VLOOKUP('Données projet'!$B$13,Paramètres!$A$1:$I$89,3,0)*VLOOKUP('Données projet'!$B$13,Paramètres!$A$1:$I$89,5,0)</f>
        <v>87.64672800000001</v>
      </c>
      <c r="CV22" s="14">
        <f t="shared" si="41"/>
        <v>23.996800240409819</v>
      </c>
      <c r="CW22" s="22">
        <f t="shared" si="13"/>
        <v>194.44581168538045</v>
      </c>
      <c r="CX22" s="62">
        <f t="shared" si="14"/>
        <v>425.03210458987036</v>
      </c>
      <c r="CY22" s="62">
        <f ca="1">AVERAGE(OFFSET($CX$3,0,0,'Données projet'!$E$13+1,1))-AVERAGE(OFFSET($H$3,0,0,'Données projet'!$E$13+1,1))</f>
        <v>362.38131866207266</v>
      </c>
      <c r="CZ22" s="62">
        <f t="shared" si="42"/>
        <v>390.74498763200336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</v>
      </c>
      <c r="DO22" s="13">
        <f>IF('Données projet'!$A$166&gt;35,DO21+DN22-DW21,IF(A22&lt;'Données projet'!$A$166,$DL$205^A22,IF(A22='Données projet'!$A$166,'Données projet'!$B$166,DO21+DN22-DW21)))</f>
        <v>79</v>
      </c>
      <c r="DP22" s="18">
        <f>DO22*VLOOKUP('Données projet'!$B$14,Paramètres!$A$1:$I$89,3,0)*VLOOKUP('Données projet'!$B$14,Paramètres!$A$1:$I$89,5,0)</f>
        <v>69.014400000000009</v>
      </c>
      <c r="DQ22" s="14">
        <f t="shared" si="43"/>
        <v>19.428496726251055</v>
      </c>
      <c r="DR22" s="22">
        <f t="shared" si="16"/>
        <v>154.03804513155393</v>
      </c>
      <c r="DS22" s="62">
        <f t="shared" si="17"/>
        <v>384.62433803604381</v>
      </c>
      <c r="DT22" s="62">
        <f ca="1">AVERAGE(OFFSET($DS$3,0,0,'Données projet'!$E$14+1,1))-AVERAGE(OFFSET($H$3,0,0,'Données projet'!$E$14+1,1))</f>
        <v>334.4692012109935</v>
      </c>
      <c r="DU22" s="62">
        <f t="shared" si="44"/>
        <v>316.360405424036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10</v>
      </c>
      <c r="EJ22" s="13">
        <f>IF('Données projet'!$A$192&gt;35,EJ21+EI22-ER21,IF(A22&lt;'Données projet'!$A$192,$EG$205^A22,IF(A22='Données projet'!$A$192,'Données projet'!$B$192,EJ21+EI22-ER21)))</f>
        <v>126.1988950420027</v>
      </c>
      <c r="EK22" s="18">
        <f>EJ22*VLOOKUP('Données projet'!$B$15,Paramètres!$A$1:$I$89,3,0)*VLOOKUP('Données projet'!$B$15,Paramètres!$A$1:$I$89,5,0)</f>
        <v>70.545182328479513</v>
      </c>
      <c r="EL22" s="14">
        <f t="shared" si="45"/>
        <v>19.808784366626785</v>
      </c>
      <c r="EM22" s="22">
        <f t="shared" si="19"/>
        <v>157.36649199397678</v>
      </c>
      <c r="EN22" s="62">
        <f t="shared" si="20"/>
        <v>387.95278489846669</v>
      </c>
      <c r="EO22" s="62">
        <f ca="1">AVERAGE(OFFSET($EN$3,0,0,'Données projet'!$E$15+1,1))-AVERAGE(OFFSET($H$3,0,0,'Données projet'!$E$15+1,1))</f>
        <v>390.09289316045653</v>
      </c>
      <c r="EP22" s="62">
        <f t="shared" si="46"/>
        <v>364.34913542817617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2.9333333333333331</v>
      </c>
      <c r="FE22" s="13">
        <f>IF('Données projet'!$A$218&gt;35,FE21+FD22-FM21,IF(A22&lt;'Données projet'!$A$218,$FB$205^A22,IF(A22='Données projet'!$A$218,'Données projet'!$B$218,FE21+FD22-FM21)))</f>
        <v>17.041416556049626</v>
      </c>
      <c r="FF22" s="18">
        <f>FE22*VLOOKUP('Données projet'!$B$16,Paramètres!$A$1:$I$89,3,0)*VLOOKUP('Données projet'!$B$16,Paramètres!$A$1:$I$89,5,0)</f>
        <v>7.9753829482312248</v>
      </c>
      <c r="FG22" s="14">
        <f t="shared" si="47"/>
        <v>2.8862884430390152</v>
      </c>
      <c r="FH22" s="22">
        <f t="shared" si="22"/>
        <v>18.917411006462334</v>
      </c>
      <c r="FI22" s="62">
        <f t="shared" si="23"/>
        <v>249.50370391095225</v>
      </c>
      <c r="FJ22" s="62">
        <f ca="1">AVERAGE(OFFSET($FI$3,0,0,'Données projet'!$E$16+1,1))-AVERAGE(OFFSET($H$3,0,0,'Données projet'!$E$16+1,1))</f>
        <v>344.55118007058775</v>
      </c>
      <c r="FK22" s="62">
        <f t="shared" si="48"/>
        <v>144.16931602355001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18</v>
      </c>
      <c r="FZ22" s="13">
        <f>IF('Données projet'!$A$244&gt;35,FZ21+FY22-GH21,IF(A22&lt;'Données projet'!$A$244,$FW$205^A22,IF(A22='Données projet'!$A$244,'Données projet'!$B$244,FZ21+FY22-GH21)))</f>
        <v>110</v>
      </c>
      <c r="GA22" s="18">
        <f>FZ22*VLOOKUP('Données projet'!$B$17,Paramètres!$A$1:$I$89,3,0)*VLOOKUP('Données projet'!$B$17,Paramètres!$A$1:$I$89,5,0)</f>
        <v>68.64</v>
      </c>
      <c r="GB22" s="14">
        <f t="shared" si="49"/>
        <v>19.335336956640202</v>
      </c>
      <c r="GC22" s="22">
        <f t="shared" si="25"/>
        <v>153.22371186614836</v>
      </c>
      <c r="GD22" s="62">
        <f t="shared" si="26"/>
        <v>383.81000477063827</v>
      </c>
      <c r="GE22" s="62">
        <f ca="1">AVERAGE(OFFSET($GD$3,0,0,'Données projet'!$E$17+1,1))-AVERAGE(OFFSET($H$3,0,0,'Données projet'!$E$17+1,1))</f>
        <v>252.60122125520482</v>
      </c>
      <c r="GF22" s="62">
        <f t="shared" si="50"/>
        <v>357.56833754121317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4.9958010052665864</v>
      </c>
      <c r="GO22" s="23">
        <f t="shared" si="27"/>
        <v>4.9958010052665864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10</v>
      </c>
      <c r="GU22" s="13">
        <f>IF('Données projet'!$A$270&gt;35,GU21+GT22-HC21,IF(A22&lt;'Données projet'!$A$270,$GR$205^A22,IF(A22='Données projet'!$A$270,'Données projet'!$B$270,GU21+GT22-HC21)))</f>
        <v>89</v>
      </c>
      <c r="GV22" s="18">
        <f>GU22*VLOOKUP('Données projet'!$B$18,Paramètres!$A$1:$I$89,3,0)*VLOOKUP('Données projet'!$B$18,Paramètres!$A$1:$I$89,5,0)</f>
        <v>72.19680000000001</v>
      </c>
      <c r="GW22" s="14">
        <f t="shared" si="51"/>
        <v>20.218015459285922</v>
      </c>
      <c r="GX22" s="22">
        <f t="shared" si="28"/>
        <v>160.95580359158967</v>
      </c>
      <c r="GY22" s="62">
        <f t="shared" si="29"/>
        <v>391.54209649607958</v>
      </c>
      <c r="GZ22" s="62">
        <f ca="1">AVERAGE(OFFSET($GY$3,0,0,'Données projet'!$E$18+1,1))-AVERAGE(OFFSET($H$3,0,0,'Données projet'!$E$18+1,1))</f>
        <v>268.57152522489537</v>
      </c>
      <c r="HA22" s="62">
        <f t="shared" si="52"/>
        <v>311.80303557283207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3.75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13.75</v>
      </c>
      <c r="H23" s="70">
        <f t="shared" si="1"/>
        <v>201.66666666666666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318.8223154134655</v>
      </c>
      <c r="S23" s="62">
        <f ca="1">AVERAGE(OFFSET($R$3,0,0,'Données projet'!$E$9+1,1))-AVERAGE(OFFSET($H$3,0,0,'Données projet'!$E$9+1,1))</f>
        <v>461.02780119093666</v>
      </c>
      <c r="T23" s="62">
        <f t="shared" si="34"/>
        <v>245.70016468438834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35.380800000000001</v>
      </c>
      <c r="AK23" s="14">
        <f t="shared" si="35"/>
        <v>10.765721954933243</v>
      </c>
      <c r="AL23" s="22">
        <f t="shared" si="4"/>
        <v>80.371859071508723</v>
      </c>
      <c r="AM23" s="62">
        <f t="shared" si="5"/>
        <v>313.03566401445829</v>
      </c>
      <c r="AN23" s="62">
        <f ca="1">AVERAGE(OFFSET($AM$3,0,0,'Données projet'!$E$10+1,1))-AVERAGE(OFFSET($H$3,0,0,'Données projet'!$E$10+1,1))</f>
        <v>434.22500776975596</v>
      </c>
      <c r="AO23" s="62">
        <f t="shared" si="36"/>
        <v>232.59777933076705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67.948717948717942</v>
      </c>
      <c r="BB23" s="13">
        <f>VLOOKUP(A23,'Données projet'!$A$87:$I$107,9,0)</f>
        <v>6.2820512820512802</v>
      </c>
      <c r="BC23" s="13">
        <f t="array" ref="BC23">INDEX(BB:BB,MIN(IF(ISNUMBER(BB23:BB219),ROW(BB23:BB219),"")))</f>
        <v>6.2820512820512802</v>
      </c>
      <c r="BD23" s="13">
        <f>IF('Données projet'!$A$88&gt;35,BD22+BC23-BL22,IF(A23&lt;'Données projet'!$A$88,$BA$205^A23,IF(A23='Données projet'!$A$88,'Données projet'!$B$88,BD22+BC23-BL22)))</f>
        <v>67.948717948717928</v>
      </c>
      <c r="BE23" s="14">
        <f>BD23*VLOOKUP('Données projet'!$B$11,Paramètres!$A$1:$I$89,3,0)*VLOOKUP('Données projet'!$B$11,Paramètres!$A$1:$I$89,5,0)</f>
        <v>64.659999999999982</v>
      </c>
      <c r="BF23" s="14">
        <f t="shared" si="37"/>
        <v>18.341285436472681</v>
      </c>
      <c r="BG23" s="22">
        <f t="shared" si="7"/>
        <v>144.56057213518989</v>
      </c>
      <c r="BH23" s="62">
        <f t="shared" si="8"/>
        <v>377.22437707813947</v>
      </c>
      <c r="BI23" s="62">
        <f ca="1">AVERAGE(OFFSET($BH$3,0,0,'Données projet'!$E$11+1,1))-AVERAGE(OFFSET($H$3,0,0,'Données projet'!$E$11+1,1))</f>
        <v>393.3005580838161</v>
      </c>
      <c r="BJ23" s="62">
        <f t="shared" si="38"/>
        <v>295.86019897822757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16.666666666666668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133.30000000000001</v>
      </c>
      <c r="BW23" s="13">
        <f>VLOOKUP(A23,'Données projet'!$A$113:$I$133,9,0)</f>
        <v>13.760000000000002</v>
      </c>
      <c r="BX23" s="13">
        <f t="array" ref="BX23">INDEX(BW:BW,MIN(IF(ISNUMBER(BW23:BW219),ROW(BW23:BW219),"")))</f>
        <v>13.760000000000002</v>
      </c>
      <c r="BY23" s="13">
        <f>IF('Données projet'!$A$114&gt;35,BY22+BX23-CG22,IF(A23&lt;'Données projet'!$A$114,$BV$205^A23,IF(A23='Données projet'!$A$114,'Données projet'!$B$114,BY22+BX23-CG22)))</f>
        <v>133.30000000000001</v>
      </c>
      <c r="BZ23" s="14">
        <f>BY23*VLOOKUP('Données projet'!$B$12,Paramètres!$A$1:$I$89,3,0)*VLOOKUP('Données projet'!$B$12,Paramètres!$A$1:$I$89,5,0)</f>
        <v>106.05348000000001</v>
      </c>
      <c r="CA23" s="14">
        <f t="shared" si="39"/>
        <v>28.39918570347135</v>
      </c>
      <c r="CB23" s="22">
        <f t="shared" si="10"/>
        <v>234.1717261002126</v>
      </c>
      <c r="CC23" s="62">
        <f t="shared" si="11"/>
        <v>466.83553104316218</v>
      </c>
      <c r="CD23" s="62">
        <f ca="1">AVERAGE(OFFSET($CC$3,0,0,'Données projet'!$E$12+1,1))-AVERAGE(OFFSET($H$3,0,0,'Données projet'!$E$12+1,1))</f>
        <v>388.52230330563884</v>
      </c>
      <c r="CE23" s="62">
        <f t="shared" si="40"/>
        <v>418.94833960687333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66.5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133.30000000000001</v>
      </c>
      <c r="CR23" s="13">
        <f>VLOOKUP(A23,'Données projet'!$A$139:$I$159,9,0)</f>
        <v>13.760000000000002</v>
      </c>
      <c r="CS23" s="13">
        <f t="array" ref="CS23">INDEX(CR:CR,MIN(IF(ISNUMBER(CR23:CR219),ROW(CR23:CR219),"")))</f>
        <v>13.760000000000002</v>
      </c>
      <c r="CT23" s="13">
        <f>IF('Données projet'!$A$140&gt;35,CT22+CS23-DB22,IF(A23&lt;'Données projet'!$A$140,$CQ$205^A23,IF(A23='Données projet'!$A$140,'Données projet'!$B$140,CT22+CS23-DB22)))</f>
        <v>133.30000000000001</v>
      </c>
      <c r="CU23" s="18">
        <f>CT23*VLOOKUP('Données projet'!$B$13,Paramètres!$A$1:$I$89,3,0)*VLOOKUP('Données projet'!$B$13,Paramètres!$A$1:$I$89,5,0)</f>
        <v>97.735560000000007</v>
      </c>
      <c r="CV23" s="14">
        <f t="shared" si="41"/>
        <v>26.421808908404628</v>
      </c>
      <c r="CW23" s="22">
        <f t="shared" si="13"/>
        <v>216.24075084880474</v>
      </c>
      <c r="CX23" s="62">
        <f t="shared" si="14"/>
        <v>448.90455579175432</v>
      </c>
      <c r="CY23" s="62">
        <f ca="1">AVERAGE(OFFSET($CX$3,0,0,'Données projet'!$E$13+1,1))-AVERAGE(OFFSET($H$3,0,0,'Données projet'!$E$13+1,1))</f>
        <v>362.38131866207266</v>
      </c>
      <c r="CZ23" s="62">
        <f t="shared" si="42"/>
        <v>390.74498763200336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66.5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87</v>
      </c>
      <c r="DM23" s="13">
        <f>VLOOKUP(A23,'Données projet'!$A$165:$I$185,9,0)</f>
        <v>8</v>
      </c>
      <c r="DN23" s="13">
        <f t="array" ref="DN23">INDEX(DM:DM,MIN(IF(ISNUMBER(DM23:DM219),ROW(DM23:DM219),"")))</f>
        <v>8</v>
      </c>
      <c r="DO23" s="13">
        <f>IF('Données projet'!$A$166&gt;35,DO22+DN23-DW22,IF(A23&lt;'Données projet'!$A$166,$DL$205^A23,IF(A23='Données projet'!$A$166,'Données projet'!$B$166,DO22+DN23-DW22)))</f>
        <v>87</v>
      </c>
      <c r="DP23" s="18">
        <f>DO23*VLOOKUP('Données projet'!$B$14,Paramètres!$A$1:$I$89,3,0)*VLOOKUP('Données projet'!$B$14,Paramètres!$A$1:$I$89,5,0)</f>
        <v>76.003200000000007</v>
      </c>
      <c r="DQ23" s="14">
        <f t="shared" si="43"/>
        <v>21.157049992000456</v>
      </c>
      <c r="DR23" s="22">
        <f t="shared" si="16"/>
        <v>169.22076873606747</v>
      </c>
      <c r="DS23" s="62">
        <f t="shared" si="17"/>
        <v>401.88457367901702</v>
      </c>
      <c r="DT23" s="62">
        <f ca="1">AVERAGE(OFFSET($DS$3,0,0,'Données projet'!$E$14+1,1))-AVERAGE(OFFSET($H$3,0,0,'Données projet'!$E$14+1,1))</f>
        <v>334.4692012109935</v>
      </c>
      <c r="DU23" s="62">
        <f t="shared" si="44"/>
        <v>316.360405424036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29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10</v>
      </c>
      <c r="EJ23" s="13">
        <f>IF('Données projet'!$A$192&gt;35,EJ22+EI23-ER22,IF(A23&lt;'Données projet'!$A$192,$EG$205^A23,IF(A23='Données projet'!$A$192,'Données projet'!$B$192,EJ22+EI23-ER22)))</f>
        <v>162.79363611278094</v>
      </c>
      <c r="EK23" s="18">
        <f>EJ23*VLOOKUP('Données projet'!$B$15,Paramètres!$A$1:$I$89,3,0)*VLOOKUP('Données projet'!$B$15,Paramètres!$A$1:$I$89,5,0)</f>
        <v>91.001642587044557</v>
      </c>
      <c r="EL23" s="14">
        <f t="shared" si="45"/>
        <v>24.806641237456894</v>
      </c>
      <c r="EM23" s="22">
        <f t="shared" si="19"/>
        <v>201.69942766100667</v>
      </c>
      <c r="EN23" s="62">
        <f t="shared" si="20"/>
        <v>434.36323260395625</v>
      </c>
      <c r="EO23" s="62">
        <f ca="1">AVERAGE(OFFSET($EN$3,0,0,'Données projet'!$E$15+1,1))-AVERAGE(OFFSET($H$3,0,0,'Données projet'!$E$15+1,1))</f>
        <v>390.09289316045653</v>
      </c>
      <c r="EP23" s="62">
        <f t="shared" si="46"/>
        <v>364.34913542817617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2.9333333333333331</v>
      </c>
      <c r="FE23" s="13">
        <f>IF('Données projet'!$A$218&gt;35,FE22+FD23-FM22,IF(A23&lt;'Données projet'!$A$218,$FB$205^A23,IF(A23='Données projet'!$A$218,'Données projet'!$B$218,FE22+FD23-FM22)))</f>
        <v>19.784349772994801</v>
      </c>
      <c r="FF23" s="18">
        <f>FE23*VLOOKUP('Données projet'!$B$16,Paramètres!$A$1:$I$89,3,0)*VLOOKUP('Données projet'!$B$16,Paramètres!$A$1:$I$89,5,0)</f>
        <v>9.2590756937615666</v>
      </c>
      <c r="FG23" s="14">
        <f t="shared" si="47"/>
        <v>3.2931478301010206</v>
      </c>
      <c r="FH23" s="22">
        <f t="shared" si="22"/>
        <v>21.861789304060675</v>
      </c>
      <c r="FI23" s="62">
        <f t="shared" si="23"/>
        <v>254.52559424701022</v>
      </c>
      <c r="FJ23" s="62">
        <f ca="1">AVERAGE(OFFSET($FI$3,0,0,'Données projet'!$E$16+1,1))-AVERAGE(OFFSET($H$3,0,0,'Données projet'!$E$16+1,1))</f>
        <v>344.55118007058775</v>
      </c>
      <c r="FK23" s="62">
        <f t="shared" si="48"/>
        <v>144.16931602355001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18</v>
      </c>
      <c r="FZ23" s="13">
        <f>IF('Données projet'!$A$244&gt;35,FZ22+FY23-GH22,IF(A23&lt;'Données projet'!$A$244,$FW$205^A23,IF(A23='Données projet'!$A$244,'Données projet'!$B$244,FZ22+FY23-GH22)))</f>
        <v>128</v>
      </c>
      <c r="GA23" s="18">
        <f>FZ23*VLOOKUP('Données projet'!$B$17,Paramètres!$A$1:$I$89,3,0)*VLOOKUP('Données projet'!$B$17,Paramètres!$A$1:$I$89,5,0)</f>
        <v>79.872</v>
      </c>
      <c r="GB23" s="14">
        <f t="shared" si="49"/>
        <v>22.105884547145418</v>
      </c>
      <c r="GC23" s="22">
        <f t="shared" si="25"/>
        <v>177.61148225294494</v>
      </c>
      <c r="GD23" s="62">
        <f t="shared" si="26"/>
        <v>410.27528719589452</v>
      </c>
      <c r="GE23" s="62">
        <f ca="1">AVERAGE(OFFSET($GD$3,0,0,'Données projet'!$E$17+1,1))-AVERAGE(OFFSET($H$3,0,0,'Données projet'!$E$17+1,1))</f>
        <v>252.60122125520482</v>
      </c>
      <c r="GF23" s="62">
        <f t="shared" si="50"/>
        <v>357.56833754121317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3.5325647682825747</v>
      </c>
      <c r="GO23" s="23">
        <f t="shared" si="27"/>
        <v>3.5325647682825747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99</v>
      </c>
      <c r="GS23" s="13">
        <f>VLOOKUP(A23,'Données projet'!$A$269:$I$289,9,0)</f>
        <v>10</v>
      </c>
      <c r="GT23" s="13">
        <f t="array" ref="GT23">INDEX(GS:GS,MIN(IF(ISNUMBER(GS23:GS219),ROW(GS23:GS219),"")))</f>
        <v>10</v>
      </c>
      <c r="GU23" s="13">
        <f>IF('Données projet'!$A$270&gt;35,GU22+GT23-HC22,IF(A23&lt;'Données projet'!$A$270,$GR$205^A23,IF(A23='Données projet'!$A$270,'Données projet'!$B$270,GU22+GT23-HC22)))</f>
        <v>99</v>
      </c>
      <c r="GV23" s="18">
        <f>GU23*VLOOKUP('Données projet'!$B$18,Paramètres!$A$1:$I$89,3,0)*VLOOKUP('Données projet'!$B$18,Paramètres!$A$1:$I$89,5,0)</f>
        <v>80.308800000000005</v>
      </c>
      <c r="GW23" s="14">
        <f t="shared" si="51"/>
        <v>22.212670396389218</v>
      </c>
      <c r="GX23" s="22">
        <f t="shared" si="28"/>
        <v>178.55822760704453</v>
      </c>
      <c r="GY23" s="62">
        <f t="shared" si="29"/>
        <v>411.22203254999408</v>
      </c>
      <c r="GZ23" s="62">
        <f ca="1">AVERAGE(OFFSET($GY$3,0,0,'Données projet'!$E$18+1,1))-AVERAGE(OFFSET($H$3,0,0,'Données projet'!$E$18+1,1))</f>
        <v>268.57152522489537</v>
      </c>
      <c r="HA23" s="62">
        <f t="shared" si="52"/>
        <v>311.80303557283207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40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3.75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13.75</v>
      </c>
      <c r="H24" s="70">
        <f t="shared" si="1"/>
        <v>201.66666666666666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332.04540753820874</v>
      </c>
      <c r="S24" s="62">
        <f ca="1">AVERAGE(OFFSET($R$3,0,0,'Données projet'!$E$9+1,1))-AVERAGE(OFFSET($H$3,0,0,'Données projet'!$E$9+1,1))</f>
        <v>461.02780119093666</v>
      </c>
      <c r="T24" s="62">
        <f t="shared" si="34"/>
        <v>245.70016468438834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40.098240000000011</v>
      </c>
      <c r="AK24" s="14">
        <f t="shared" si="35"/>
        <v>12.024681710991171</v>
      </c>
      <c r="AL24" s="22">
        <f t="shared" si="4"/>
        <v>90.780755313309626</v>
      </c>
      <c r="AM24" s="62">
        <f t="shared" si="5"/>
        <v>325.50723492854871</v>
      </c>
      <c r="AN24" s="62">
        <f ca="1">AVERAGE(OFFSET($AM$3,0,0,'Données projet'!$E$10+1,1))-AVERAGE(OFFSET($H$3,0,0,'Données projet'!$E$10+1,1))</f>
        <v>434.22500776975596</v>
      </c>
      <c r="AO24" s="62">
        <f t="shared" si="36"/>
        <v>232.59777933076705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6.5384615384615419</v>
      </c>
      <c r="BD24" s="13">
        <f>IF('Données projet'!$A$88&gt;35,BD23+BC24-BL23,IF(A24&lt;'Données projet'!$A$88,$BA$205^A24,IF(A24='Données projet'!$A$88,'Données projet'!$B$88,BD23+BC24-BL23)))</f>
        <v>57.820512820512803</v>
      </c>
      <c r="BE24" s="14">
        <f>BD24*VLOOKUP('Données projet'!$B$11,Paramètres!$A$1:$I$89,3,0)*VLOOKUP('Données projet'!$B$11,Paramètres!$A$1:$I$89,5,0)</f>
        <v>55.021999999999977</v>
      </c>
      <c r="BF24" s="14">
        <f t="shared" si="37"/>
        <v>15.903400778596186</v>
      </c>
      <c r="BG24" s="22">
        <f t="shared" si="7"/>
        <v>123.52840635605497</v>
      </c>
      <c r="BH24" s="62">
        <f t="shared" si="8"/>
        <v>358.25488597129407</v>
      </c>
      <c r="BI24" s="62">
        <f ca="1">AVERAGE(OFFSET($BH$3,0,0,'Données projet'!$E$11+1,1))-AVERAGE(OFFSET($H$3,0,0,'Données projet'!$E$11+1,1))</f>
        <v>393.3005580838161</v>
      </c>
      <c r="BJ24" s="62">
        <f t="shared" si="38"/>
        <v>295.86019897822757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14.739999999999998</v>
      </c>
      <c r="BY24" s="13">
        <f>IF('Données projet'!$A$114&gt;35,BY23+BX24-CG23,IF(A24&lt;'Données projet'!$A$114,$BV$205^A24,IF(A24='Données projet'!$A$114,'Données projet'!$B$114,BY23+BX24-CG23)))</f>
        <v>81.54000000000002</v>
      </c>
      <c r="BZ24" s="14">
        <f>BY24*VLOOKUP('Données projet'!$B$12,Paramètres!$A$1:$I$89,3,0)*VLOOKUP('Données projet'!$B$12,Paramètres!$A$1:$I$89,5,0)</f>
        <v>64.873224000000022</v>
      </c>
      <c r="CA24" s="14">
        <f t="shared" si="39"/>
        <v>18.39471758117234</v>
      </c>
      <c r="CB24" s="22">
        <f t="shared" si="10"/>
        <v>145.0249982538752</v>
      </c>
      <c r="CC24" s="62">
        <f t="shared" si="11"/>
        <v>379.7514778691143</v>
      </c>
      <c r="CD24" s="62">
        <f ca="1">AVERAGE(OFFSET($CC$3,0,0,'Données projet'!$E$12+1,1))-AVERAGE(OFFSET($H$3,0,0,'Données projet'!$E$12+1,1))</f>
        <v>388.52230330563884</v>
      </c>
      <c r="CE24" s="62">
        <f t="shared" si="40"/>
        <v>418.94833960687333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14.739999999999998</v>
      </c>
      <c r="CT24" s="13">
        <f>IF('Données projet'!$A$140&gt;35,CT23+CS24-DB23,IF(A24&lt;'Données projet'!$A$140,$CQ$205^A24,IF(A24='Données projet'!$A$140,'Données projet'!$B$140,CT23+CS24-DB23)))</f>
        <v>81.54000000000002</v>
      </c>
      <c r="CU24" s="18">
        <f>CT24*VLOOKUP('Données projet'!$B$13,Paramètres!$A$1:$I$89,3,0)*VLOOKUP('Données projet'!$B$13,Paramètres!$A$1:$I$89,5,0)</f>
        <v>59.785128000000007</v>
      </c>
      <c r="CV24" s="14">
        <f t="shared" si="41"/>
        <v>17.113931291149598</v>
      </c>
      <c r="CW24" s="22">
        <f t="shared" si="13"/>
        <v>133.93252826541888</v>
      </c>
      <c r="CX24" s="62">
        <f t="shared" si="14"/>
        <v>368.65900788065801</v>
      </c>
      <c r="CY24" s="62">
        <f ca="1">AVERAGE(OFFSET($CX$3,0,0,'Données projet'!$E$13+1,1))-AVERAGE(OFFSET($H$3,0,0,'Données projet'!$E$13+1,1))</f>
        <v>362.38131866207266</v>
      </c>
      <c r="CZ24" s="62">
        <f t="shared" si="42"/>
        <v>390.74498763200336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</v>
      </c>
      <c r="DO24" s="13">
        <f>IF('Données projet'!$A$166&gt;35,DO23+DN24-DW23,IF(A24&lt;'Données projet'!$A$166,$DL$205^A24,IF(A24='Données projet'!$A$166,'Données projet'!$B$166,DO23+DN24-DW23)))</f>
        <v>66</v>
      </c>
      <c r="DP24" s="18">
        <f>DO24*VLOOKUP('Données projet'!$B$14,Paramètres!$A$1:$I$89,3,0)*VLOOKUP('Données projet'!$B$14,Paramètres!$A$1:$I$89,5,0)</f>
        <v>57.657600000000002</v>
      </c>
      <c r="DQ24" s="14">
        <f t="shared" si="43"/>
        <v>16.574671209026025</v>
      </c>
      <c r="DR24" s="22">
        <f t="shared" si="16"/>
        <v>129.28787235572034</v>
      </c>
      <c r="DS24" s="62">
        <f t="shared" si="17"/>
        <v>364.01435197095941</v>
      </c>
      <c r="DT24" s="62">
        <f ca="1">AVERAGE(OFFSET($DS$3,0,0,'Données projet'!$E$14+1,1))-AVERAGE(OFFSET($H$3,0,0,'Données projet'!$E$14+1,1))</f>
        <v>334.4692012109935</v>
      </c>
      <c r="DU24" s="62">
        <f t="shared" si="44"/>
        <v>316.360405424036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>
        <f>VLOOKUP(A24,'Données projet'!$A$191:$I$211,2,0)</f>
        <v>210</v>
      </c>
      <c r="EH24" s="13">
        <f>VLOOKUP(A24,'Données projet'!$A$191:$I$211,9,0)</f>
        <v>10</v>
      </c>
      <c r="EI24" s="13">
        <f t="array" ref="EI24">INDEX(EH:EH,MIN(IF(ISNUMBER(EH24:EH220),ROW(EH24:EH220),"")))</f>
        <v>10</v>
      </c>
      <c r="EJ24" s="13">
        <f>IF('Données projet'!$A$192&gt;35,EJ23+EI24-ER23,IF(A24&lt;'Données projet'!$A$192,$EG$205^A24,IF(A24='Données projet'!$A$192,'Données projet'!$B$192,EJ23+EI24-ER23)))</f>
        <v>210</v>
      </c>
      <c r="EK24" s="18">
        <f>EJ24*VLOOKUP('Données projet'!$B$15,Paramètres!$A$1:$I$89,3,0)*VLOOKUP('Données projet'!$B$15,Paramètres!$A$1:$I$89,5,0)</f>
        <v>117.39</v>
      </c>
      <c r="EL24" s="14">
        <f t="shared" si="45"/>
        <v>31.065482772413461</v>
      </c>
      <c r="EM24" s="22">
        <f t="shared" si="19"/>
        <v>258.55996582862014</v>
      </c>
      <c r="EN24" s="62">
        <f t="shared" si="20"/>
        <v>493.28644544385924</v>
      </c>
      <c r="EO24" s="62">
        <f ca="1">AVERAGE(OFFSET($EN$3,0,0,'Données projet'!$E$15+1,1))-AVERAGE(OFFSET($H$3,0,0,'Données projet'!$E$15+1,1))</f>
        <v>390.09289316045653</v>
      </c>
      <c r="EP24" s="62">
        <f t="shared" si="46"/>
        <v>364.34913542817617</v>
      </c>
      <c r="EQ24" s="16">
        <f>IF(ISNA(VLOOKUP(A24,'Données projet'!$A$191:$I$211,3,0)),0,VLOOKUP(A24,'Données projet'!$A$191:$I$211,3,0))</f>
        <v>1</v>
      </c>
      <c r="ER24" s="16">
        <f>IF(ISNA(VLOOKUP(A24,'Données projet'!$A$191:$I$211,4,0)),0,VLOOKUP(A24,'Données projet'!$A$191:$I$211,4,0))</f>
        <v>63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0.5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19.936912410994776</v>
      </c>
      <c r="EY24" s="24">
        <f t="shared" si="21"/>
        <v>19.936912410994776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2.9333333333333331</v>
      </c>
      <c r="FE24" s="13">
        <f>IF('Données projet'!$A$218&gt;35,FE23+FD24-FM23,IF(A24&lt;'Données projet'!$A$218,$FB$205^A24,IF(A24='Données projet'!$A$218,'Données projet'!$B$218,FE23+FD24-FM23)))</f>
        <v>22.968776958934608</v>
      </c>
      <c r="FF24" s="18">
        <f>FE24*VLOOKUP('Données projet'!$B$16,Paramètres!$A$1:$I$89,3,0)*VLOOKUP('Données projet'!$B$16,Paramètres!$A$1:$I$89,5,0)</f>
        <v>10.749387616781396</v>
      </c>
      <c r="FG24" s="14">
        <f t="shared" si="47"/>
        <v>3.7573592677661791</v>
      </c>
      <c r="FH24" s="22">
        <f t="shared" si="22"/>
        <v>25.265917490587025</v>
      </c>
      <c r="FI24" s="62">
        <f t="shared" si="23"/>
        <v>259.99239710582611</v>
      </c>
      <c r="FJ24" s="62">
        <f ca="1">AVERAGE(OFFSET($FI$3,0,0,'Données projet'!$E$16+1,1))-AVERAGE(OFFSET($H$3,0,0,'Données projet'!$E$16+1,1))</f>
        <v>344.55118007058775</v>
      </c>
      <c r="FK24" s="62">
        <f t="shared" si="48"/>
        <v>144.16931602355001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146</v>
      </c>
      <c r="FX24" s="13">
        <f>VLOOKUP(A24,'Données projet'!$A$243:$I$263,9,0)</f>
        <v>18</v>
      </c>
      <c r="FY24" s="13">
        <f t="array" ref="FY24">INDEX(FX:FX,MIN(IF(ISNUMBER(FX24:FX220),ROW(FX24:FX220),"")))</f>
        <v>18</v>
      </c>
      <c r="FZ24" s="13">
        <f>IF('Données projet'!$A$244&gt;35,FZ23+FY24-GH23,IF(A24&lt;'Données projet'!$A$244,$FW$205^A24,IF(A24='Données projet'!$A$244,'Données projet'!$B$244,FZ23+FY24-GH23)))</f>
        <v>146</v>
      </c>
      <c r="GA24" s="18">
        <f>FZ24*VLOOKUP('Données projet'!$B$17,Paramètres!$A$1:$I$89,3,0)*VLOOKUP('Données projet'!$B$17,Paramètres!$A$1:$I$89,5,0)</f>
        <v>91.103999999999999</v>
      </c>
      <c r="GB24" s="14">
        <f t="shared" si="49"/>
        <v>24.831293984707884</v>
      </c>
      <c r="GC24" s="22">
        <f t="shared" si="25"/>
        <v>201.92063702336623</v>
      </c>
      <c r="GD24" s="62">
        <f t="shared" si="26"/>
        <v>436.64711663860533</v>
      </c>
      <c r="GE24" s="62">
        <f ca="1">AVERAGE(OFFSET($GD$3,0,0,'Données projet'!$E$17+1,1))-AVERAGE(OFFSET($H$3,0,0,'Données projet'!$E$17+1,1))</f>
        <v>252.60122125520482</v>
      </c>
      <c r="GF24" s="62">
        <f t="shared" si="50"/>
        <v>357.56833754121317</v>
      </c>
      <c r="GG24" s="16">
        <f>IF(ISNA(VLOOKUP(A24,'Données projet'!$A$243:$I$263,3,0)),0,VLOOKUP(A24,'Données projet'!$A$243:$I$263,3,0))</f>
        <v>2</v>
      </c>
      <c r="GH24" s="16">
        <f>IF(ISNA(VLOOKUP(A24,'Données projet'!$A$243:$I$263,4,0)),0,VLOOKUP(A24,'Données projet'!$A$243:$I$263,4,0))</f>
        <v>26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0.5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11.682568900167986</v>
      </c>
      <c r="GO24" s="23">
        <f t="shared" si="27"/>
        <v>11.682568900167986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8.6</v>
      </c>
      <c r="GU24" s="13">
        <f>IF('Données projet'!$A$270&gt;35,GU23+GT24-HC23,IF(A24&lt;'Données projet'!$A$270,$GR$205^A24,IF(A24='Données projet'!$A$270,'Données projet'!$B$270,GU23+GT24-HC23)))</f>
        <v>67.599999999999994</v>
      </c>
      <c r="GV24" s="18">
        <f>GU24*VLOOKUP('Données projet'!$B$18,Paramètres!$A$1:$I$89,3,0)*VLOOKUP('Données projet'!$B$18,Paramètres!$A$1:$I$89,5,0)</f>
        <v>54.837120000000006</v>
      </c>
      <c r="GW24" s="14">
        <f t="shared" si="51"/>
        <v>15.856174437579886</v>
      </c>
      <c r="GX24" s="22">
        <f t="shared" si="28"/>
        <v>123.12415447878497</v>
      </c>
      <c r="GY24" s="62">
        <f t="shared" si="29"/>
        <v>357.85063409402409</v>
      </c>
      <c r="GZ24" s="62">
        <f ca="1">AVERAGE(OFFSET($GY$3,0,0,'Données projet'!$E$18+1,1))-AVERAGE(OFFSET($H$3,0,0,'Données projet'!$E$18+1,1))</f>
        <v>268.57152522489537</v>
      </c>
      <c r="HA24" s="62">
        <f t="shared" si="52"/>
        <v>311.80303557283207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3.75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13.75</v>
      </c>
      <c r="H25" s="70">
        <f t="shared" si="1"/>
        <v>201.66666666666666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345.22207622941079</v>
      </c>
      <c r="S25" s="62">
        <f ca="1">AVERAGE(OFFSET($R$3,0,0,'Données projet'!$E$9+1,1))-AVERAGE(OFFSET($H$3,0,0,'Données projet'!$E$9+1,1))</f>
        <v>461.02780119093666</v>
      </c>
      <c r="T25" s="62">
        <f t="shared" si="34"/>
        <v>245.70016468438834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44.815680000000008</v>
      </c>
      <c r="AK25" s="14">
        <f t="shared" si="35"/>
        <v>13.266476878569183</v>
      </c>
      <c r="AL25" s="22">
        <f t="shared" si="4"/>
        <v>101.159756563508</v>
      </c>
      <c r="AM25" s="62">
        <f t="shared" si="5"/>
        <v>337.93433087999819</v>
      </c>
      <c r="AN25" s="62">
        <f ca="1">AVERAGE(OFFSET($AM$3,0,0,'Données projet'!$E$10+1,1))-AVERAGE(OFFSET($H$3,0,0,'Données projet'!$E$10+1,1))</f>
        <v>434.22500776975596</v>
      </c>
      <c r="AO25" s="62">
        <f t="shared" si="36"/>
        <v>232.59777933076705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6.5384615384615419</v>
      </c>
      <c r="BD25" s="13">
        <f>IF('Données projet'!$A$88&gt;35,BD24+BC25-BL24,IF(A25&lt;'Données projet'!$A$88,$BA$205^A25,IF(A25='Données projet'!$A$88,'Données projet'!$B$88,BD24+BC25-BL24)))</f>
        <v>64.358974358974351</v>
      </c>
      <c r="BE25" s="14">
        <f>BD25*VLOOKUP('Données projet'!$B$11,Paramètres!$A$1:$I$89,3,0)*VLOOKUP('Données projet'!$B$11,Paramètres!$A$1:$I$89,5,0)</f>
        <v>61.244</v>
      </c>
      <c r="BF25" s="14">
        <f t="shared" si="37"/>
        <v>17.482414611857141</v>
      </c>
      <c r="BG25" s="22">
        <f t="shared" si="7"/>
        <v>137.11517211565118</v>
      </c>
      <c r="BH25" s="62">
        <f t="shared" si="8"/>
        <v>373.88974643214135</v>
      </c>
      <c r="BI25" s="62">
        <f ca="1">AVERAGE(OFFSET($BH$3,0,0,'Données projet'!$E$11+1,1))-AVERAGE(OFFSET($H$3,0,0,'Données projet'!$E$11+1,1))</f>
        <v>393.3005580838161</v>
      </c>
      <c r="BJ25" s="62">
        <f t="shared" si="38"/>
        <v>295.86019897822757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14.739999999999998</v>
      </c>
      <c r="BY25" s="13">
        <f>IF('Données projet'!$A$114&gt;35,BY24+BX25-CG24,IF(A25&lt;'Données projet'!$A$114,$BV$205^A25,IF(A25='Données projet'!$A$114,'Données projet'!$B$114,BY24+BX25-CG24)))</f>
        <v>96.280000000000015</v>
      </c>
      <c r="BZ25" s="14">
        <f>BY25*VLOOKUP('Données projet'!$B$12,Paramètres!$A$1:$I$89,3,0)*VLOOKUP('Données projet'!$B$12,Paramètres!$A$1:$I$89,5,0)</f>
        <v>76.600368000000017</v>
      </c>
      <c r="CA25" s="14">
        <f t="shared" si="39"/>
        <v>21.30386735026233</v>
      </c>
      <c r="CB25" s="22">
        <f t="shared" si="10"/>
        <v>170.51654323504027</v>
      </c>
      <c r="CC25" s="62">
        <f t="shared" si="11"/>
        <v>407.29111755153042</v>
      </c>
      <c r="CD25" s="62">
        <f ca="1">AVERAGE(OFFSET($CC$3,0,0,'Données projet'!$E$12+1,1))-AVERAGE(OFFSET($H$3,0,0,'Données projet'!$E$12+1,1))</f>
        <v>388.52230330563884</v>
      </c>
      <c r="CE25" s="62">
        <f t="shared" si="40"/>
        <v>418.94833960687333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14.739999999999998</v>
      </c>
      <c r="CT25" s="13">
        <f>IF('Données projet'!$A$140&gt;35,CT24+CS25-DB24,IF(A25&lt;'Données projet'!$A$140,$CQ$205^A25,IF(A25='Données projet'!$A$140,'Données projet'!$B$140,CT24+CS25-DB24)))</f>
        <v>96.280000000000015</v>
      </c>
      <c r="CU25" s="18">
        <f>CT25*VLOOKUP('Données projet'!$B$13,Paramètres!$A$1:$I$89,3,0)*VLOOKUP('Données projet'!$B$13,Paramètres!$A$1:$I$89,5,0)</f>
        <v>70.592496000000011</v>
      </c>
      <c r="CV25" s="14">
        <f t="shared" si="41"/>
        <v>19.82052295498838</v>
      </c>
      <c r="CW25" s="22">
        <f t="shared" si="13"/>
        <v>157.46934134660478</v>
      </c>
      <c r="CX25" s="62">
        <f t="shared" si="14"/>
        <v>394.24391566309498</v>
      </c>
      <c r="CY25" s="62">
        <f ca="1">AVERAGE(OFFSET($CX$3,0,0,'Données projet'!$E$13+1,1))-AVERAGE(OFFSET($H$3,0,0,'Données projet'!$E$13+1,1))</f>
        <v>362.38131866207266</v>
      </c>
      <c r="CZ25" s="62">
        <f t="shared" si="42"/>
        <v>390.74498763200336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</v>
      </c>
      <c r="DO25" s="13">
        <f>IF('Données projet'!$A$166&gt;35,DO24+DN25-DW24,IF(A25&lt;'Données projet'!$A$166,$DL$205^A25,IF(A25='Données projet'!$A$166,'Données projet'!$B$166,DO24+DN25-DW24)))</f>
        <v>74</v>
      </c>
      <c r="DP25" s="18">
        <f>DO25*VLOOKUP('Données projet'!$B$14,Paramètres!$A$1:$I$89,3,0)*VLOOKUP('Données projet'!$B$14,Paramètres!$A$1:$I$89,5,0)</f>
        <v>64.646400000000014</v>
      </c>
      <c r="DQ25" s="14">
        <f t="shared" si="43"/>
        <v>18.337876695493666</v>
      </c>
      <c r="DR25" s="22">
        <f t="shared" si="16"/>
        <v>144.53094857798482</v>
      </c>
      <c r="DS25" s="62">
        <f t="shared" si="17"/>
        <v>381.30552289447496</v>
      </c>
      <c r="DT25" s="62">
        <f ca="1">AVERAGE(OFFSET($DS$3,0,0,'Données projet'!$E$14+1,1))-AVERAGE(OFFSET($H$3,0,0,'Données projet'!$E$14+1,1))</f>
        <v>334.4692012109935</v>
      </c>
      <c r="DU25" s="62">
        <f t="shared" si="44"/>
        <v>316.360405424036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19</v>
      </c>
      <c r="EJ25" s="13">
        <f>IF('Données projet'!$A$192&gt;35,EJ24+EI25-ER24,IF(A25&lt;'Données projet'!$A$192,$EG$205^A25,IF(A25='Données projet'!$A$192,'Données projet'!$B$192,EJ24+EI25-ER24)))</f>
        <v>166</v>
      </c>
      <c r="EK25" s="18">
        <f>EJ25*VLOOKUP('Données projet'!$B$15,Paramètres!$A$1:$I$89,3,0)*VLOOKUP('Données projet'!$B$15,Paramètres!$A$1:$I$89,5,0)</f>
        <v>92.793999999999997</v>
      </c>
      <c r="EL25" s="14">
        <f t="shared" si="45"/>
        <v>25.237866858098691</v>
      </c>
      <c r="EM25" s="22">
        <f t="shared" si="19"/>
        <v>205.57216811118852</v>
      </c>
      <c r="EN25" s="62">
        <f t="shared" si="20"/>
        <v>442.34674242767869</v>
      </c>
      <c r="EO25" s="62">
        <f ca="1">AVERAGE(OFFSET($EN$3,0,0,'Données projet'!$E$15+1,1))-AVERAGE(OFFSET($H$3,0,0,'Données projet'!$E$15+1,1))</f>
        <v>390.09289316045653</v>
      </c>
      <c r="EP25" s="62">
        <f t="shared" si="46"/>
        <v>364.34913542817617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14.097525961736647</v>
      </c>
      <c r="EY25" s="24">
        <f t="shared" si="21"/>
        <v>14.097525961736647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2.9333333333333331</v>
      </c>
      <c r="FE25" s="13">
        <f>IF('Données projet'!$A$218&gt;35,FE24+FD25-FM24,IF(A25&lt;'Données projet'!$A$218,$FB$205^A25,IF(A25='Données projet'!$A$218,'Données projet'!$B$218,FE24+FD25-FM24)))</f>
        <v>26.66575960506923</v>
      </c>
      <c r="FF25" s="18">
        <f>FE25*VLOOKUP('Données projet'!$B$16,Paramètres!$A$1:$I$89,3,0)*VLOOKUP('Données projet'!$B$16,Paramètres!$A$1:$I$89,5,0)</f>
        <v>12.4795754951724</v>
      </c>
      <c r="FG25" s="14">
        <f t="shared" si="47"/>
        <v>4.2870072633925211</v>
      </c>
      <c r="FH25" s="22">
        <f t="shared" si="22"/>
        <v>29.201798304500571</v>
      </c>
      <c r="FI25" s="62">
        <f t="shared" si="23"/>
        <v>265.97637262099073</v>
      </c>
      <c r="FJ25" s="62">
        <f ca="1">AVERAGE(OFFSET($FI$3,0,0,'Données projet'!$E$16+1,1))-AVERAGE(OFFSET($H$3,0,0,'Données projet'!$E$16+1,1))</f>
        <v>344.55118007058775</v>
      </c>
      <c r="FK25" s="62">
        <f t="shared" si="48"/>
        <v>144.16931602355001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16</v>
      </c>
      <c r="FZ25" s="13">
        <f>IF('Données projet'!$A$244&gt;35,FZ24+FY25-GH24,IF(A25&lt;'Données projet'!$A$244,$FW$205^A25,IF(A25='Données projet'!$A$244,'Données projet'!$B$244,FZ24+FY25-GH24)))</f>
        <v>136</v>
      </c>
      <c r="GA25" s="18">
        <f>FZ25*VLOOKUP('Données projet'!$B$17,Paramètres!$A$1:$I$89,3,0)*VLOOKUP('Données projet'!$B$17,Paramètres!$A$1:$I$89,5,0)</f>
        <v>84.864000000000004</v>
      </c>
      <c r="GB25" s="14">
        <f t="shared" si="49"/>
        <v>23.322341364766192</v>
      </c>
      <c r="GC25" s="22">
        <f t="shared" si="25"/>
        <v>188.42454454363443</v>
      </c>
      <c r="GD25" s="62">
        <f t="shared" si="26"/>
        <v>425.1991188601246</v>
      </c>
      <c r="GE25" s="62">
        <f ca="1">AVERAGE(OFFSET($GD$3,0,0,'Données projet'!$E$17+1,1))-AVERAGE(OFFSET($H$3,0,0,'Données projet'!$E$17+1,1))</f>
        <v>252.60122125520482</v>
      </c>
      <c r="GF25" s="62">
        <f t="shared" si="50"/>
        <v>357.56833754121317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8.2608236909878503</v>
      </c>
      <c r="GO25" s="23">
        <f t="shared" si="27"/>
        <v>8.2608236909878503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8.6</v>
      </c>
      <c r="GU25" s="13">
        <f>IF('Données projet'!$A$270&gt;35,GU24+GT25-HC24,IF(A25&lt;'Données projet'!$A$270,$GR$205^A25,IF(A25='Données projet'!$A$270,'Données projet'!$B$270,GU24+GT25-HC24)))</f>
        <v>76.199999999999989</v>
      </c>
      <c r="GV25" s="18">
        <f>GU25*VLOOKUP('Données projet'!$B$18,Paramètres!$A$1:$I$89,3,0)*VLOOKUP('Données projet'!$B$18,Paramètres!$A$1:$I$89,5,0)</f>
        <v>61.813439999999993</v>
      </c>
      <c r="GW25" s="14">
        <f t="shared" si="51"/>
        <v>17.625965961121132</v>
      </c>
      <c r="GX25" s="22">
        <f t="shared" si="28"/>
        <v>138.35696538228595</v>
      </c>
      <c r="GY25" s="62">
        <f t="shared" si="29"/>
        <v>375.13153969877612</v>
      </c>
      <c r="GZ25" s="62">
        <f ca="1">AVERAGE(OFFSET($GY$3,0,0,'Données projet'!$E$18+1,1))-AVERAGE(OFFSET($H$3,0,0,'Données projet'!$E$18+1,1))</f>
        <v>268.57152522489537</v>
      </c>
      <c r="HA25" s="62">
        <f t="shared" si="52"/>
        <v>311.80303557283207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3.75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13.75</v>
      </c>
      <c r="H26" s="70">
        <f t="shared" si="1"/>
        <v>201.66666666666666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358.35630826216277</v>
      </c>
      <c r="S26" s="62">
        <f ca="1">AVERAGE(OFFSET($R$3,0,0,'Données projet'!$E$9+1,1))-AVERAGE(OFFSET($H$3,0,0,'Données projet'!$E$9+1,1))</f>
        <v>461.02780119093666</v>
      </c>
      <c r="T26" s="62">
        <f t="shared" si="34"/>
        <v>245.70016468438834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49.533120000000011</v>
      </c>
      <c r="AK26" s="14">
        <f t="shared" si="35"/>
        <v>14.493120113047395</v>
      </c>
      <c r="AL26" s="22">
        <f t="shared" si="4"/>
        <v>111.5123681968909</v>
      </c>
      <c r="AM26" s="62">
        <f t="shared" si="5"/>
        <v>350.32071017349523</v>
      </c>
      <c r="AN26" s="62">
        <f ca="1">AVERAGE(OFFSET($AM$3,0,0,'Données projet'!$E$10+1,1))-AVERAGE(OFFSET($H$3,0,0,'Données projet'!$E$10+1,1))</f>
        <v>434.22500776975596</v>
      </c>
      <c r="AO26" s="62">
        <f t="shared" si="36"/>
        <v>232.59777933076705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6.5384615384615419</v>
      </c>
      <c r="BD26" s="13">
        <f>IF('Données projet'!$A$88&gt;35,BD25+BC26-BL25,IF(A26&lt;'Données projet'!$A$88,$BA$205^A26,IF(A26='Données projet'!$A$88,'Données projet'!$B$88,BD25+BC26-BL25)))</f>
        <v>70.897435897435898</v>
      </c>
      <c r="BE26" s="14">
        <f>BD26*VLOOKUP('Données projet'!$B$11,Paramètres!$A$1:$I$89,3,0)*VLOOKUP('Données projet'!$B$11,Paramètres!$A$1:$I$89,5,0)</f>
        <v>67.466000000000008</v>
      </c>
      <c r="BF26" s="14">
        <f t="shared" si="37"/>
        <v>19.042832056451115</v>
      </c>
      <c r="BG26" s="22">
        <f t="shared" si="7"/>
        <v>150.66954916498568</v>
      </c>
      <c r="BH26" s="62">
        <f t="shared" si="8"/>
        <v>389.47789114159002</v>
      </c>
      <c r="BI26" s="62">
        <f ca="1">AVERAGE(OFFSET($BH$3,0,0,'Données projet'!$E$11+1,1))-AVERAGE(OFFSET($H$3,0,0,'Données projet'!$E$11+1,1))</f>
        <v>393.3005580838161</v>
      </c>
      <c r="BJ26" s="62">
        <f t="shared" si="38"/>
        <v>295.86019897822757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14.739999999999998</v>
      </c>
      <c r="BY26" s="13">
        <f>IF('Données projet'!$A$114&gt;35,BY25+BX26-CG25,IF(A26&lt;'Données projet'!$A$114,$BV$205^A26,IF(A26='Données projet'!$A$114,'Données projet'!$B$114,BY25+BX26-CG25)))</f>
        <v>111.02000000000001</v>
      </c>
      <c r="BZ26" s="14">
        <f>BY26*VLOOKUP('Données projet'!$B$12,Paramètres!$A$1:$I$89,3,0)*VLOOKUP('Données projet'!$B$12,Paramètres!$A$1:$I$89,5,0)</f>
        <v>88.327512000000013</v>
      </c>
      <c r="CA26" s="14">
        <f t="shared" si="39"/>
        <v>24.161421859810599</v>
      </c>
      <c r="CB26" s="22">
        <f t="shared" si="10"/>
        <v>195.91822647250351</v>
      </c>
      <c r="CC26" s="62">
        <f t="shared" si="11"/>
        <v>434.72656844910784</v>
      </c>
      <c r="CD26" s="62">
        <f ca="1">AVERAGE(OFFSET($CC$3,0,0,'Données projet'!$E$12+1,1))-AVERAGE(OFFSET($H$3,0,0,'Données projet'!$E$12+1,1))</f>
        <v>388.52230330563884</v>
      </c>
      <c r="CE26" s="62">
        <f t="shared" si="40"/>
        <v>418.94833960687333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14.739999999999998</v>
      </c>
      <c r="CT26" s="13">
        <f>IF('Données projet'!$A$140&gt;35,CT25+CS26-DB25,IF(A26&lt;'Données projet'!$A$140,$CQ$205^A26,IF(A26='Données projet'!$A$140,'Données projet'!$B$140,CT25+CS26-DB25)))</f>
        <v>111.02000000000001</v>
      </c>
      <c r="CU26" s="18">
        <f>CT26*VLOOKUP('Données projet'!$B$13,Paramètres!$A$1:$I$89,3,0)*VLOOKUP('Données projet'!$B$13,Paramètres!$A$1:$I$89,5,0)</f>
        <v>81.399864000000008</v>
      </c>
      <c r="CV26" s="14">
        <f t="shared" si="41"/>
        <v>22.479111830915393</v>
      </c>
      <c r="CW26" s="22">
        <f t="shared" si="13"/>
        <v>180.92254957217764</v>
      </c>
      <c r="CX26" s="62">
        <f t="shared" si="14"/>
        <v>419.73089154878198</v>
      </c>
      <c r="CY26" s="62">
        <f ca="1">AVERAGE(OFFSET($CX$3,0,0,'Données projet'!$E$13+1,1))-AVERAGE(OFFSET($H$3,0,0,'Données projet'!$E$13+1,1))</f>
        <v>362.38131866207266</v>
      </c>
      <c r="CZ26" s="62">
        <f t="shared" si="42"/>
        <v>390.74498763200336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</v>
      </c>
      <c r="DO26" s="13">
        <f>IF('Données projet'!$A$166&gt;35,DO25+DN26-DW25,IF(A26&lt;'Données projet'!$A$166,$DL$205^A26,IF(A26='Données projet'!$A$166,'Données projet'!$B$166,DO25+DN26-DW25)))</f>
        <v>82</v>
      </c>
      <c r="DP26" s="18">
        <f>DO26*VLOOKUP('Données projet'!$B$14,Paramètres!$A$1:$I$89,3,0)*VLOOKUP('Données projet'!$B$14,Paramètres!$A$1:$I$89,5,0)</f>
        <v>71.635200000000012</v>
      </c>
      <c r="DQ26" s="14">
        <f t="shared" si="43"/>
        <v>20.078988020012648</v>
      </c>
      <c r="DR26" s="22">
        <f t="shared" si="16"/>
        <v>159.73554413485536</v>
      </c>
      <c r="DS26" s="62">
        <f t="shared" si="17"/>
        <v>398.5438861114597</v>
      </c>
      <c r="DT26" s="62">
        <f ca="1">AVERAGE(OFFSET($DS$3,0,0,'Données projet'!$E$14+1,1))-AVERAGE(OFFSET($H$3,0,0,'Données projet'!$E$14+1,1))</f>
        <v>334.4692012109935</v>
      </c>
      <c r="DU26" s="62">
        <f t="shared" si="44"/>
        <v>316.360405424036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19</v>
      </c>
      <c r="EJ26" s="13">
        <f>IF('Données projet'!$A$192&gt;35,EJ25+EI26-ER25,IF(A26&lt;'Données projet'!$A$192,$EG$205^A26,IF(A26='Données projet'!$A$192,'Données projet'!$B$192,EJ25+EI26-ER25)))</f>
        <v>185</v>
      </c>
      <c r="EK26" s="18">
        <f>EJ26*VLOOKUP('Données projet'!$B$15,Paramètres!$A$1:$I$89,3,0)*VLOOKUP('Données projet'!$B$15,Paramètres!$A$1:$I$89,5,0)</f>
        <v>103.41500000000001</v>
      </c>
      <c r="EL26" s="14">
        <f t="shared" si="45"/>
        <v>27.773977384564439</v>
      </c>
      <c r="EM26" s="22">
        <f t="shared" si="19"/>
        <v>228.48746894478305</v>
      </c>
      <c r="EN26" s="62">
        <f t="shared" si="20"/>
        <v>467.29581092138739</v>
      </c>
      <c r="EO26" s="62">
        <f ca="1">AVERAGE(OFFSET($EN$3,0,0,'Données projet'!$E$15+1,1))-AVERAGE(OFFSET($H$3,0,0,'Données projet'!$E$15+1,1))</f>
        <v>390.09289316045653</v>
      </c>
      <c r="EP26" s="62">
        <f t="shared" si="46"/>
        <v>364.34913542817617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9.9684562054973895</v>
      </c>
      <c r="EY26" s="24">
        <f t="shared" si="21"/>
        <v>9.9684562054973895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2.9333333333333331</v>
      </c>
      <c r="FE26" s="13">
        <f>IF('Données projet'!$A$218&gt;35,FE25+FD26-FM25,IF(A26&lt;'Données projet'!$A$218,$FB$205^A26,IF(A26='Données projet'!$A$218,'Données projet'!$B$218,FE25+FD26-FM25)))</f>
        <v>30.957797038415933</v>
      </c>
      <c r="FF26" s="18">
        <f>FE26*VLOOKUP('Données projet'!$B$16,Paramètres!$A$1:$I$89,3,0)*VLOOKUP('Données projet'!$B$16,Paramètres!$A$1:$I$89,5,0)</f>
        <v>14.488249013978658</v>
      </c>
      <c r="FG26" s="14">
        <f t="shared" si="47"/>
        <v>4.8913159393742394</v>
      </c>
      <c r="FH26" s="22">
        <f t="shared" si="22"/>
        <v>33.752742293756292</v>
      </c>
      <c r="FI26" s="62">
        <f t="shared" si="23"/>
        <v>272.56108427036065</v>
      </c>
      <c r="FJ26" s="62">
        <f ca="1">AVERAGE(OFFSET($FI$3,0,0,'Données projet'!$E$16+1,1))-AVERAGE(OFFSET($H$3,0,0,'Données projet'!$E$16+1,1))</f>
        <v>344.55118007058775</v>
      </c>
      <c r="FK26" s="62">
        <f t="shared" si="48"/>
        <v>144.16931602355001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16</v>
      </c>
      <c r="FZ26" s="13">
        <f>IF('Données projet'!$A$244&gt;35,FZ25+FY26-GH25,IF(A26&lt;'Données projet'!$A$244,$FW$205^A26,IF(A26='Données projet'!$A$244,'Données projet'!$B$244,FZ25+FY26-GH25)))</f>
        <v>152</v>
      </c>
      <c r="GA26" s="18">
        <f>FZ26*VLOOKUP('Données projet'!$B$17,Paramètres!$A$1:$I$89,3,0)*VLOOKUP('Données projet'!$B$17,Paramètres!$A$1:$I$89,5,0)</f>
        <v>94.847999999999999</v>
      </c>
      <c r="GB26" s="14">
        <f t="shared" si="49"/>
        <v>25.730851751939202</v>
      </c>
      <c r="GC26" s="22">
        <f t="shared" si="25"/>
        <v>210.0081668012941</v>
      </c>
      <c r="GD26" s="62">
        <f t="shared" si="26"/>
        <v>448.81650877789843</v>
      </c>
      <c r="GE26" s="62">
        <f ca="1">AVERAGE(OFFSET($GD$3,0,0,'Données projet'!$E$17+1,1))-AVERAGE(OFFSET($H$3,0,0,'Données projet'!$E$17+1,1))</f>
        <v>252.60122125520482</v>
      </c>
      <c r="GF26" s="62">
        <f t="shared" si="50"/>
        <v>357.56833754121317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5.841284450083994</v>
      </c>
      <c r="GO26" s="23">
        <f t="shared" si="27"/>
        <v>5.841284450083994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8.6</v>
      </c>
      <c r="GU26" s="13">
        <f>IF('Données projet'!$A$270&gt;35,GU25+GT26-HC25,IF(A26&lt;'Données projet'!$A$270,$GR$205^A26,IF(A26='Données projet'!$A$270,'Données projet'!$B$270,GU25+GT26-HC25)))</f>
        <v>84.799999999999983</v>
      </c>
      <c r="GV26" s="18">
        <f>GU26*VLOOKUP('Données projet'!$B$18,Paramètres!$A$1:$I$89,3,0)*VLOOKUP('Données projet'!$B$18,Paramètres!$A$1:$I$89,5,0)</f>
        <v>68.789759999999987</v>
      </c>
      <c r="GW26" s="14">
        <f t="shared" si="51"/>
        <v>19.372607944380292</v>
      </c>
      <c r="GX26" s="22">
        <f t="shared" si="28"/>
        <v>153.54945750312899</v>
      </c>
      <c r="GY26" s="62">
        <f t="shared" si="29"/>
        <v>392.35779947973333</v>
      </c>
      <c r="GZ26" s="62">
        <f ca="1">AVERAGE(OFFSET($GY$3,0,0,'Données projet'!$E$18+1,1))-AVERAGE(OFFSET($H$3,0,0,'Données projet'!$E$18+1,1))</f>
        <v>268.57152522489537</v>
      </c>
      <c r="HA26" s="62">
        <f t="shared" si="52"/>
        <v>311.80303557283207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3.75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13.75</v>
      </c>
      <c r="H27" s="70">
        <f t="shared" si="1"/>
        <v>201.66666666666666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371.45133386068676</v>
      </c>
      <c r="S27" s="62">
        <f ca="1">AVERAGE(OFFSET($R$3,0,0,'Données projet'!$E$9+1,1))-AVERAGE(OFFSET($H$3,0,0,'Données projet'!$E$9+1,1))</f>
        <v>461.02780119093666</v>
      </c>
      <c r="T27" s="62">
        <f t="shared" si="34"/>
        <v>245.70016468438834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54.250560000000007</v>
      </c>
      <c r="AK27" s="14">
        <f t="shared" si="35"/>
        <v>15.706218631166928</v>
      </c>
      <c r="AL27" s="22">
        <f t="shared" si="4"/>
        <v>121.84138944928242</v>
      </c>
      <c r="AM27" s="62">
        <f t="shared" si="5"/>
        <v>362.66942058699726</v>
      </c>
      <c r="AN27" s="62">
        <f ca="1">AVERAGE(OFFSET($AM$3,0,0,'Données projet'!$E$10+1,1))-AVERAGE(OFFSET($H$3,0,0,'Données projet'!$E$10+1,1))</f>
        <v>434.22500776975596</v>
      </c>
      <c r="AO27" s="62">
        <f t="shared" si="36"/>
        <v>232.59777933076705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6.5384615384615419</v>
      </c>
      <c r="BD27" s="13">
        <f>IF('Données projet'!$A$88&gt;35,BD26+BC27-BL26,IF(A27&lt;'Données projet'!$A$88,$BA$205^A27,IF(A27='Données projet'!$A$88,'Données projet'!$B$88,BD26+BC27-BL26)))</f>
        <v>77.435897435897445</v>
      </c>
      <c r="BE27" s="14">
        <f>BD27*VLOOKUP('Données projet'!$B$11,Paramètres!$A$1:$I$89,3,0)*VLOOKUP('Données projet'!$B$11,Paramètres!$A$1:$I$89,5,0)</f>
        <v>73.688000000000017</v>
      </c>
      <c r="BF27" s="14">
        <f t="shared" si="37"/>
        <v>20.586563216136717</v>
      </c>
      <c r="BG27" s="22">
        <f t="shared" si="7"/>
        <v>164.19486426810479</v>
      </c>
      <c r="BH27" s="62">
        <f t="shared" si="8"/>
        <v>405.02289540581967</v>
      </c>
      <c r="BI27" s="62">
        <f ca="1">AVERAGE(OFFSET($BH$3,0,0,'Données projet'!$E$11+1,1))-AVERAGE(OFFSET($H$3,0,0,'Données projet'!$E$11+1,1))</f>
        <v>393.3005580838161</v>
      </c>
      <c r="BJ27" s="62">
        <f t="shared" si="38"/>
        <v>295.86019897822757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14.739999999999998</v>
      </c>
      <c r="BY27" s="13">
        <f>IF('Données projet'!$A$114&gt;35,BY26+BX27-CG26,IF(A27&lt;'Données projet'!$A$114,$BV$205^A27,IF(A27='Données projet'!$A$114,'Données projet'!$B$114,BY26+BX27-CG26)))</f>
        <v>125.76</v>
      </c>
      <c r="BZ27" s="14">
        <f>BY27*VLOOKUP('Données projet'!$B$12,Paramètres!$A$1:$I$89,3,0)*VLOOKUP('Données projet'!$B$12,Paramètres!$A$1:$I$89,5,0)</f>
        <v>100.05465600000001</v>
      </c>
      <c r="CA27" s="14">
        <f t="shared" si="39"/>
        <v>26.97501817255089</v>
      </c>
      <c r="CB27" s="22">
        <f t="shared" si="10"/>
        <v>221.24334918385946</v>
      </c>
      <c r="CC27" s="62">
        <f t="shared" si="11"/>
        <v>462.07138032157434</v>
      </c>
      <c r="CD27" s="62">
        <f ca="1">AVERAGE(OFFSET($CC$3,0,0,'Données projet'!$E$12+1,1))-AVERAGE(OFFSET($H$3,0,0,'Données projet'!$E$12+1,1))</f>
        <v>388.52230330563884</v>
      </c>
      <c r="CE27" s="62">
        <f t="shared" si="40"/>
        <v>418.94833960687333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14.739999999999998</v>
      </c>
      <c r="CT27" s="13">
        <f>IF('Données projet'!$A$140&gt;35,CT26+CS27-DB26,IF(A27&lt;'Données projet'!$A$140,$CQ$205^A27,IF(A27='Données projet'!$A$140,'Données projet'!$B$140,CT26+CS27-DB26)))</f>
        <v>125.76</v>
      </c>
      <c r="CU27" s="18">
        <f>CT27*VLOOKUP('Données projet'!$B$13,Paramètres!$A$1:$I$89,3,0)*VLOOKUP('Données projet'!$B$13,Paramètres!$A$1:$I$89,5,0)</f>
        <v>92.207232000000005</v>
      </c>
      <c r="CV27" s="14">
        <f t="shared" si="41"/>
        <v>25.096803228719384</v>
      </c>
      <c r="CW27" s="22">
        <f t="shared" si="13"/>
        <v>204.3045280233529</v>
      </c>
      <c r="CX27" s="62">
        <f t="shared" si="14"/>
        <v>445.13255916106777</v>
      </c>
      <c r="CY27" s="62">
        <f ca="1">AVERAGE(OFFSET($CX$3,0,0,'Données projet'!$E$13+1,1))-AVERAGE(OFFSET($H$3,0,0,'Données projet'!$E$13+1,1))</f>
        <v>362.38131866207266</v>
      </c>
      <c r="CZ27" s="62">
        <f t="shared" si="42"/>
        <v>390.74498763200336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</v>
      </c>
      <c r="DO27" s="13">
        <f>IF('Données projet'!$A$166&gt;35,DO26+DN27-DW26,IF(A27&lt;'Données projet'!$A$166,$DL$205^A27,IF(A27='Données projet'!$A$166,'Données projet'!$B$166,DO26+DN27-DW26)))</f>
        <v>90</v>
      </c>
      <c r="DP27" s="18">
        <f>DO27*VLOOKUP('Données projet'!$B$14,Paramètres!$A$1:$I$89,3,0)*VLOOKUP('Données projet'!$B$14,Paramètres!$A$1:$I$89,5,0)</f>
        <v>78.624000000000009</v>
      </c>
      <c r="DQ27" s="14">
        <f t="shared" si="43"/>
        <v>21.800406010684462</v>
      </c>
      <c r="DR27" s="22">
        <f t="shared" si="16"/>
        <v>174.90584046860877</v>
      </c>
      <c r="DS27" s="62">
        <f t="shared" si="17"/>
        <v>415.73387160632365</v>
      </c>
      <c r="DT27" s="62">
        <f ca="1">AVERAGE(OFFSET($DS$3,0,0,'Données projet'!$E$14+1,1))-AVERAGE(OFFSET($H$3,0,0,'Données projet'!$E$14+1,1))</f>
        <v>334.4692012109935</v>
      </c>
      <c r="DU27" s="62">
        <f t="shared" si="44"/>
        <v>316.360405424036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19</v>
      </c>
      <c r="EJ27" s="13">
        <f>IF('Données projet'!$A$192&gt;35,EJ26+EI27-ER26,IF(A27&lt;'Données projet'!$A$192,$EG$205^A27,IF(A27='Données projet'!$A$192,'Données projet'!$B$192,EJ26+EI27-ER26)))</f>
        <v>204</v>
      </c>
      <c r="EK27" s="18">
        <f>EJ27*VLOOKUP('Données projet'!$B$15,Paramètres!$A$1:$I$89,3,0)*VLOOKUP('Données projet'!$B$15,Paramètres!$A$1:$I$89,5,0)</f>
        <v>114.036</v>
      </c>
      <c r="EL27" s="14">
        <f t="shared" si="45"/>
        <v>30.279894261296121</v>
      </c>
      <c r="EM27" s="22">
        <f t="shared" si="19"/>
        <v>251.35018250509077</v>
      </c>
      <c r="EN27" s="62">
        <f t="shared" si="20"/>
        <v>492.17821364280564</v>
      </c>
      <c r="EO27" s="62">
        <f ca="1">AVERAGE(OFFSET($EN$3,0,0,'Données projet'!$E$15+1,1))-AVERAGE(OFFSET($H$3,0,0,'Données projet'!$E$15+1,1))</f>
        <v>390.09289316045653</v>
      </c>
      <c r="EP27" s="62">
        <f t="shared" si="46"/>
        <v>364.34913542817617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7.0487629808683252</v>
      </c>
      <c r="EY27" s="24">
        <f t="shared" si="21"/>
        <v>7.0487629808683252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2.9333333333333331</v>
      </c>
      <c r="FE27" s="13">
        <f>IF('Données projet'!$A$218&gt;35,FE26+FD27-FM26,IF(A27&lt;'Données projet'!$A$218,$FB$205^A27,IF(A27='Données projet'!$A$218,'Données projet'!$B$218,FE26+FD27-FM26)))</f>
        <v>35.940667420160899</v>
      </c>
      <c r="FF27" s="18">
        <f>FE27*VLOOKUP('Données projet'!$B$16,Paramètres!$A$1:$I$89,3,0)*VLOOKUP('Données projet'!$B$16,Paramètres!$A$1:$I$89,5,0)</f>
        <v>16.820232352635301</v>
      </c>
      <c r="FG27" s="14">
        <f t="shared" si="47"/>
        <v>5.5808096765022706</v>
      </c>
      <c r="FH27" s="22">
        <f t="shared" si="22"/>
        <v>39.015148200747937</v>
      </c>
      <c r="FI27" s="62">
        <f t="shared" si="23"/>
        <v>279.84317933846279</v>
      </c>
      <c r="FJ27" s="62">
        <f ca="1">AVERAGE(OFFSET($FI$3,0,0,'Données projet'!$E$16+1,1))-AVERAGE(OFFSET($H$3,0,0,'Données projet'!$E$16+1,1))</f>
        <v>344.55118007058775</v>
      </c>
      <c r="FK27" s="62">
        <f t="shared" si="48"/>
        <v>144.16931602355001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168</v>
      </c>
      <c r="FX27" s="13">
        <f>VLOOKUP(A27,'Données projet'!$A$243:$I$263,9,0)</f>
        <v>16</v>
      </c>
      <c r="FY27" s="13">
        <f t="array" ref="FY27">INDEX(FX:FX,MIN(IF(ISNUMBER(FX27:FX223),ROW(FX27:FX223),"")))</f>
        <v>16</v>
      </c>
      <c r="FZ27" s="13">
        <f>IF('Données projet'!$A$244&gt;35,FZ26+FY27-GH26,IF(A27&lt;'Données projet'!$A$244,$FW$205^A27,IF(A27='Données projet'!$A$244,'Données projet'!$B$244,FZ26+FY27-GH26)))</f>
        <v>168</v>
      </c>
      <c r="GA27" s="18">
        <f>FZ27*VLOOKUP('Données projet'!$B$17,Paramètres!$A$1:$I$89,3,0)*VLOOKUP('Données projet'!$B$17,Paramètres!$A$1:$I$89,5,0)</f>
        <v>104.83200000000001</v>
      </c>
      <c r="GB27" s="14">
        <f t="shared" si="49"/>
        <v>28.109974371137717</v>
      </c>
      <c r="GC27" s="22">
        <f t="shared" si="25"/>
        <v>231.54060536306486</v>
      </c>
      <c r="GD27" s="62">
        <f t="shared" si="26"/>
        <v>472.36863650077976</v>
      </c>
      <c r="GE27" s="62">
        <f ca="1">AVERAGE(OFFSET($GD$3,0,0,'Données projet'!$E$17+1,1))-AVERAGE(OFFSET($H$3,0,0,'Données projet'!$E$17+1,1))</f>
        <v>252.60122125520482</v>
      </c>
      <c r="GF27" s="62">
        <f t="shared" si="50"/>
        <v>357.56833754121317</v>
      </c>
      <c r="GG27" s="16">
        <f>IF(ISNA(VLOOKUP(A27,'Données projet'!$A$243:$I$263,3,0)),0,VLOOKUP(A27,'Données projet'!$A$243:$I$263,3,0))</f>
        <v>3</v>
      </c>
      <c r="GH27" s="16">
        <f>IF(ISNA(VLOOKUP(A27,'Données projet'!$A$243:$I$263,4,0)),0,VLOOKUP(A27,'Données projet'!$A$243:$I$263,4,0))</f>
        <v>29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0.12</v>
      </c>
      <c r="GK27" s="17">
        <f>IF(ISNA(VLOOKUP(A27,'Données projet'!$A$243:$I$263,7,0)),0%,VLOOKUP(A27,'Données projet'!$A$243:$I$263,7,0))</f>
        <v>0.4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2.8693189853314944</v>
      </c>
      <c r="GN27" s="23">
        <f>EXP(-LN(2)/2)*GN26+(1-EXP(-LN(2)/2))/(LN(2)/2)*GH27*GK27*VLOOKUP('Données projet'!$B$17,Paramètres!$A$1:$I$89,3,0)*0.475*44/12</f>
        <v>12.325962107909497</v>
      </c>
      <c r="GO27" s="23">
        <f t="shared" si="27"/>
        <v>15.195281093240991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8.6</v>
      </c>
      <c r="GU27" s="13">
        <f>IF('Données projet'!$A$270&gt;35,GU26+GT27-HC26,IF(A27&lt;'Données projet'!$A$270,$GR$205^A27,IF(A27='Données projet'!$A$270,'Données projet'!$B$270,GU26+GT27-HC26)))</f>
        <v>93.399999999999977</v>
      </c>
      <c r="GV27" s="18">
        <f>GU27*VLOOKUP('Données projet'!$B$18,Paramètres!$A$1:$I$89,3,0)*VLOOKUP('Données projet'!$B$18,Paramètres!$A$1:$I$89,5,0)</f>
        <v>75.766079999999988</v>
      </c>
      <c r="GW27" s="14">
        <f t="shared" si="51"/>
        <v>21.09871541273251</v>
      </c>
      <c r="GX27" s="22">
        <f t="shared" si="28"/>
        <v>168.70618534384241</v>
      </c>
      <c r="GY27" s="62">
        <f t="shared" si="29"/>
        <v>409.53421648155728</v>
      </c>
      <c r="GZ27" s="62">
        <f ca="1">AVERAGE(OFFSET($GY$3,0,0,'Données projet'!$E$18+1,1))-AVERAGE(OFFSET($H$3,0,0,'Données projet'!$E$18+1,1))</f>
        <v>268.57152522489537</v>
      </c>
      <c r="HA27" s="62">
        <f t="shared" si="52"/>
        <v>311.80303557283207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3.75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13.75</v>
      </c>
      <c r="H28" s="70">
        <f t="shared" si="1"/>
        <v>201.66666666666666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384.50983073693595</v>
      </c>
      <c r="S28" s="62">
        <f ca="1">AVERAGE(OFFSET($R$3,0,0,'Données projet'!$E$9+1,1))-AVERAGE(OFFSET($H$3,0,0,'Données projet'!$E$9+1,1))</f>
        <v>461.02780119093666</v>
      </c>
      <c r="T28" s="62">
        <f t="shared" si="34"/>
        <v>245.70016468438834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58.968000000000011</v>
      </c>
      <c r="AK28" s="14">
        <f t="shared" si="35"/>
        <v>16.907084152971134</v>
      </c>
      <c r="AL28" s="22">
        <f t="shared" si="4"/>
        <v>132.14910489975807</v>
      </c>
      <c r="AM28" s="62">
        <f t="shared" si="5"/>
        <v>374.98299093006267</v>
      </c>
      <c r="AN28" s="62">
        <f ca="1">AVERAGE(OFFSET($AM$3,0,0,'Données projet'!$E$10+1,1))-AVERAGE(OFFSET($H$3,0,0,'Données projet'!$E$10+1,1))</f>
        <v>434.22500776975596</v>
      </c>
      <c r="AO28" s="62">
        <f t="shared" si="36"/>
        <v>232.59777933076705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83.974358974358978</v>
      </c>
      <c r="BB28" s="13">
        <f>VLOOKUP(A28,'Données projet'!$A$87:$I$107,9,0)</f>
        <v>6.5384615384615419</v>
      </c>
      <c r="BC28" s="13">
        <f t="array" ref="BC28">INDEX(BB:BB,MIN(IF(ISNUMBER(BB28:BB224),ROW(BB28:BB224),"")))</f>
        <v>6.5384615384615419</v>
      </c>
      <c r="BD28" s="13">
        <f>IF('Données projet'!$A$88&gt;35,BD27+BC28-BL27,IF(A28&lt;'Données projet'!$A$88,$BA$205^A28,IF(A28='Données projet'!$A$88,'Données projet'!$B$88,BD27+BC28-BL27)))</f>
        <v>83.974358974358992</v>
      </c>
      <c r="BE28" s="14">
        <f>BD28*VLOOKUP('Données projet'!$B$11,Paramètres!$A$1:$I$89,3,0)*VLOOKUP('Données projet'!$B$11,Paramètres!$A$1:$I$89,5,0)</f>
        <v>79.910000000000025</v>
      </c>
      <c r="BF28" s="14">
        <f t="shared" si="37"/>
        <v>22.115177219366689</v>
      </c>
      <c r="BG28" s="22">
        <f t="shared" si="7"/>
        <v>177.69385032373035</v>
      </c>
      <c r="BH28" s="62">
        <f t="shared" si="8"/>
        <v>420.52773635403497</v>
      </c>
      <c r="BI28" s="62">
        <f ca="1">AVERAGE(OFFSET($BH$3,0,0,'Données projet'!$E$11+1,1))-AVERAGE(OFFSET($H$3,0,0,'Données projet'!$E$11+1,1))</f>
        <v>393.3005580838161</v>
      </c>
      <c r="BJ28" s="62">
        <f t="shared" si="38"/>
        <v>295.86019897822757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140.5</v>
      </c>
      <c r="BW28" s="13">
        <f>VLOOKUP(A28,'Données projet'!$A$113:$I$133,9,0)</f>
        <v>14.739999999999998</v>
      </c>
      <c r="BX28" s="13">
        <f t="array" ref="BX28">INDEX(BW:BW,MIN(IF(ISNUMBER(BW28:BW224),ROW(BW28:BW224),"")))</f>
        <v>14.739999999999998</v>
      </c>
      <c r="BY28" s="13">
        <f>IF('Données projet'!$A$114&gt;35,BY27+BX28-CG27,IF(A28&lt;'Données projet'!$A$114,$BV$205^A28,IF(A28='Données projet'!$A$114,'Données projet'!$B$114,BY27+BX28-CG27)))</f>
        <v>140.5</v>
      </c>
      <c r="BZ28" s="14">
        <f>BY28*VLOOKUP('Données projet'!$B$12,Paramètres!$A$1:$I$89,3,0)*VLOOKUP('Données projet'!$B$12,Paramètres!$A$1:$I$89,5,0)</f>
        <v>111.7818</v>
      </c>
      <c r="CA28" s="14">
        <f t="shared" si="39"/>
        <v>29.750397150027219</v>
      </c>
      <c r="CB28" s="22">
        <f t="shared" si="10"/>
        <v>246.5019100362974</v>
      </c>
      <c r="CC28" s="62">
        <f t="shared" si="11"/>
        <v>489.33579606660203</v>
      </c>
      <c r="CD28" s="62">
        <f ca="1">AVERAGE(OFFSET($CC$3,0,0,'Données projet'!$E$12+1,1))-AVERAGE(OFFSET($H$3,0,0,'Données projet'!$E$12+1,1))</f>
        <v>388.52230330563884</v>
      </c>
      <c r="CE28" s="62">
        <f t="shared" si="40"/>
        <v>418.94833960687333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140.5</v>
      </c>
      <c r="CR28" s="13">
        <f>VLOOKUP(A28,'Données projet'!$A$139:$I$159,9,0)</f>
        <v>14.739999999999998</v>
      </c>
      <c r="CS28" s="13">
        <f t="array" ref="CS28">INDEX(CR:CR,MIN(IF(ISNUMBER(CR28:CR224),ROW(CR28:CR224),"")))</f>
        <v>14.739999999999998</v>
      </c>
      <c r="CT28" s="13">
        <f>IF('Données projet'!$A$140&gt;35,CT27+CS28-DB27,IF(A28&lt;'Données projet'!$A$140,$CQ$205^A28,IF(A28='Données projet'!$A$140,'Données projet'!$B$140,CT27+CS28-DB27)))</f>
        <v>140.5</v>
      </c>
      <c r="CU28" s="18">
        <f>CT28*VLOOKUP('Données projet'!$B$13,Paramètres!$A$1:$I$89,3,0)*VLOOKUP('Données projet'!$B$13,Paramètres!$A$1:$I$89,5,0)</f>
        <v>103.0146</v>
      </c>
      <c r="CV28" s="14">
        <f t="shared" si="41"/>
        <v>27.678938285581953</v>
      </c>
      <c r="CW28" s="22">
        <f t="shared" si="13"/>
        <v>227.62457918072189</v>
      </c>
      <c r="CX28" s="62">
        <f t="shared" si="14"/>
        <v>470.45846521102652</v>
      </c>
      <c r="CY28" s="62">
        <f ca="1">AVERAGE(OFFSET($CX$3,0,0,'Données projet'!$E$13+1,1))-AVERAGE(OFFSET($H$3,0,0,'Données projet'!$E$13+1,1))</f>
        <v>362.38131866207266</v>
      </c>
      <c r="CZ28" s="62">
        <f t="shared" si="42"/>
        <v>390.74498763200336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98</v>
      </c>
      <c r="DM28" s="13">
        <f>VLOOKUP(A28,'Données projet'!$A$165:$I$185,9,0)</f>
        <v>8</v>
      </c>
      <c r="DN28" s="13">
        <f t="array" ref="DN28">INDEX(DM:DM,MIN(IF(ISNUMBER(DM28:DM224),ROW(DM28:DM224),"")))</f>
        <v>8</v>
      </c>
      <c r="DO28" s="13">
        <f>IF('Données projet'!$A$166&gt;35,DO27+DN28-DW27,IF(A28&lt;'Données projet'!$A$166,$DL$205^A28,IF(A28='Données projet'!$A$166,'Données projet'!$B$166,DO27+DN28-DW27)))</f>
        <v>98</v>
      </c>
      <c r="DP28" s="18">
        <f>DO28*VLOOKUP('Données projet'!$B$14,Paramètres!$A$1:$I$89,3,0)*VLOOKUP('Données projet'!$B$14,Paramètres!$A$1:$I$89,5,0)</f>
        <v>85.612800000000007</v>
      </c>
      <c r="DQ28" s="14">
        <f t="shared" si="43"/>
        <v>23.504080242391282</v>
      </c>
      <c r="DR28" s="22">
        <f t="shared" si="16"/>
        <v>190.04523308883151</v>
      </c>
      <c r="DS28" s="62">
        <f t="shared" si="17"/>
        <v>432.87911911913613</v>
      </c>
      <c r="DT28" s="62">
        <f ca="1">AVERAGE(OFFSET($DS$3,0,0,'Données projet'!$E$14+1,1))-AVERAGE(OFFSET($H$3,0,0,'Données projet'!$E$14+1,1))</f>
        <v>334.4692012109935</v>
      </c>
      <c r="DU28" s="62">
        <f t="shared" si="44"/>
        <v>316.360405424036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19</v>
      </c>
      <c r="EJ28" s="13">
        <f>IF('Données projet'!$A$192&gt;35,EJ27+EI28-ER27,IF(A28&lt;'Données projet'!$A$192,$EG$205^A28,IF(A28='Données projet'!$A$192,'Données projet'!$B$192,EJ27+EI28-ER27)))</f>
        <v>223</v>
      </c>
      <c r="EK28" s="18">
        <f>EJ28*VLOOKUP('Données projet'!$B$15,Paramètres!$A$1:$I$89,3,0)*VLOOKUP('Données projet'!$B$15,Paramètres!$A$1:$I$89,5,0)</f>
        <v>124.65700000000001</v>
      </c>
      <c r="EL28" s="14">
        <f t="shared" si="45"/>
        <v>32.758749517288294</v>
      </c>
      <c r="EM28" s="22">
        <f t="shared" si="19"/>
        <v>274.16576374261041</v>
      </c>
      <c r="EN28" s="62">
        <f t="shared" si="20"/>
        <v>516.99964977291506</v>
      </c>
      <c r="EO28" s="62">
        <f ca="1">AVERAGE(OFFSET($EN$3,0,0,'Données projet'!$E$15+1,1))-AVERAGE(OFFSET($H$3,0,0,'Données projet'!$E$15+1,1))</f>
        <v>390.09289316045653</v>
      </c>
      <c r="EP28" s="62">
        <f t="shared" si="46"/>
        <v>364.34913542817617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4.9842281027486957</v>
      </c>
      <c r="EY28" s="24">
        <f t="shared" si="21"/>
        <v>4.9842281027486957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2.9333333333333331</v>
      </c>
      <c r="FE28" s="13">
        <f>IF('Données projet'!$A$218&gt;35,FE27+FD28-FM27,IF(A28&lt;'Données projet'!$A$218,$FB$205^A28,IF(A28='Données projet'!$A$218,'Données projet'!$B$218,FE27+FD28-FM27)))</f>
        <v>41.725565065359419</v>
      </c>
      <c r="FF28" s="18">
        <f>FE28*VLOOKUP('Données projet'!$B$16,Paramètres!$A$1:$I$89,3,0)*VLOOKUP('Données projet'!$B$16,Paramètres!$A$1:$I$89,5,0)</f>
        <v>19.527564450588208</v>
      </c>
      <c r="FG28" s="14">
        <f t="shared" si="47"/>
        <v>6.3674964020676033</v>
      </c>
      <c r="FH28" s="22">
        <f t="shared" si="22"/>
        <v>45.10056431837554</v>
      </c>
      <c r="FI28" s="62">
        <f t="shared" si="23"/>
        <v>287.93445034868017</v>
      </c>
      <c r="FJ28" s="62">
        <f ca="1">AVERAGE(OFFSET($FI$3,0,0,'Données projet'!$E$16+1,1))-AVERAGE(OFFSET($H$3,0,0,'Données projet'!$E$16+1,1))</f>
        <v>344.55118007058775</v>
      </c>
      <c r="FK28" s="62">
        <f t="shared" si="48"/>
        <v>144.16931602355001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14.166666666666666</v>
      </c>
      <c r="FZ28" s="13">
        <f>IF('Données projet'!$A$244&gt;35,FZ27+FY28-GH27,IF(A28&lt;'Données projet'!$A$244,$FW$205^A28,IF(A28='Données projet'!$A$244,'Données projet'!$B$244,FZ27+FY28-GH27)))</f>
        <v>153.16666666666666</v>
      </c>
      <c r="GA28" s="18">
        <f>FZ28*VLOOKUP('Données projet'!$B$17,Paramètres!$A$1:$I$89,3,0)*VLOOKUP('Données projet'!$B$17,Paramètres!$A$1:$I$89,5,0)</f>
        <v>95.575999999999993</v>
      </c>
      <c r="GB28" s="14">
        <f t="shared" si="49"/>
        <v>25.905281107545633</v>
      </c>
      <c r="GC28" s="22">
        <f t="shared" si="25"/>
        <v>211.57989792897527</v>
      </c>
      <c r="GD28" s="62">
        <f t="shared" si="26"/>
        <v>454.4137839592799</v>
      </c>
      <c r="GE28" s="62">
        <f ca="1">AVERAGE(OFFSET($GD$3,0,0,'Données projet'!$E$17+1,1))-AVERAGE(OFFSET($H$3,0,0,'Données projet'!$E$17+1,1))</f>
        <v>252.60122125520482</v>
      </c>
      <c r="GF28" s="62">
        <f t="shared" si="50"/>
        <v>357.56833754121317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2.7908573067866773</v>
      </c>
      <c r="GN28" s="23">
        <f>EXP(-LN(2)/2)*GN27+(1-EXP(-LN(2)/2))/(LN(2)/2)*GH28*GK28*VLOOKUP('Données projet'!$B$17,Paramètres!$A$1:$I$89,3,0)*0.475*44/12</f>
        <v>8.7157713911512378</v>
      </c>
      <c r="GO28" s="23">
        <f t="shared" si="27"/>
        <v>11.506628697937915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102</v>
      </c>
      <c r="GS28" s="13">
        <f>VLOOKUP(A28,'Données projet'!$A$269:$I$289,9,0)</f>
        <v>8.6</v>
      </c>
      <c r="GT28" s="13">
        <f t="array" ref="GT28">INDEX(GS:GS,MIN(IF(ISNUMBER(GS28:GS224),ROW(GS28:GS224),"")))</f>
        <v>8.6</v>
      </c>
      <c r="GU28" s="13">
        <f>IF('Données projet'!$A$270&gt;35,GU27+GT28-HC27,IF(A28&lt;'Données projet'!$A$270,$GR$205^A28,IF(A28='Données projet'!$A$270,'Données projet'!$B$270,GU27+GT28-HC27)))</f>
        <v>101.99999999999997</v>
      </c>
      <c r="GV28" s="18">
        <f>GU28*VLOOKUP('Données projet'!$B$18,Paramètres!$A$1:$I$89,3,0)*VLOOKUP('Données projet'!$B$18,Paramètres!$A$1:$I$89,5,0)</f>
        <v>82.742399999999975</v>
      </c>
      <c r="GW28" s="14">
        <f t="shared" si="51"/>
        <v>22.806394174303183</v>
      </c>
      <c r="GX28" s="22">
        <f t="shared" si="28"/>
        <v>183.83081652024464</v>
      </c>
      <c r="GY28" s="62">
        <f t="shared" si="29"/>
        <v>426.66470255054924</v>
      </c>
      <c r="GZ28" s="62">
        <f ca="1">AVERAGE(OFFSET($GY$3,0,0,'Données projet'!$E$18+1,1))-AVERAGE(OFFSET($H$3,0,0,'Données projet'!$E$18+1,1))</f>
        <v>268.57152522489537</v>
      </c>
      <c r="HA28" s="62">
        <f t="shared" si="52"/>
        <v>311.80303557283207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3.75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13.75</v>
      </c>
      <c r="H29" s="70">
        <f t="shared" si="1"/>
        <v>201.66666666666666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384.52997509305601</v>
      </c>
      <c r="S29" s="62">
        <f ca="1">AVERAGE(OFFSET($R$3,0,0,'Données projet'!$E$9+1,1))-AVERAGE(OFFSET($H$3,0,0,'Données projet'!$E$9+1,1))</f>
        <v>461.02780119093666</v>
      </c>
      <c r="T29" s="62">
        <f t="shared" si="34"/>
        <v>245.70016468438834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58.125600000000013</v>
      </c>
      <c r="AK29" s="14">
        <f t="shared" si="35"/>
        <v>16.693490054590175</v>
      </c>
      <c r="AL29" s="22">
        <f t="shared" si="4"/>
        <v>130.30991517841125</v>
      </c>
      <c r="AM29" s="62">
        <f t="shared" si="5"/>
        <v>375.13606182641502</v>
      </c>
      <c r="AN29" s="62">
        <f ca="1">AVERAGE(OFFSET($AM$3,0,0,'Données projet'!$E$10+1,1))-AVERAGE(OFFSET($H$3,0,0,'Données projet'!$E$10+1,1))</f>
        <v>434.22500776975596</v>
      </c>
      <c r="AO29" s="62">
        <f t="shared" si="36"/>
        <v>232.59777933076705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6.5384615384615357</v>
      </c>
      <c r="BD29" s="13">
        <f>IF('Données projet'!$A$88&gt;35,BD28+BC29-BL28,IF(A29&lt;'Données projet'!$A$88,$BA$205^A29,IF(A29='Données projet'!$A$88,'Données projet'!$B$88,BD28+BC29-BL28)))</f>
        <v>90.512820512820525</v>
      </c>
      <c r="BE29" s="14">
        <f>BD29*VLOOKUP('Données projet'!$B$11,Paramètres!$A$1:$I$89,3,0)*VLOOKUP('Données projet'!$B$11,Paramètres!$A$1:$I$89,5,0)</f>
        <v>86.132000000000019</v>
      </c>
      <c r="BF29" s="14">
        <f t="shared" si="37"/>
        <v>23.629984954025307</v>
      </c>
      <c r="BG29" s="22">
        <f t="shared" si="7"/>
        <v>191.16879046159409</v>
      </c>
      <c r="BH29" s="62">
        <f t="shared" si="8"/>
        <v>435.99493710959791</v>
      </c>
      <c r="BI29" s="62">
        <f ca="1">AVERAGE(OFFSET($BH$3,0,0,'Données projet'!$E$11+1,1))-AVERAGE(OFFSET($H$3,0,0,'Données projet'!$E$11+1,1))</f>
        <v>393.3005580838161</v>
      </c>
      <c r="BJ29" s="62">
        <f t="shared" si="38"/>
        <v>295.86019897822757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14.260000000000002</v>
      </c>
      <c r="BY29" s="13">
        <f>IF('Données projet'!$A$114&gt;35,BY28+BX29-CG28,IF(A29&lt;'Données projet'!$A$114,$BV$205^A29,IF(A29='Données projet'!$A$114,'Données projet'!$B$114,BY28+BX29-CG28)))</f>
        <v>154.76</v>
      </c>
      <c r="BZ29" s="14">
        <f>BY29*VLOOKUP('Données projet'!$B$12,Paramètres!$A$1:$I$89,3,0)*VLOOKUP('Données projet'!$B$12,Paramètres!$A$1:$I$89,5,0)</f>
        <v>123.127056</v>
      </c>
      <c r="CA29" s="14">
        <f t="shared" si="39"/>
        <v>32.403238210173519</v>
      </c>
      <c r="CB29" s="22">
        <f t="shared" si="10"/>
        <v>270.88192908271884</v>
      </c>
      <c r="CC29" s="62">
        <f t="shared" si="11"/>
        <v>515.70807573072261</v>
      </c>
      <c r="CD29" s="62">
        <f ca="1">AVERAGE(OFFSET($CC$3,0,0,'Données projet'!$E$12+1,1))-AVERAGE(OFFSET($H$3,0,0,'Données projet'!$E$12+1,1))</f>
        <v>388.52230330563884</v>
      </c>
      <c r="CE29" s="62">
        <f t="shared" si="40"/>
        <v>418.94833960687333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14.260000000000002</v>
      </c>
      <c r="CT29" s="13">
        <f>IF('Données projet'!$A$140&gt;35,CT28+CS29-DB28,IF(A29&lt;'Données projet'!$A$140,$CQ$205^A29,IF(A29='Données projet'!$A$140,'Données projet'!$B$140,CT28+CS29-DB28)))</f>
        <v>154.76</v>
      </c>
      <c r="CU29" s="18">
        <f>CT29*VLOOKUP('Données projet'!$B$13,Paramètres!$A$1:$I$89,3,0)*VLOOKUP('Données projet'!$B$13,Paramètres!$A$1:$I$89,5,0)</f>
        <v>113.47003199999999</v>
      </c>
      <c r="CV29" s="14">
        <f t="shared" si="41"/>
        <v>30.147067487856493</v>
      </c>
      <c r="CW29" s="22">
        <f t="shared" si="13"/>
        <v>250.13311494134999</v>
      </c>
      <c r="CX29" s="62">
        <f t="shared" si="14"/>
        <v>494.95926158935379</v>
      </c>
      <c r="CY29" s="62">
        <f ca="1">AVERAGE(OFFSET($CX$3,0,0,'Données projet'!$E$13+1,1))-AVERAGE(OFFSET($H$3,0,0,'Données projet'!$E$13+1,1))</f>
        <v>362.38131866207266</v>
      </c>
      <c r="CZ29" s="62">
        <f t="shared" si="42"/>
        <v>390.74498763200336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</v>
      </c>
      <c r="DO29" s="13">
        <f>IF('Données projet'!$A$166&gt;35,DO28+DN29-DW28,IF(A29&lt;'Données projet'!$A$166,$DL$205^A29,IF(A29='Données projet'!$A$166,'Données projet'!$B$166,DO28+DN29-DW28)))</f>
        <v>106</v>
      </c>
      <c r="DP29" s="18">
        <f>DO29*VLOOKUP('Données projet'!$B$14,Paramètres!$A$1:$I$89,3,0)*VLOOKUP('Données projet'!$B$14,Paramètres!$A$1:$I$89,5,0)</f>
        <v>92.601600000000019</v>
      </c>
      <c r="DQ29" s="14">
        <f t="shared" si="43"/>
        <v>25.191623861555186</v>
      </c>
      <c r="DR29" s="22">
        <f t="shared" si="16"/>
        <v>205.15653155887529</v>
      </c>
      <c r="DS29" s="62">
        <f t="shared" si="17"/>
        <v>449.98267820687909</v>
      </c>
      <c r="DT29" s="62">
        <f ca="1">AVERAGE(OFFSET($DS$3,0,0,'Données projet'!$E$14+1,1))-AVERAGE(OFFSET($H$3,0,0,'Données projet'!$E$14+1,1))</f>
        <v>334.4692012109935</v>
      </c>
      <c r="DU29" s="62">
        <f t="shared" si="44"/>
        <v>316.360405424036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19</v>
      </c>
      <c r="EJ29" s="13">
        <f>IF('Données projet'!$A$192&gt;35,EJ28+EI29-ER28,IF(A29&lt;'Données projet'!$A$192,$EG$205^A29,IF(A29='Données projet'!$A$192,'Données projet'!$B$192,EJ28+EI29-ER28)))</f>
        <v>242</v>
      </c>
      <c r="EK29" s="18">
        <f>EJ29*VLOOKUP('Données projet'!$B$15,Paramètres!$A$1:$I$89,3,0)*VLOOKUP('Données projet'!$B$15,Paramètres!$A$1:$I$89,5,0)</f>
        <v>135.27800000000002</v>
      </c>
      <c r="EL29" s="14">
        <f t="shared" si="45"/>
        <v>35.213110998543605</v>
      </c>
      <c r="EM29" s="22">
        <f t="shared" si="19"/>
        <v>296.93868498913014</v>
      </c>
      <c r="EN29" s="62">
        <f t="shared" si="20"/>
        <v>541.76483163713397</v>
      </c>
      <c r="EO29" s="62">
        <f ca="1">AVERAGE(OFFSET($EN$3,0,0,'Données projet'!$E$15+1,1))-AVERAGE(OFFSET($H$3,0,0,'Données projet'!$E$15+1,1))</f>
        <v>390.09289316045653</v>
      </c>
      <c r="EP29" s="62">
        <f t="shared" si="46"/>
        <v>364.34913542817617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3.524381490434163</v>
      </c>
      <c r="EY29" s="24">
        <f t="shared" si="21"/>
        <v>3.524381490434163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2.9333333333333331</v>
      </c>
      <c r="FE29" s="13">
        <f>IF('Données projet'!$A$218&gt;35,FE28+FD29-FM28,IF(A29&lt;'Données projet'!$A$218,$FB$205^A29,IF(A29='Données projet'!$A$218,'Données projet'!$B$218,FE28+FD29-FM28)))</f>
        <v>48.441581778943714</v>
      </c>
      <c r="FF29" s="18">
        <f>FE29*VLOOKUP('Données projet'!$B$16,Paramètres!$A$1:$I$89,3,0)*VLOOKUP('Données projet'!$B$16,Paramètres!$A$1:$I$89,5,0)</f>
        <v>22.670660272545657</v>
      </c>
      <c r="FG29" s="14">
        <f t="shared" si="47"/>
        <v>7.2650767147743212</v>
      </c>
      <c r="FH29" s="22">
        <f t="shared" si="22"/>
        <v>52.138075252915627</v>
      </c>
      <c r="FI29" s="62">
        <f t="shared" si="23"/>
        <v>296.96422190091943</v>
      </c>
      <c r="FJ29" s="62">
        <f ca="1">AVERAGE(OFFSET($FI$3,0,0,'Données projet'!$E$16+1,1))-AVERAGE(OFFSET($H$3,0,0,'Données projet'!$E$16+1,1))</f>
        <v>344.55118007058775</v>
      </c>
      <c r="FK29" s="62">
        <f t="shared" si="48"/>
        <v>144.16931602355001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14.166666666666666</v>
      </c>
      <c r="FZ29" s="13">
        <f>IF('Données projet'!$A$244&gt;35,FZ28+FY29-GH28,IF(A29&lt;'Données projet'!$A$244,$FW$205^A29,IF(A29='Données projet'!$A$244,'Données projet'!$B$244,FZ28+FY29-GH28)))</f>
        <v>167.33333333333331</v>
      </c>
      <c r="GA29" s="18">
        <f>FZ29*VLOOKUP('Données projet'!$B$17,Paramètres!$A$1:$I$89,3,0)*VLOOKUP('Données projet'!$B$17,Paramètres!$A$1:$I$89,5,0)</f>
        <v>104.416</v>
      </c>
      <c r="GB29" s="14">
        <f t="shared" si="49"/>
        <v>28.01138818767625</v>
      </c>
      <c r="GC29" s="22">
        <f t="shared" si="25"/>
        <v>230.64436776020281</v>
      </c>
      <c r="GD29" s="62">
        <f t="shared" si="26"/>
        <v>475.47051440820661</v>
      </c>
      <c r="GE29" s="62">
        <f ca="1">AVERAGE(OFFSET($GD$3,0,0,'Données projet'!$E$17+1,1))-AVERAGE(OFFSET($H$3,0,0,'Données projet'!$E$17+1,1))</f>
        <v>252.60122125520482</v>
      </c>
      <c r="GF29" s="62">
        <f t="shared" si="50"/>
        <v>357.56833754121317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2.7145411669677886</v>
      </c>
      <c r="GN29" s="23">
        <f>EXP(-LN(2)/2)*GN28+(1-EXP(-LN(2)/2))/(LN(2)/2)*GH29*GK29*VLOOKUP('Données projet'!$B$17,Paramètres!$A$1:$I$89,3,0)*0.475*44/12</f>
        <v>6.1629810539547494</v>
      </c>
      <c r="GO29" s="23">
        <f t="shared" si="27"/>
        <v>8.877522220922538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8.8000000000000007</v>
      </c>
      <c r="GU29" s="13">
        <f>IF('Données projet'!$A$270&gt;35,GU28+GT29-HC28,IF(A29&lt;'Données projet'!$A$270,$GR$205^A29,IF(A29='Données projet'!$A$270,'Données projet'!$B$270,GU28+GT29-HC28)))</f>
        <v>110.79999999999997</v>
      </c>
      <c r="GV29" s="18">
        <f>GU29*VLOOKUP('Données projet'!$B$18,Paramètres!$A$1:$I$89,3,0)*VLOOKUP('Données projet'!$B$18,Paramètres!$A$1:$I$89,5,0)</f>
        <v>89.880959999999973</v>
      </c>
      <c r="GW29" s="14">
        <f t="shared" si="51"/>
        <v>24.536513201257339</v>
      </c>
      <c r="GX29" s="22">
        <f t="shared" si="28"/>
        <v>199.27709915885649</v>
      </c>
      <c r="GY29" s="62">
        <f t="shared" si="29"/>
        <v>444.10324580686029</v>
      </c>
      <c r="GZ29" s="62">
        <f ca="1">AVERAGE(OFFSET($GY$3,0,0,'Données projet'!$E$18+1,1))-AVERAGE(OFFSET($H$3,0,0,'Données projet'!$E$18+1,1))</f>
        <v>268.57152522489537</v>
      </c>
      <c r="HA29" s="62">
        <f t="shared" si="52"/>
        <v>311.80303557283207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3.75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13.75</v>
      </c>
      <c r="H30" s="70">
        <f t="shared" si="1"/>
        <v>201.66666666666666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400.30021652800565</v>
      </c>
      <c r="S30" s="62">
        <f ca="1">AVERAGE(OFFSET($R$3,0,0,'Données projet'!$E$9+1,1))-AVERAGE(OFFSET($H$3,0,0,'Données projet'!$E$9+1,1))</f>
        <v>461.02780119093666</v>
      </c>
      <c r="T30" s="62">
        <f t="shared" si="34"/>
        <v>245.70016468438834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64.022400000000019</v>
      </c>
      <c r="AK30" s="14">
        <f t="shared" si="35"/>
        <v>18.181385543312242</v>
      </c>
      <c r="AL30" s="22">
        <f t="shared" si="4"/>
        <v>143.17159315460219</v>
      </c>
      <c r="AM30" s="62">
        <f t="shared" si="5"/>
        <v>389.97664197569145</v>
      </c>
      <c r="AN30" s="62">
        <f ca="1">AVERAGE(OFFSET($AM$3,0,0,'Données projet'!$E$10+1,1))-AVERAGE(OFFSET($H$3,0,0,'Données projet'!$E$10+1,1))</f>
        <v>434.22500776975596</v>
      </c>
      <c r="AO30" s="62">
        <f t="shared" si="36"/>
        <v>232.59777933076705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6.5384615384615357</v>
      </c>
      <c r="BD30" s="13">
        <f>IF('Données projet'!$A$88&gt;35,BD29+BC30-BL29,IF(A30&lt;'Données projet'!$A$88,$BA$205^A30,IF(A30='Données projet'!$A$88,'Données projet'!$B$88,BD29+BC30-BL29)))</f>
        <v>97.051282051282058</v>
      </c>
      <c r="BE30" s="14">
        <f>BD30*VLOOKUP('Données projet'!$B$11,Paramètres!$A$1:$I$89,3,0)*VLOOKUP('Données projet'!$B$11,Paramètres!$A$1:$I$89,5,0)</f>
        <v>92.354000000000013</v>
      </c>
      <c r="BF30" s="14">
        <f t="shared" si="37"/>
        <v>25.132097180965346</v>
      </c>
      <c r="BG30" s="22">
        <f t="shared" si="7"/>
        <v>204.62161925684799</v>
      </c>
      <c r="BH30" s="62">
        <f t="shared" si="8"/>
        <v>451.42666807793728</v>
      </c>
      <c r="BI30" s="62">
        <f ca="1">AVERAGE(OFFSET($BH$3,0,0,'Données projet'!$E$11+1,1))-AVERAGE(OFFSET($H$3,0,0,'Données projet'!$E$11+1,1))</f>
        <v>393.3005580838161</v>
      </c>
      <c r="BJ30" s="62">
        <f t="shared" si="38"/>
        <v>295.86019897822757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14.260000000000002</v>
      </c>
      <c r="BY30" s="13">
        <f>IF('Données projet'!$A$114&gt;35,BY29+BX30-CG29,IF(A30&lt;'Données projet'!$A$114,$BV$205^A30,IF(A30='Données projet'!$A$114,'Données projet'!$B$114,BY29+BX30-CG29)))</f>
        <v>169.01999999999998</v>
      </c>
      <c r="BZ30" s="14">
        <f>BY30*VLOOKUP('Données projet'!$B$12,Paramètres!$A$1:$I$89,3,0)*VLOOKUP('Données projet'!$B$12,Paramètres!$A$1:$I$89,5,0)</f>
        <v>134.47231199999999</v>
      </c>
      <c r="CA30" s="14">
        <f t="shared" si="39"/>
        <v>35.027736208949172</v>
      </c>
      <c r="CB30" s="22">
        <f t="shared" si="10"/>
        <v>295.21258396391971</v>
      </c>
      <c r="CC30" s="62">
        <f t="shared" si="11"/>
        <v>542.01763278500903</v>
      </c>
      <c r="CD30" s="62">
        <f ca="1">AVERAGE(OFFSET($CC$3,0,0,'Données projet'!$E$12+1,1))-AVERAGE(OFFSET($H$3,0,0,'Données projet'!$E$12+1,1))</f>
        <v>388.52230330563884</v>
      </c>
      <c r="CE30" s="62">
        <f t="shared" si="40"/>
        <v>418.94833960687333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14.260000000000002</v>
      </c>
      <c r="CT30" s="13">
        <f>IF('Données projet'!$A$140&gt;35,CT29+CS30-DB29,IF(A30&lt;'Données projet'!$A$140,$CQ$205^A30,IF(A30='Données projet'!$A$140,'Données projet'!$B$140,CT29+CS30-DB29)))</f>
        <v>169.01999999999998</v>
      </c>
      <c r="CU30" s="18">
        <f>CT30*VLOOKUP('Données projet'!$B$13,Paramètres!$A$1:$I$89,3,0)*VLOOKUP('Données projet'!$B$13,Paramètres!$A$1:$I$89,5,0)</f>
        <v>123.92546399999999</v>
      </c>
      <c r="CV30" s="14">
        <f t="shared" si="41"/>
        <v>32.58882709773377</v>
      </c>
      <c r="CW30" s="22">
        <f t="shared" si="13"/>
        <v>272.59572366188627</v>
      </c>
      <c r="CX30" s="62">
        <f t="shared" si="14"/>
        <v>519.40077248297553</v>
      </c>
      <c r="CY30" s="62">
        <f ca="1">AVERAGE(OFFSET($CX$3,0,0,'Données projet'!$E$13+1,1))-AVERAGE(OFFSET($H$3,0,0,'Données projet'!$E$13+1,1))</f>
        <v>362.38131866207266</v>
      </c>
      <c r="CZ30" s="62">
        <f t="shared" si="42"/>
        <v>390.74498763200336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</v>
      </c>
      <c r="DO30" s="13">
        <f>IF('Données projet'!$A$166&gt;35,DO29+DN30-DW29,IF(A30&lt;'Données projet'!$A$166,$DL$205^A30,IF(A30='Données projet'!$A$166,'Données projet'!$B$166,DO29+DN30-DW29)))</f>
        <v>114</v>
      </c>
      <c r="DP30" s="18">
        <f>DO30*VLOOKUP('Données projet'!$B$14,Paramètres!$A$1:$I$89,3,0)*VLOOKUP('Données projet'!$B$14,Paramètres!$A$1:$I$89,5,0)</f>
        <v>99.590400000000002</v>
      </c>
      <c r="DQ30" s="14">
        <f t="shared" si="43"/>
        <v>26.864392698869324</v>
      </c>
      <c r="DR30" s="22">
        <f t="shared" si="16"/>
        <v>220.24209728386407</v>
      </c>
      <c r="DS30" s="62">
        <f t="shared" si="17"/>
        <v>467.04714610495336</v>
      </c>
      <c r="DT30" s="62">
        <f ca="1">AVERAGE(OFFSET($DS$3,0,0,'Données projet'!$E$14+1,1))-AVERAGE(OFFSET($H$3,0,0,'Données projet'!$E$14+1,1))</f>
        <v>334.4692012109935</v>
      </c>
      <c r="DU30" s="62">
        <f t="shared" si="44"/>
        <v>316.360405424036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19</v>
      </c>
      <c r="EJ30" s="13">
        <f>IF('Données projet'!$A$192&gt;35,EJ29+EI30-ER29,IF(A30&lt;'Données projet'!$A$192,$EG$205^A30,IF(A30='Données projet'!$A$192,'Données projet'!$B$192,EJ29+EI30-ER29)))</f>
        <v>261</v>
      </c>
      <c r="EK30" s="18">
        <f>EJ30*VLOOKUP('Données projet'!$B$15,Paramètres!$A$1:$I$89,3,0)*VLOOKUP('Données projet'!$B$15,Paramètres!$A$1:$I$89,5,0)</f>
        <v>145.899</v>
      </c>
      <c r="EL30" s="14">
        <f t="shared" si="45"/>
        <v>37.645120410716935</v>
      </c>
      <c r="EM30" s="22">
        <f t="shared" si="19"/>
        <v>319.67267638199866</v>
      </c>
      <c r="EN30" s="62">
        <f t="shared" si="20"/>
        <v>566.47772520308797</v>
      </c>
      <c r="EO30" s="62">
        <f ca="1">AVERAGE(OFFSET($EN$3,0,0,'Données projet'!$E$15+1,1))-AVERAGE(OFFSET($H$3,0,0,'Données projet'!$E$15+1,1))</f>
        <v>390.09289316045653</v>
      </c>
      <c r="EP30" s="62">
        <f t="shared" si="46"/>
        <v>364.34913542817617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2.4921140513743483</v>
      </c>
      <c r="EY30" s="24">
        <f t="shared" si="21"/>
        <v>2.4921140513743483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2.9333333333333331</v>
      </c>
      <c r="FE30" s="13">
        <f>IF('Données projet'!$A$218&gt;35,FE29+FD30-FM29,IF(A30&lt;'Données projet'!$A$218,$FB$205^A30,IF(A30='Données projet'!$A$218,'Données projet'!$B$218,FE29+FD30-FM29)))</f>
        <v>56.238587579829549</v>
      </c>
      <c r="FF30" s="18">
        <f>FE30*VLOOKUP('Données projet'!$B$16,Paramètres!$A$1:$I$89,3,0)*VLOOKUP('Données projet'!$B$16,Paramètres!$A$1:$I$89,5,0)</f>
        <v>26.319658987360228</v>
      </c>
      <c r="FG30" s="14">
        <f t="shared" si="47"/>
        <v>8.2891824884922247</v>
      </c>
      <c r="FH30" s="22">
        <f t="shared" si="22"/>
        <v>60.277065570443021</v>
      </c>
      <c r="FI30" s="62">
        <f t="shared" si="23"/>
        <v>307.08211439153229</v>
      </c>
      <c r="FJ30" s="62">
        <f ca="1">AVERAGE(OFFSET($FI$3,0,0,'Données projet'!$E$16+1,1))-AVERAGE(OFFSET($H$3,0,0,'Données projet'!$E$16+1,1))</f>
        <v>344.55118007058775</v>
      </c>
      <c r="FK30" s="62">
        <f t="shared" si="48"/>
        <v>144.16931602355001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14.166666666666666</v>
      </c>
      <c r="FZ30" s="13">
        <f>IF('Données projet'!$A$244&gt;35,FZ29+FY30-GH29,IF(A30&lt;'Données projet'!$A$244,$FW$205^A30,IF(A30='Données projet'!$A$244,'Données projet'!$B$244,FZ29+FY30-GH29)))</f>
        <v>181.49999999999997</v>
      </c>
      <c r="GA30" s="18">
        <f>FZ30*VLOOKUP('Données projet'!$B$17,Paramètres!$A$1:$I$89,3,0)*VLOOKUP('Données projet'!$B$17,Paramètres!$A$1:$I$89,5,0)</f>
        <v>113.25599999999997</v>
      </c>
      <c r="GB30" s="14">
        <f t="shared" si="49"/>
        <v>30.096816336106439</v>
      </c>
      <c r="GC30" s="22">
        <f t="shared" si="25"/>
        <v>249.67282178538531</v>
      </c>
      <c r="GD30" s="62">
        <f t="shared" si="26"/>
        <v>496.4778706064746</v>
      </c>
      <c r="GE30" s="62">
        <f ca="1">AVERAGE(OFFSET($GD$3,0,0,'Données projet'!$E$17+1,1))-AVERAGE(OFFSET($H$3,0,0,'Données projet'!$E$17+1,1))</f>
        <v>252.60122125520482</v>
      </c>
      <c r="GF30" s="62">
        <f t="shared" si="50"/>
        <v>357.56833754121317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2.6403118960055387</v>
      </c>
      <c r="GN30" s="23">
        <f>EXP(-LN(2)/2)*GN29+(1-EXP(-LN(2)/2))/(LN(2)/2)*GH30*GK30*VLOOKUP('Données projet'!$B$17,Paramètres!$A$1:$I$89,3,0)*0.475*44/12</f>
        <v>4.3578856955756189</v>
      </c>
      <c r="GO30" s="23">
        <f t="shared" si="27"/>
        <v>6.9981975915811576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8.8000000000000007</v>
      </c>
      <c r="GU30" s="13">
        <f>IF('Données projet'!$A$270&gt;35,GU29+GT30-HC29,IF(A30&lt;'Données projet'!$A$270,$GR$205^A30,IF(A30='Données projet'!$A$270,'Données projet'!$B$270,GU29+GT30-HC29)))</f>
        <v>119.59999999999997</v>
      </c>
      <c r="GV30" s="18">
        <f>GU30*VLOOKUP('Données projet'!$B$18,Paramètres!$A$1:$I$89,3,0)*VLOOKUP('Données projet'!$B$18,Paramètres!$A$1:$I$89,5,0)</f>
        <v>97.019519999999986</v>
      </c>
      <c r="GW30" s="14">
        <f t="shared" si="51"/>
        <v>26.250693712468323</v>
      </c>
      <c r="GX30" s="22">
        <f t="shared" si="28"/>
        <v>214.69562221588228</v>
      </c>
      <c r="GY30" s="62">
        <f t="shared" si="29"/>
        <v>461.50067103697154</v>
      </c>
      <c r="GZ30" s="62">
        <f ca="1">AVERAGE(OFFSET($GY$3,0,0,'Données projet'!$E$18+1,1))-AVERAGE(OFFSET($H$3,0,0,'Données projet'!$E$18+1,1))</f>
        <v>268.57152522489537</v>
      </c>
      <c r="HA30" s="62">
        <f t="shared" si="52"/>
        <v>311.80303557283207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3.75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13.75</v>
      </c>
      <c r="H31" s="70">
        <f t="shared" si="1"/>
        <v>201.66666666666666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416.02785183965364</v>
      </c>
      <c r="S31" s="62">
        <f ca="1">AVERAGE(OFFSET($R$3,0,0,'Données projet'!$E$9+1,1))-AVERAGE(OFFSET($H$3,0,0,'Données projet'!$E$9+1,1))</f>
        <v>461.02780119093666</v>
      </c>
      <c r="T31" s="62">
        <f t="shared" si="34"/>
        <v>245.70016468438834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69.919200000000004</v>
      </c>
      <c r="AK31" s="14">
        <f t="shared" si="35"/>
        <v>19.653390735061731</v>
      </c>
      <c r="AL31" s="22">
        <f t="shared" si="4"/>
        <v>156.00559553023251</v>
      </c>
      <c r="AM31" s="62">
        <f t="shared" si="5"/>
        <v>404.77641981894283</v>
      </c>
      <c r="AN31" s="62">
        <f ca="1">AVERAGE(OFFSET($AM$3,0,0,'Données projet'!$E$10+1,1))-AVERAGE(OFFSET($H$3,0,0,'Données projet'!$E$10+1,1))</f>
        <v>434.22500776975596</v>
      </c>
      <c r="AO31" s="62">
        <f t="shared" si="36"/>
        <v>232.59777933076705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6.5384615384615357</v>
      </c>
      <c r="BD31" s="13">
        <f>IF('Données projet'!$A$88&gt;35,BD30+BC31-BL30,IF(A31&lt;'Données projet'!$A$88,$BA$205^A31,IF(A31='Données projet'!$A$88,'Données projet'!$B$88,BD30+BC31-BL30)))</f>
        <v>103.58974358974359</v>
      </c>
      <c r="BE31" s="14">
        <f>BD31*VLOOKUP('Données projet'!$B$11,Paramètres!$A$1:$I$89,3,0)*VLOOKUP('Données projet'!$B$11,Paramètres!$A$1:$I$89,5,0)</f>
        <v>98.576000000000008</v>
      </c>
      <c r="BF31" s="14">
        <f t="shared" si="37"/>
        <v>26.622466525409418</v>
      </c>
      <c r="BG31" s="22">
        <f t="shared" si="7"/>
        <v>218.05399586508807</v>
      </c>
      <c r="BH31" s="62">
        <f t="shared" si="8"/>
        <v>466.82482015379833</v>
      </c>
      <c r="BI31" s="62">
        <f ca="1">AVERAGE(OFFSET($BH$3,0,0,'Données projet'!$E$11+1,1))-AVERAGE(OFFSET($H$3,0,0,'Données projet'!$E$11+1,1))</f>
        <v>393.3005580838161</v>
      </c>
      <c r="BJ31" s="62">
        <f t="shared" si="38"/>
        <v>295.86019897822757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14.260000000000002</v>
      </c>
      <c r="BY31" s="13">
        <f>IF('Données projet'!$A$114&gt;35,BY30+BX31-CG30,IF(A31&lt;'Données projet'!$A$114,$BV$205^A31,IF(A31='Données projet'!$A$114,'Données projet'!$B$114,BY30+BX31-CG30)))</f>
        <v>183.27999999999997</v>
      </c>
      <c r="BZ31" s="14">
        <f>BY31*VLOOKUP('Données projet'!$B$12,Paramètres!$A$1:$I$89,3,0)*VLOOKUP('Données projet'!$B$12,Paramètres!$A$1:$I$89,5,0)</f>
        <v>145.81756799999999</v>
      </c>
      <c r="CA31" s="14">
        <f t="shared" si="39"/>
        <v>37.626554284689291</v>
      </c>
      <c r="CB31" s="22">
        <f t="shared" si="10"/>
        <v>319.49851297916712</v>
      </c>
      <c r="CC31" s="62">
        <f t="shared" si="11"/>
        <v>568.2693372678774</v>
      </c>
      <c r="CD31" s="62">
        <f ca="1">AVERAGE(OFFSET($CC$3,0,0,'Données projet'!$E$12+1,1))-AVERAGE(OFFSET($H$3,0,0,'Données projet'!$E$12+1,1))</f>
        <v>388.52230330563884</v>
      </c>
      <c r="CE31" s="62">
        <f t="shared" si="40"/>
        <v>418.94833960687333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14.260000000000002</v>
      </c>
      <c r="CT31" s="13">
        <f>IF('Données projet'!$A$140&gt;35,CT30+CS31-DB30,IF(A31&lt;'Données projet'!$A$140,$CQ$205^A31,IF(A31='Données projet'!$A$140,'Données projet'!$B$140,CT30+CS31-DB30)))</f>
        <v>183.27999999999997</v>
      </c>
      <c r="CU31" s="18">
        <f>CT31*VLOOKUP('Données projet'!$B$13,Paramètres!$A$1:$I$89,3,0)*VLOOKUP('Données projet'!$B$13,Paramètres!$A$1:$I$89,5,0)</f>
        <v>134.38089599999998</v>
      </c>
      <c r="CV31" s="14">
        <f t="shared" si="41"/>
        <v>35.006694824713001</v>
      </c>
      <c r="CW31" s="22">
        <f t="shared" si="13"/>
        <v>295.01672068637509</v>
      </c>
      <c r="CX31" s="62">
        <f t="shared" si="14"/>
        <v>543.78754497508544</v>
      </c>
      <c r="CY31" s="62">
        <f ca="1">AVERAGE(OFFSET($CX$3,0,0,'Données projet'!$E$13+1,1))-AVERAGE(OFFSET($H$3,0,0,'Données projet'!$E$13+1,1))</f>
        <v>362.38131866207266</v>
      </c>
      <c r="CZ31" s="62">
        <f t="shared" si="42"/>
        <v>390.74498763200336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</v>
      </c>
      <c r="DO31" s="13">
        <f>IF('Données projet'!$A$166&gt;35,DO30+DN31-DW30,IF(A31&lt;'Données projet'!$A$166,$DL$205^A31,IF(A31='Données projet'!$A$166,'Données projet'!$B$166,DO30+DN31-DW30)))</f>
        <v>122</v>
      </c>
      <c r="DP31" s="18">
        <f>DO31*VLOOKUP('Données projet'!$B$14,Paramètres!$A$1:$I$89,3,0)*VLOOKUP('Données projet'!$B$14,Paramètres!$A$1:$I$89,5,0)</f>
        <v>106.57920000000001</v>
      </c>
      <c r="DQ31" s="14">
        <f t="shared" si="43"/>
        <v>28.523541515222938</v>
      </c>
      <c r="DR31" s="22">
        <f t="shared" si="16"/>
        <v>235.30394147234665</v>
      </c>
      <c r="DS31" s="62">
        <f t="shared" si="17"/>
        <v>484.07476576105694</v>
      </c>
      <c r="DT31" s="62">
        <f ca="1">AVERAGE(OFFSET($DS$3,0,0,'Données projet'!$E$14+1,1))-AVERAGE(OFFSET($H$3,0,0,'Données projet'!$E$14+1,1))</f>
        <v>334.4692012109935</v>
      </c>
      <c r="DU31" s="62">
        <f t="shared" si="44"/>
        <v>316.360405424036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>
        <f>VLOOKUP(A31,'Données projet'!$A$191:$I$211,2,0)</f>
        <v>280</v>
      </c>
      <c r="EH31" s="13">
        <f>VLOOKUP(A31,'Données projet'!$A$191:$I$211,9,0)</f>
        <v>19</v>
      </c>
      <c r="EI31" s="13">
        <f t="array" ref="EI31">INDEX(EH:EH,MIN(IF(ISNUMBER(EH31:EH227),ROW(EH31:EH227),"")))</f>
        <v>19</v>
      </c>
      <c r="EJ31" s="13">
        <f>IF('Données projet'!$A$192&gt;35,EJ30+EI31-ER30,IF(A31&lt;'Données projet'!$A$192,$EG$205^A31,IF(A31='Données projet'!$A$192,'Données projet'!$B$192,EJ30+EI31-ER30)))</f>
        <v>280</v>
      </c>
      <c r="EK31" s="18">
        <f>EJ31*VLOOKUP('Données projet'!$B$15,Paramètres!$A$1:$I$89,3,0)*VLOOKUP('Données projet'!$B$15,Paramètres!$A$1:$I$89,5,0)</f>
        <v>156.51999999999998</v>
      </c>
      <c r="EL31" s="14">
        <f t="shared" si="45"/>
        <v>40.056589961286939</v>
      </c>
      <c r="EM31" s="22">
        <f t="shared" si="19"/>
        <v>342.37089418257466</v>
      </c>
      <c r="EN31" s="62">
        <f t="shared" si="20"/>
        <v>591.141718471285</v>
      </c>
      <c r="EO31" s="62">
        <f ca="1">AVERAGE(OFFSET($EN$3,0,0,'Données projet'!$E$15+1,1))-AVERAGE(OFFSET($H$3,0,0,'Données projet'!$E$15+1,1))</f>
        <v>390.09289316045653</v>
      </c>
      <c r="EP31" s="62">
        <f t="shared" si="46"/>
        <v>364.34913542817617</v>
      </c>
      <c r="EQ31" s="16">
        <f>IF(ISNA(VLOOKUP(A31,'Données projet'!$A$191:$I$211,3,0)),0,VLOOKUP(A31,'Données projet'!$A$191:$I$211,3,0))</f>
        <v>2</v>
      </c>
      <c r="ER31" s="16">
        <f>IF(ISNA(VLOOKUP(A31,'Données projet'!$A$191:$I$211,4,0)),0,VLOOKUP(A31,'Données projet'!$A$191:$I$211,4,0))</f>
        <v>64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0.16500000000000001</v>
      </c>
      <c r="EU31" s="17">
        <f>IF(ISNA(VLOOKUP(A31,'Données projet'!$A$191:$I$211,7,0)),0%,VLOOKUP(A31,'Données projet'!$A$191:$I$211,7,0))</f>
        <v>0.4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7.7999303451827418</v>
      </c>
      <c r="EX31" s="23">
        <f>EXP(-LN(2)/2)*EX30+(1-EXP(-LN(2)/2))/(LN(2)/2)*ER31*EU31*VLOOKUP('Données projet'!$B$15,Paramètres!$A$1:$I$89,3,0)*0.475*44/12</f>
        <v>17.964887815739822</v>
      </c>
      <c r="EY31" s="24">
        <f t="shared" si="21"/>
        <v>25.764818160922562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2.9333333333333331</v>
      </c>
      <c r="FE31" s="13">
        <f>IF('Données projet'!$A$218&gt;35,FE30+FD31-FM30,IF(A31&lt;'Données projet'!$A$218,$FB$205^A31,IF(A31='Données projet'!$A$218,'Données projet'!$B$218,FE30+FD31-FM30)))</f>
        <v>65.290575097383282</v>
      </c>
      <c r="FF31" s="18">
        <f>FE31*VLOOKUP('Données projet'!$B$16,Paramètres!$A$1:$I$89,3,0)*VLOOKUP('Données projet'!$B$16,Paramètres!$A$1:$I$89,5,0)</f>
        <v>30.555989145575374</v>
      </c>
      <c r="FG31" s="14">
        <f t="shared" si="47"/>
        <v>9.45764911026966</v>
      </c>
      <c r="FH31" s="22">
        <f t="shared" si="22"/>
        <v>69.690419962263448</v>
      </c>
      <c r="FI31" s="62">
        <f t="shared" si="23"/>
        <v>318.46124425097372</v>
      </c>
      <c r="FJ31" s="62">
        <f ca="1">AVERAGE(OFFSET($FI$3,0,0,'Données projet'!$E$16+1,1))-AVERAGE(OFFSET($H$3,0,0,'Données projet'!$E$16+1,1))</f>
        <v>344.55118007058775</v>
      </c>
      <c r="FK31" s="62">
        <f t="shared" si="48"/>
        <v>144.16931602355001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14.166666666666666</v>
      </c>
      <c r="FZ31" s="13">
        <f>IF('Données projet'!$A$244&gt;35,FZ30+FY31-GH30,IF(A31&lt;'Données projet'!$A$244,$FW$205^A31,IF(A31='Données projet'!$A$244,'Données projet'!$B$244,FZ30+FY31-GH30)))</f>
        <v>195.66666666666663</v>
      </c>
      <c r="GA31" s="18">
        <f>FZ31*VLOOKUP('Données projet'!$B$17,Paramètres!$A$1:$I$89,3,0)*VLOOKUP('Données projet'!$B$17,Paramètres!$A$1:$I$89,5,0)</f>
        <v>122.09599999999998</v>
      </c>
      <c r="GB31" s="14">
        <f t="shared" si="49"/>
        <v>32.163363121463028</v>
      </c>
      <c r="GC31" s="22">
        <f t="shared" si="25"/>
        <v>268.6683907698814</v>
      </c>
      <c r="GD31" s="62">
        <f t="shared" si="26"/>
        <v>517.43921505859169</v>
      </c>
      <c r="GE31" s="62">
        <f ca="1">AVERAGE(OFFSET($GD$3,0,0,'Données projet'!$E$17+1,1))-AVERAGE(OFFSET($H$3,0,0,'Données projet'!$E$17+1,1))</f>
        <v>252.60122125520482</v>
      </c>
      <c r="GF31" s="62">
        <f t="shared" si="50"/>
        <v>357.56833754121317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2.568112428361299</v>
      </c>
      <c r="GN31" s="23">
        <f>EXP(-LN(2)/2)*GN30+(1-EXP(-LN(2)/2))/(LN(2)/2)*GH31*GK31*VLOOKUP('Données projet'!$B$17,Paramètres!$A$1:$I$89,3,0)*0.475*44/12</f>
        <v>3.0814905269773747</v>
      </c>
      <c r="GO31" s="23">
        <f t="shared" si="27"/>
        <v>5.6496029553386737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8.8000000000000007</v>
      </c>
      <c r="GU31" s="13">
        <f>IF('Données projet'!$A$270&gt;35,GU30+GT31-HC30,IF(A31&lt;'Données projet'!$A$270,$GR$205^A31,IF(A31='Données projet'!$A$270,'Données projet'!$B$270,GU30+GT31-HC30)))</f>
        <v>128.39999999999998</v>
      </c>
      <c r="GV31" s="18">
        <f>GU31*VLOOKUP('Données projet'!$B$18,Paramètres!$A$1:$I$89,3,0)*VLOOKUP('Données projet'!$B$18,Paramètres!$A$1:$I$89,5,0)</f>
        <v>104.15807999999998</v>
      </c>
      <c r="GW31" s="14">
        <f t="shared" si="51"/>
        <v>27.950241801489337</v>
      </c>
      <c r="GX31" s="22">
        <f t="shared" si="28"/>
        <v>230.08866047092724</v>
      </c>
      <c r="GY31" s="62">
        <f t="shared" si="29"/>
        <v>478.85948475963755</v>
      </c>
      <c r="GZ31" s="62">
        <f ca="1">AVERAGE(OFFSET($GY$3,0,0,'Données projet'!$E$18+1,1))-AVERAGE(OFFSET($H$3,0,0,'Données projet'!$E$18+1,1))</f>
        <v>268.57152522489537</v>
      </c>
      <c r="HA31" s="62">
        <f t="shared" si="52"/>
        <v>311.80303557283207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3.75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13.75</v>
      </c>
      <c r="H32" s="70">
        <f t="shared" si="1"/>
        <v>201.66666666666666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431.71587762844581</v>
      </c>
      <c r="S32" s="62">
        <f ca="1">AVERAGE(OFFSET($R$3,0,0,'Données projet'!$E$9+1,1))-AVERAGE(OFFSET($H$3,0,0,'Données projet'!$E$9+1,1))</f>
        <v>461.02780119093666</v>
      </c>
      <c r="T32" s="62">
        <f t="shared" si="34"/>
        <v>245.70016468438834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75.816000000000003</v>
      </c>
      <c r="AK32" s="14">
        <f t="shared" si="35"/>
        <v>21.110998140607162</v>
      </c>
      <c r="AL32" s="22">
        <f t="shared" si="4"/>
        <v>168.81452176155747</v>
      </c>
      <c r="AM32" s="62">
        <f t="shared" si="5"/>
        <v>419.53822253141709</v>
      </c>
      <c r="AN32" s="62">
        <f ca="1">AVERAGE(OFFSET($AM$3,0,0,'Données projet'!$E$10+1,1))-AVERAGE(OFFSET($H$3,0,0,'Données projet'!$E$10+1,1))</f>
        <v>434.22500776975596</v>
      </c>
      <c r="AO32" s="62">
        <f t="shared" si="36"/>
        <v>232.59777933076705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6.5384615384615357</v>
      </c>
      <c r="BD32" s="13">
        <f>IF('Données projet'!$A$88&gt;35,BD31+BC32-BL31,IF(A32&lt;'Données projet'!$A$88,$BA$205^A32,IF(A32='Données projet'!$A$88,'Données projet'!$B$88,BD31+BC32-BL31)))</f>
        <v>110.12820512820512</v>
      </c>
      <c r="BE32" s="14">
        <f>BD32*VLOOKUP('Données projet'!$B$11,Paramètres!$A$1:$I$89,3,0)*VLOOKUP('Données projet'!$B$11,Paramètres!$A$1:$I$89,5,0)</f>
        <v>104.79799999999999</v>
      </c>
      <c r="BF32" s="14">
        <f t="shared" si="37"/>
        <v>28.101918557678896</v>
      </c>
      <c r="BG32" s="22">
        <f t="shared" si="7"/>
        <v>231.46735815462407</v>
      </c>
      <c r="BH32" s="62">
        <f t="shared" si="8"/>
        <v>482.19105892448374</v>
      </c>
      <c r="BI32" s="62">
        <f ca="1">AVERAGE(OFFSET($BH$3,0,0,'Données projet'!$E$11+1,1))-AVERAGE(OFFSET($H$3,0,0,'Données projet'!$E$11+1,1))</f>
        <v>393.3005580838161</v>
      </c>
      <c r="BJ32" s="62">
        <f t="shared" si="38"/>
        <v>295.86019897822757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14.260000000000002</v>
      </c>
      <c r="BY32" s="13">
        <f>IF('Données projet'!$A$114&gt;35,BY31+BX32-CG31,IF(A32&lt;'Données projet'!$A$114,$BV$205^A32,IF(A32='Données projet'!$A$114,'Données projet'!$B$114,BY31+BX32-CG31)))</f>
        <v>197.53999999999996</v>
      </c>
      <c r="BZ32" s="14">
        <f>BY32*VLOOKUP('Données projet'!$B$12,Paramètres!$A$1:$I$89,3,0)*VLOOKUP('Données projet'!$B$12,Paramètres!$A$1:$I$89,5,0)</f>
        <v>157.162824</v>
      </c>
      <c r="CA32" s="14">
        <f t="shared" si="39"/>
        <v>40.201917615639708</v>
      </c>
      <c r="CB32" s="22">
        <f t="shared" si="10"/>
        <v>343.7435916472391</v>
      </c>
      <c r="CC32" s="62">
        <f t="shared" si="11"/>
        <v>594.46729241709875</v>
      </c>
      <c r="CD32" s="62">
        <f ca="1">AVERAGE(OFFSET($CC$3,0,0,'Données projet'!$E$12+1,1))-AVERAGE(OFFSET($H$3,0,0,'Données projet'!$E$12+1,1))</f>
        <v>388.52230330563884</v>
      </c>
      <c r="CE32" s="62">
        <f t="shared" si="40"/>
        <v>418.94833960687333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14.260000000000002</v>
      </c>
      <c r="CT32" s="13">
        <f>IF('Données projet'!$A$140&gt;35,CT31+CS32-DB31,IF(A32&lt;'Données projet'!$A$140,$CQ$205^A32,IF(A32='Données projet'!$A$140,'Données projet'!$B$140,CT31+CS32-DB31)))</f>
        <v>197.53999999999996</v>
      </c>
      <c r="CU32" s="18">
        <f>CT32*VLOOKUP('Données projet'!$B$13,Paramètres!$A$1:$I$89,3,0)*VLOOKUP('Données projet'!$B$13,Paramètres!$A$1:$I$89,5,0)</f>
        <v>144.83632799999995</v>
      </c>
      <c r="CV32" s="14">
        <f t="shared" si="41"/>
        <v>37.402740912462832</v>
      </c>
      <c r="CW32" s="22">
        <f t="shared" si="13"/>
        <v>317.39971168920596</v>
      </c>
      <c r="CX32" s="62">
        <f t="shared" si="14"/>
        <v>568.12341245906555</v>
      </c>
      <c r="CY32" s="62">
        <f ca="1">AVERAGE(OFFSET($CX$3,0,0,'Données projet'!$E$13+1,1))-AVERAGE(OFFSET($H$3,0,0,'Données projet'!$E$13+1,1))</f>
        <v>362.38131866207266</v>
      </c>
      <c r="CZ32" s="62">
        <f t="shared" si="42"/>
        <v>390.74498763200336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</v>
      </c>
      <c r="DO32" s="13">
        <f>IF('Données projet'!$A$166&gt;35,DO31+DN32-DW31,IF(A32&lt;'Données projet'!$A$166,$DL$205^A32,IF(A32='Données projet'!$A$166,'Données projet'!$B$166,DO31+DN32-DW31)))</f>
        <v>130</v>
      </c>
      <c r="DP32" s="18">
        <f>DO32*VLOOKUP('Données projet'!$B$14,Paramètres!$A$1:$I$89,3,0)*VLOOKUP('Données projet'!$B$14,Paramètres!$A$1:$I$89,5,0)</f>
        <v>113.56800000000003</v>
      </c>
      <c r="DQ32" s="14">
        <f t="shared" si="43"/>
        <v>30.17006506205821</v>
      </c>
      <c r="DR32" s="22">
        <f t="shared" si="16"/>
        <v>250.34379664975143</v>
      </c>
      <c r="DS32" s="62">
        <f t="shared" si="17"/>
        <v>501.06749741961107</v>
      </c>
      <c r="DT32" s="62">
        <f ca="1">AVERAGE(OFFSET($DS$3,0,0,'Données projet'!$E$14+1,1))-AVERAGE(OFFSET($H$3,0,0,'Données projet'!$E$14+1,1))</f>
        <v>334.4692012109935</v>
      </c>
      <c r="DU32" s="62">
        <f t="shared" si="44"/>
        <v>316.360405424036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19.857142857142858</v>
      </c>
      <c r="EJ32" s="13">
        <f>IF('Données projet'!$A$192&gt;35,EJ31+EI32-ER31,IF(A32&lt;'Données projet'!$A$192,$EG$205^A32,IF(A32='Données projet'!$A$192,'Données projet'!$B$192,EJ31+EI32-ER31)))</f>
        <v>235.85714285714283</v>
      </c>
      <c r="EK32" s="18">
        <f>EJ32*VLOOKUP('Données projet'!$B$15,Paramètres!$A$1:$I$89,3,0)*VLOOKUP('Données projet'!$B$15,Paramètres!$A$1:$I$89,5,0)</f>
        <v>131.84414285714283</v>
      </c>
      <c r="EL32" s="14">
        <f t="shared" si="45"/>
        <v>34.422136630345072</v>
      </c>
      <c r="EM32" s="22">
        <f t="shared" si="19"/>
        <v>289.5804367740414</v>
      </c>
      <c r="EN32" s="62">
        <f t="shared" si="20"/>
        <v>540.30413754390111</v>
      </c>
      <c r="EO32" s="62">
        <f ca="1">AVERAGE(OFFSET($EN$3,0,0,'Données projet'!$E$15+1,1))-AVERAGE(OFFSET($H$3,0,0,'Données projet'!$E$15+1,1))</f>
        <v>390.09289316045653</v>
      </c>
      <c r="EP32" s="62">
        <f t="shared" si="46"/>
        <v>364.34913542817617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7.5866408397132101</v>
      </c>
      <c r="EX32" s="23">
        <f>EXP(-LN(2)/2)*EX31+(1-EXP(-LN(2)/2))/(LN(2)/2)*ER32*EU32*VLOOKUP('Données projet'!$B$15,Paramètres!$A$1:$I$89,3,0)*0.475*44/12</f>
        <v>12.703093997765212</v>
      </c>
      <c r="EY32" s="24">
        <f t="shared" si="21"/>
        <v>20.28973483747842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2.9333333333333331</v>
      </c>
      <c r="FE32" s="13">
        <f>IF('Données projet'!$A$218&gt;35,FE31+FD32-FM31,IF(A32&lt;'Données projet'!$A$218,$FB$205^A32,IF(A32='Données projet'!$A$218,'Données projet'!$B$218,FE31+FD32-FM31)))</f>
        <v>75.799542271505359</v>
      </c>
      <c r="FF32" s="18">
        <f>FE32*VLOOKUP('Données projet'!$B$16,Paramètres!$A$1:$I$89,3,0)*VLOOKUP('Données projet'!$B$16,Paramètres!$A$1:$I$89,5,0)</f>
        <v>35.474185783064506</v>
      </c>
      <c r="FG32" s="14">
        <f t="shared" si="47"/>
        <v>10.790826093787038</v>
      </c>
      <c r="FH32" s="22">
        <f t="shared" si="22"/>
        <v>80.578229018849768</v>
      </c>
      <c r="FI32" s="62">
        <f t="shared" si="23"/>
        <v>331.3019297887094</v>
      </c>
      <c r="FJ32" s="62">
        <f ca="1">AVERAGE(OFFSET($FI$3,0,0,'Données projet'!$E$16+1,1))-AVERAGE(OFFSET($H$3,0,0,'Données projet'!$E$16+1,1))</f>
        <v>344.55118007058775</v>
      </c>
      <c r="FK32" s="62">
        <f t="shared" si="48"/>
        <v>144.16931602355001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14.166666666666666</v>
      </c>
      <c r="FZ32" s="13">
        <f>IF('Données projet'!$A$244&gt;35,FZ31+FY32-GH31,IF(A32&lt;'Données projet'!$A$244,$FW$205^A32,IF(A32='Données projet'!$A$244,'Données projet'!$B$244,FZ31+FY32-GH31)))</f>
        <v>209.83333333333329</v>
      </c>
      <c r="GA32" s="18">
        <f>FZ32*VLOOKUP('Données projet'!$B$17,Paramètres!$A$1:$I$89,3,0)*VLOOKUP('Données projet'!$B$17,Paramètres!$A$1:$I$89,5,0)</f>
        <v>130.93599999999998</v>
      </c>
      <c r="GB32" s="14">
        <f t="shared" si="49"/>
        <v>34.21255106176632</v>
      </c>
      <c r="GC32" s="22">
        <f t="shared" si="25"/>
        <v>287.63372643257628</v>
      </c>
      <c r="GD32" s="62">
        <f t="shared" si="26"/>
        <v>538.35742720243593</v>
      </c>
      <c r="GE32" s="62">
        <f ca="1">AVERAGE(OFFSET($GD$3,0,0,'Données projet'!$E$17+1,1))-AVERAGE(OFFSET($H$3,0,0,'Données projet'!$E$17+1,1))</f>
        <v>252.60122125520482</v>
      </c>
      <c r="GF32" s="62">
        <f t="shared" si="50"/>
        <v>357.56833754121317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2.4978872589565961</v>
      </c>
      <c r="GN32" s="23">
        <f>EXP(-LN(2)/2)*GN31+(1-EXP(-LN(2)/2))/(LN(2)/2)*GH32*GK32*VLOOKUP('Données projet'!$B$17,Paramètres!$A$1:$I$89,3,0)*0.475*44/12</f>
        <v>2.1789428477878094</v>
      </c>
      <c r="GO32" s="23">
        <f t="shared" si="27"/>
        <v>4.676830106744406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8.8000000000000007</v>
      </c>
      <c r="GU32" s="13">
        <f>IF('Données projet'!$A$270&gt;35,GU31+GT32-HC31,IF(A32&lt;'Données projet'!$A$270,$GR$205^A32,IF(A32='Données projet'!$A$270,'Données projet'!$B$270,GU31+GT32-HC31)))</f>
        <v>137.19999999999999</v>
      </c>
      <c r="GV32" s="18">
        <f>GU32*VLOOKUP('Données projet'!$B$18,Paramètres!$A$1:$I$89,3,0)*VLOOKUP('Données projet'!$B$18,Paramètres!$A$1:$I$89,5,0)</f>
        <v>111.29664</v>
      </c>
      <c r="GW32" s="14">
        <f t="shared" si="51"/>
        <v>29.636274399319777</v>
      </c>
      <c r="GX32" s="22">
        <f t="shared" si="28"/>
        <v>245.45815924548194</v>
      </c>
      <c r="GY32" s="62">
        <f t="shared" si="29"/>
        <v>496.18186001534161</v>
      </c>
      <c r="GZ32" s="62">
        <f ca="1">AVERAGE(OFFSET($GY$3,0,0,'Données projet'!$E$18+1,1))-AVERAGE(OFFSET($H$3,0,0,'Données projet'!$E$18+1,1))</f>
        <v>268.57152522489537</v>
      </c>
      <c r="HA32" s="62">
        <f t="shared" si="52"/>
        <v>311.80303557283207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3.75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13.75</v>
      </c>
      <c r="H33" s="70">
        <f t="shared" si="1"/>
        <v>201.66666666666666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447.366831351055</v>
      </c>
      <c r="S33" s="62">
        <f ca="1">AVERAGE(OFFSET($R$3,0,0,'Données projet'!$E$9+1,1))-AVERAGE(OFFSET($H$3,0,0,'Données projet'!$E$9+1,1))</f>
        <v>461.02780119093666</v>
      </c>
      <c r="T33" s="62">
        <f t="shared" si="34"/>
        <v>245.70016468438834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81.712800000000001</v>
      </c>
      <c r="AK33" s="14">
        <f t="shared" si="35"/>
        <v>22.55545490774292</v>
      </c>
      <c r="AL33" s="22">
        <f t="shared" si="4"/>
        <v>181.60054396431892</v>
      </c>
      <c r="AM33" s="62">
        <f t="shared" si="5"/>
        <v>434.26444599743371</v>
      </c>
      <c r="AN33" s="62">
        <f ca="1">AVERAGE(OFFSET($AM$3,0,0,'Données projet'!$E$10+1,1))-AVERAGE(OFFSET($H$3,0,0,'Données projet'!$E$10+1,1))</f>
        <v>434.22500776975596</v>
      </c>
      <c r="AO33" s="62">
        <f t="shared" si="36"/>
        <v>232.59777933076705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116.66666666666666</v>
      </c>
      <c r="BB33" s="13">
        <f>VLOOKUP(A33,'Données projet'!$A$87:$I$107,9,0)</f>
        <v>6.5384615384615357</v>
      </c>
      <c r="BC33" s="13">
        <f t="array" ref="BC33">INDEX(BB:BB,MIN(IF(ISNUMBER(BB33:BB229),ROW(BB33:BB229),"")))</f>
        <v>6.5384615384615357</v>
      </c>
      <c r="BD33" s="13">
        <f>IF('Données projet'!$A$88&gt;35,BD32+BC33-BL32,IF(A33&lt;'Données projet'!$A$88,$BA$205^A33,IF(A33='Données projet'!$A$88,'Données projet'!$B$88,BD32+BC33-BL32)))</f>
        <v>116.66666666666666</v>
      </c>
      <c r="BE33" s="14">
        <f>BD33*VLOOKUP('Données projet'!$B$11,Paramètres!$A$1:$I$89,3,0)*VLOOKUP('Données projet'!$B$11,Paramètres!$A$1:$I$89,5,0)</f>
        <v>111.02</v>
      </c>
      <c r="BF33" s="14">
        <f t="shared" si="37"/>
        <v>29.571175279490561</v>
      </c>
      <c r="BG33" s="22">
        <f t="shared" si="7"/>
        <v>244.86296361177938</v>
      </c>
      <c r="BH33" s="62">
        <f t="shared" si="8"/>
        <v>497.5268656448942</v>
      </c>
      <c r="BI33" s="62">
        <f ca="1">AVERAGE(OFFSET($BH$3,0,0,'Données projet'!$E$11+1,1))-AVERAGE(OFFSET($H$3,0,0,'Données projet'!$E$11+1,1))</f>
        <v>393.3005580838161</v>
      </c>
      <c r="BJ33" s="62">
        <f t="shared" si="38"/>
        <v>295.86019897822757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25.641025641025639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211.8</v>
      </c>
      <c r="BW33" s="13">
        <f>VLOOKUP(A33,'Données projet'!$A$113:$I$133,9,0)</f>
        <v>14.260000000000002</v>
      </c>
      <c r="BX33" s="13">
        <f t="array" ref="BX33">INDEX(BW:BW,MIN(IF(ISNUMBER(BW33:BW229),ROW(BW33:BW229),"")))</f>
        <v>14.260000000000002</v>
      </c>
      <c r="BY33" s="13">
        <f>IF('Données projet'!$A$114&gt;35,BY32+BX33-CG32,IF(A33&lt;'Données projet'!$A$114,$BV$205^A33,IF(A33='Données projet'!$A$114,'Données projet'!$B$114,BY32+BX33-CG32)))</f>
        <v>211.79999999999995</v>
      </c>
      <c r="BZ33" s="14">
        <f>BY33*VLOOKUP('Données projet'!$B$12,Paramètres!$A$1:$I$89,3,0)*VLOOKUP('Données projet'!$B$12,Paramètres!$A$1:$I$89,5,0)</f>
        <v>168.50807999999995</v>
      </c>
      <c r="CA33" s="14">
        <f t="shared" si="39"/>
        <v>42.755711908378117</v>
      </c>
      <c r="CB33" s="22">
        <f t="shared" si="10"/>
        <v>367.95110424042514</v>
      </c>
      <c r="CC33" s="62">
        <f t="shared" si="11"/>
        <v>620.61500627353996</v>
      </c>
      <c r="CD33" s="62">
        <f ca="1">AVERAGE(OFFSET($CC$3,0,0,'Données projet'!$E$12+1,1))-AVERAGE(OFFSET($H$3,0,0,'Données projet'!$E$12+1,1))</f>
        <v>388.52230330563884</v>
      </c>
      <c r="CE33" s="62">
        <f t="shared" si="40"/>
        <v>418.94833960687333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70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211.8</v>
      </c>
      <c r="CR33" s="13">
        <f>VLOOKUP(A33,'Données projet'!$A$139:$I$159,9,0)</f>
        <v>14.260000000000002</v>
      </c>
      <c r="CS33" s="13">
        <f t="array" ref="CS33">INDEX(CR:CR,MIN(IF(ISNUMBER(CR33:CR229),ROW(CR33:CR229),"")))</f>
        <v>14.260000000000002</v>
      </c>
      <c r="CT33" s="13">
        <f>IF('Données projet'!$A$140&gt;35,CT32+CS33-DB32,IF(A33&lt;'Données projet'!$A$140,$CQ$205^A33,IF(A33='Données projet'!$A$140,'Données projet'!$B$140,CT32+CS33-DB32)))</f>
        <v>211.79999999999995</v>
      </c>
      <c r="CU33" s="18">
        <f>CT33*VLOOKUP('Données projet'!$B$13,Paramètres!$A$1:$I$89,3,0)*VLOOKUP('Données projet'!$B$13,Paramètres!$A$1:$I$89,5,0)</f>
        <v>155.29175999999998</v>
      </c>
      <c r="CV33" s="14">
        <f t="shared" si="41"/>
        <v>39.778719769696814</v>
      </c>
      <c r="CW33" s="22">
        <f t="shared" si="13"/>
        <v>339.74775226555522</v>
      </c>
      <c r="CX33" s="62">
        <f t="shared" si="14"/>
        <v>592.41165429866999</v>
      </c>
      <c r="CY33" s="62">
        <f ca="1">AVERAGE(OFFSET($CX$3,0,0,'Données projet'!$E$13+1,1))-AVERAGE(OFFSET($H$3,0,0,'Données projet'!$E$13+1,1))</f>
        <v>362.38131866207266</v>
      </c>
      <c r="CZ33" s="62">
        <f t="shared" si="42"/>
        <v>390.74498763200336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70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138</v>
      </c>
      <c r="DM33" s="13">
        <f>VLOOKUP(A33,'Données projet'!$A$165:$I$185,9,0)</f>
        <v>8</v>
      </c>
      <c r="DN33" s="13">
        <f t="array" ref="DN33">INDEX(DM:DM,MIN(IF(ISNUMBER(DM33:DM229),ROW(DM33:DM229),"")))</f>
        <v>8</v>
      </c>
      <c r="DO33" s="13">
        <f>IF('Données projet'!$A$166&gt;35,DO32+DN33-DW32,IF(A33&lt;'Données projet'!$A$166,$DL$205^A33,IF(A33='Données projet'!$A$166,'Données projet'!$B$166,DO32+DN33-DW32)))</f>
        <v>138</v>
      </c>
      <c r="DP33" s="18">
        <f>DO33*VLOOKUP('Données projet'!$B$14,Paramètres!$A$1:$I$89,3,0)*VLOOKUP('Données projet'!$B$14,Paramètres!$A$1:$I$89,5,0)</f>
        <v>120.55680000000001</v>
      </c>
      <c r="DQ33" s="14">
        <f t="shared" si="43"/>
        <v>31.804828741198779</v>
      </c>
      <c r="DR33" s="22">
        <f t="shared" si="16"/>
        <v>265.36317005758787</v>
      </c>
      <c r="DS33" s="62">
        <f t="shared" si="17"/>
        <v>518.02707209070263</v>
      </c>
      <c r="DT33" s="62">
        <f ca="1">AVERAGE(OFFSET($DS$3,0,0,'Données projet'!$E$14+1,1))-AVERAGE(OFFSET($H$3,0,0,'Données projet'!$E$14+1,1))</f>
        <v>334.4692012109935</v>
      </c>
      <c r="DU33" s="62">
        <f t="shared" si="44"/>
        <v>316.360405424036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19.857142857142858</v>
      </c>
      <c r="EJ33" s="13">
        <f>IF('Données projet'!$A$192&gt;35,EJ32+EI33-ER32,IF(A33&lt;'Données projet'!$A$192,$EG$205^A33,IF(A33='Données projet'!$A$192,'Données projet'!$B$192,EJ32+EI33-ER32)))</f>
        <v>255.71428571428569</v>
      </c>
      <c r="EK33" s="18">
        <f>EJ33*VLOOKUP('Données projet'!$B$15,Paramètres!$A$1:$I$89,3,0)*VLOOKUP('Données projet'!$B$15,Paramètres!$A$1:$I$89,5,0)</f>
        <v>142.94428571428571</v>
      </c>
      <c r="EL33" s="14">
        <f t="shared" si="45"/>
        <v>36.970680828333286</v>
      </c>
      <c r="EM33" s="22">
        <f t="shared" si="19"/>
        <v>313.35190006172803</v>
      </c>
      <c r="EN33" s="62">
        <f t="shared" si="20"/>
        <v>566.0158020948428</v>
      </c>
      <c r="EO33" s="62">
        <f ca="1">AVERAGE(OFFSET($EN$3,0,0,'Données projet'!$E$15+1,1))-AVERAGE(OFFSET($H$3,0,0,'Données projet'!$E$15+1,1))</f>
        <v>390.09289316045653</v>
      </c>
      <c r="EP33" s="62">
        <f t="shared" si="46"/>
        <v>364.34913542817617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7.3791837469871497</v>
      </c>
      <c r="EX33" s="23">
        <f>EXP(-LN(2)/2)*EX32+(1-EXP(-LN(2)/2))/(LN(2)/2)*ER33*EU33*VLOOKUP('Données projet'!$B$15,Paramètres!$A$1:$I$89,3,0)*0.475*44/12</f>
        <v>8.9824439078699108</v>
      </c>
      <c r="EY33" s="24">
        <f t="shared" si="21"/>
        <v>16.36162765485706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88</v>
      </c>
      <c r="FC33" s="13">
        <f>VLOOKUP(A33,'Données projet'!$A$217:$I$237,9,0)</f>
        <v>2.9333333333333331</v>
      </c>
      <c r="FD33" s="13">
        <f t="array" ref="FD33">INDEX(FC:FC,MIN(IF(ISNUMBER(FC33:FC229),ROW(FC33:FC229),"")))</f>
        <v>2.9333333333333331</v>
      </c>
      <c r="FE33" s="13">
        <f>IF('Données projet'!$A$218&gt;35,FE32+FD33-FM32,IF(A33&lt;'Données projet'!$A$218,$FB$205^A33,IF(A33='Données projet'!$A$218,'Données projet'!$B$218,FE32+FD33-FM32)))</f>
        <v>88</v>
      </c>
      <c r="FF33" s="18">
        <f>FE33*VLOOKUP('Données projet'!$B$16,Paramètres!$A$1:$I$89,3,0)*VLOOKUP('Données projet'!$B$16,Paramètres!$A$1:$I$89,5,0)</f>
        <v>41.183999999999997</v>
      </c>
      <c r="FG33" s="14">
        <f t="shared" si="47"/>
        <v>12.31193147776184</v>
      </c>
      <c r="FH33" s="22">
        <f t="shared" si="22"/>
        <v>93.172080657101858</v>
      </c>
      <c r="FI33" s="62">
        <f t="shared" si="23"/>
        <v>345.83598269021667</v>
      </c>
      <c r="FJ33" s="62">
        <f ca="1">AVERAGE(OFFSET($FI$3,0,0,'Données projet'!$E$16+1,1))-AVERAGE(OFFSET($H$3,0,0,'Données projet'!$E$16+1,1))</f>
        <v>344.55118007058775</v>
      </c>
      <c r="FK33" s="62">
        <f t="shared" si="48"/>
        <v>144.16931602355001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224</v>
      </c>
      <c r="FX33" s="13">
        <f>VLOOKUP(A33,'Données projet'!$A$243:$I$263,9,0)</f>
        <v>14.166666666666666</v>
      </c>
      <c r="FY33" s="13">
        <f t="array" ref="FY33">INDEX(FX:FX,MIN(IF(ISNUMBER(FX33:FX229),ROW(FX33:FX229),"")))</f>
        <v>14.166666666666666</v>
      </c>
      <c r="FZ33" s="13">
        <f>IF('Données projet'!$A$244&gt;35,FZ32+FY33-GH32,IF(A33&lt;'Données projet'!$A$244,$FW$205^A33,IF(A33='Données projet'!$A$244,'Données projet'!$B$244,FZ32+FY33-GH32)))</f>
        <v>223.99999999999994</v>
      </c>
      <c r="GA33" s="18">
        <f>FZ33*VLOOKUP('Données projet'!$B$17,Paramètres!$A$1:$I$89,3,0)*VLOOKUP('Données projet'!$B$17,Paramètres!$A$1:$I$89,5,0)</f>
        <v>139.77599999999995</v>
      </c>
      <c r="GB33" s="14">
        <f t="shared" si="49"/>
        <v>36.245685459195258</v>
      </c>
      <c r="GC33" s="22">
        <f t="shared" si="25"/>
        <v>306.57110217476503</v>
      </c>
      <c r="GD33" s="62">
        <f t="shared" si="26"/>
        <v>559.2350042078798</v>
      </c>
      <c r="GE33" s="62">
        <f ca="1">AVERAGE(OFFSET($GD$3,0,0,'Données projet'!$E$17+1,1))-AVERAGE(OFFSET($H$3,0,0,'Données projet'!$E$17+1,1))</f>
        <v>252.60122125520482</v>
      </c>
      <c r="GF33" s="62">
        <f t="shared" si="50"/>
        <v>357.56833754121317</v>
      </c>
      <c r="GG33" s="16">
        <f>IF(ISNA(VLOOKUP(A33,'Données projet'!$A$243:$I$263,3,0)),0,VLOOKUP(A33,'Données projet'!$A$243:$I$263,3,0))</f>
        <v>4</v>
      </c>
      <c r="GH33" s="16">
        <f>IF(ISNA(VLOOKUP(A33,'Données projet'!$A$243:$I$263,4,0)),0,VLOOKUP(A33,'Données projet'!$A$243:$I$263,4,0))</f>
        <v>53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0.18</v>
      </c>
      <c r="GK33" s="17">
        <f>IF(ISNA(VLOOKUP(A33,'Données projet'!$A$243:$I$263,7,0)),0%,VLOOKUP(A33,'Données projet'!$A$243:$I$263,7,0))</f>
        <v>0.4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10.295474101669621</v>
      </c>
      <c r="GN33" s="23">
        <f>EXP(-LN(2)/2)*GN32+(1-EXP(-LN(2)/2))/(LN(2)/2)*GH33*GK33*VLOOKUP('Données projet'!$B$17,Paramètres!$A$1:$I$89,3,0)*0.475*44/12</f>
        <v>16.518819881006799</v>
      </c>
      <c r="GO33" s="23">
        <f t="shared" si="27"/>
        <v>26.814293982676418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146</v>
      </c>
      <c r="GS33" s="13">
        <f>VLOOKUP(A33,'Données projet'!$A$269:$I$289,9,0)</f>
        <v>8.8000000000000007</v>
      </c>
      <c r="GT33" s="13">
        <f t="array" ref="GT33">INDEX(GS:GS,MIN(IF(ISNUMBER(GS33:GS229),ROW(GS33:GS229),"")))</f>
        <v>8.8000000000000007</v>
      </c>
      <c r="GU33" s="13">
        <f>IF('Données projet'!$A$270&gt;35,GU32+GT33-HC32,IF(A33&lt;'Données projet'!$A$270,$GR$205^A33,IF(A33='Données projet'!$A$270,'Données projet'!$B$270,GU32+GT33-HC32)))</f>
        <v>146</v>
      </c>
      <c r="GV33" s="18">
        <f>GU33*VLOOKUP('Données projet'!$B$18,Paramètres!$A$1:$I$89,3,0)*VLOOKUP('Données projet'!$B$18,Paramètres!$A$1:$I$89,5,0)</f>
        <v>118.43520000000001</v>
      </c>
      <c r="GW33" s="14">
        <f t="shared" si="51"/>
        <v>31.309757056296963</v>
      </c>
      <c r="GX33" s="22">
        <f t="shared" si="28"/>
        <v>260.80580020638394</v>
      </c>
      <c r="GY33" s="62">
        <f t="shared" si="29"/>
        <v>513.4697022394987</v>
      </c>
      <c r="GZ33" s="62">
        <f ca="1">AVERAGE(OFFSET($GY$3,0,0,'Données projet'!$E$18+1,1))-AVERAGE(OFFSET($H$3,0,0,'Données projet'!$E$18+1,1))</f>
        <v>268.57152522489537</v>
      </c>
      <c r="HA33" s="62">
        <f t="shared" si="52"/>
        <v>311.80303557283207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3.75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13.75</v>
      </c>
      <c r="H34" s="70">
        <f t="shared" si="1"/>
        <v>201.66666666666666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IF('Données projet'!$A$36&gt;35,N33+M34-V33,IF(A34&lt;'Données projet'!$A$36,$K$205^A34,IF(A34='Données projet'!$A$36,'Données projet'!$B$36,N33+M34-V33)))</f>
        <v>105.6</v>
      </c>
      <c r="O34" s="14">
        <f>N34*VLOOKUP('Données projet'!$B$9,Paramètres!$A$1:$I$89,3,0)*VLOOKUP('Données projet'!$B$9,Paramètres!$A$1:$I$89,5,0)</f>
        <v>95.546879999999987</v>
      </c>
      <c r="P34" s="14">
        <f t="shared" si="33"/>
        <v>25.898306910102065</v>
      </c>
      <c r="Q34" s="22">
        <f t="shared" si="2"/>
        <v>211.51703386842772</v>
      </c>
      <c r="R34" s="62">
        <f t="shared" si="0"/>
        <v>464.88645961137422</v>
      </c>
      <c r="S34" s="62">
        <f ca="1">AVERAGE(OFFSET($R$3,0,0,'Données projet'!$E$9+1,1))-AVERAGE(OFFSET($H$3,0,0,'Données projet'!$E$9+1,1))</f>
        <v>461.02780119093666</v>
      </c>
      <c r="T34" s="62">
        <f t="shared" si="34"/>
        <v>245.70016468438834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105.6</v>
      </c>
      <c r="AJ34" s="14">
        <f>AI34*VLOOKUP('Données projet'!$B$10,Paramètres!$A$1:$I$89,3,0)*VLOOKUP('Données projet'!$B$10,Paramètres!$A$1:$I$89,5,0)</f>
        <v>88.957440000000005</v>
      </c>
      <c r="AK34" s="14">
        <f t="shared" si="35"/>
        <v>24.31361437315168</v>
      </c>
      <c r="AL34" s="22">
        <f t="shared" si="4"/>
        <v>197.28041969990588</v>
      </c>
      <c r="AM34" s="62">
        <f t="shared" si="5"/>
        <v>450.64984544285238</v>
      </c>
      <c r="AN34" s="62">
        <f ca="1">AVERAGE(OFFSET($AM$3,0,0,'Données projet'!$E$10+1,1))-AVERAGE(OFFSET($H$3,0,0,'Données projet'!$E$10+1,1))</f>
        <v>434.22500776975596</v>
      </c>
      <c r="AO34" s="62">
        <f t="shared" si="36"/>
        <v>232.59777933076705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6.4102564102564088</v>
      </c>
      <c r="BD34" s="13">
        <f>IF('Données projet'!$A$88&gt;35,BD33+BC34-BL33,IF(A34&lt;'Données projet'!$A$88,$BA$205^A34,IF(A34='Données projet'!$A$88,'Données projet'!$B$88,BD33+BC34-BL33)))</f>
        <v>97.435897435897431</v>
      </c>
      <c r="BE34" s="14">
        <f>BD34*VLOOKUP('Données projet'!$B$11,Paramètres!$A$1:$I$89,3,0)*VLOOKUP('Données projet'!$B$11,Paramètres!$A$1:$I$89,5,0)</f>
        <v>92.72</v>
      </c>
      <c r="BF34" s="14">
        <f t="shared" si="37"/>
        <v>25.22008241222111</v>
      </c>
      <c r="BG34" s="22">
        <f t="shared" si="7"/>
        <v>205.41231020128509</v>
      </c>
      <c r="BH34" s="62">
        <f t="shared" si="8"/>
        <v>458.78173594423163</v>
      </c>
      <c r="BI34" s="62">
        <f ca="1">AVERAGE(OFFSET($BH$3,0,0,'Données projet'!$E$11+1,1))-AVERAGE(OFFSET($H$3,0,0,'Données projet'!$E$11+1,1))</f>
        <v>393.3005580838161</v>
      </c>
      <c r="BJ34" s="62">
        <f t="shared" si="38"/>
        <v>295.86019897822757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12.919999999999998</v>
      </c>
      <c r="BY34" s="13">
        <f>IF('Données projet'!$A$114&gt;35,BY33+BX34-CG33,IF(A34&lt;'Données projet'!$A$114,$BV$205^A34,IF(A34='Données projet'!$A$114,'Données projet'!$B$114,BY33+BX34-CG33)))</f>
        <v>154.71999999999994</v>
      </c>
      <c r="BZ34" s="14">
        <f>BY34*VLOOKUP('Données projet'!$B$12,Paramètres!$A$1:$I$89,3,0)*VLOOKUP('Données projet'!$B$12,Paramètres!$A$1:$I$89,5,0)</f>
        <v>123.09523199999997</v>
      </c>
      <c r="CA34" s="14">
        <f t="shared" si="39"/>
        <v>32.395837865893974</v>
      </c>
      <c r="CB34" s="22">
        <f t="shared" si="10"/>
        <v>270.81361334976526</v>
      </c>
      <c r="CC34" s="62">
        <f t="shared" si="11"/>
        <v>524.18303909271174</v>
      </c>
      <c r="CD34" s="62">
        <f ca="1">AVERAGE(OFFSET($CC$3,0,0,'Données projet'!$E$12+1,1))-AVERAGE(OFFSET($H$3,0,0,'Données projet'!$E$12+1,1))</f>
        <v>388.52230330563884</v>
      </c>
      <c r="CE34" s="62">
        <f t="shared" si="40"/>
        <v>418.94833960687333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12.919999999999998</v>
      </c>
      <c r="CT34" s="13">
        <f>IF('Données projet'!$A$140&gt;35,CT33+CS34-DB33,IF(A34&lt;'Données projet'!$A$140,$CQ$205^A34,IF(A34='Données projet'!$A$140,'Données projet'!$B$140,CT33+CS34-DB33)))</f>
        <v>154.71999999999994</v>
      </c>
      <c r="CU34" s="18">
        <f>CT34*VLOOKUP('Données projet'!$B$13,Paramètres!$A$1:$I$89,3,0)*VLOOKUP('Données projet'!$B$13,Paramètres!$A$1:$I$89,5,0)</f>
        <v>113.44070399999997</v>
      </c>
      <c r="CV34" s="14">
        <f t="shared" si="41"/>
        <v>30.140182414303599</v>
      </c>
      <c r="CW34" s="22">
        <f t="shared" si="13"/>
        <v>250.07004383824537</v>
      </c>
      <c r="CX34" s="62">
        <f t="shared" si="14"/>
        <v>503.43946958119187</v>
      </c>
      <c r="CY34" s="62">
        <f ca="1">AVERAGE(OFFSET($CX$3,0,0,'Données projet'!$E$13+1,1))-AVERAGE(OFFSET($H$3,0,0,'Données projet'!$E$13+1,1))</f>
        <v>362.38131866207266</v>
      </c>
      <c r="CZ34" s="62">
        <f t="shared" si="42"/>
        <v>390.74498763200336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7.2</v>
      </c>
      <c r="DO34" s="13">
        <f>IF('Données projet'!$A$166&gt;35,DO33+DN34-DW33,IF(A34&lt;'Données projet'!$A$166,$DL$205^A34,IF(A34='Données projet'!$A$166,'Données projet'!$B$166,DO33+DN34-DW33)))</f>
        <v>106.19999999999999</v>
      </c>
      <c r="DP34" s="18">
        <f>DO34*VLOOKUP('Données projet'!$B$14,Paramètres!$A$1:$I$89,3,0)*VLOOKUP('Données projet'!$B$14,Paramètres!$A$1:$I$89,5,0)</f>
        <v>92.776319999999998</v>
      </c>
      <c r="DQ34" s="14">
        <f t="shared" si="43"/>
        <v>25.233617967655977</v>
      </c>
      <c r="DR34" s="22">
        <f t="shared" si="16"/>
        <v>205.53397529366748</v>
      </c>
      <c r="DS34" s="62">
        <f t="shared" si="17"/>
        <v>458.90340103661401</v>
      </c>
      <c r="DT34" s="62">
        <f ca="1">AVERAGE(OFFSET($DS$3,0,0,'Données projet'!$E$14+1,1))-AVERAGE(OFFSET($H$3,0,0,'Données projet'!$E$14+1,1))</f>
        <v>334.4692012109935</v>
      </c>
      <c r="DU34" s="62">
        <f t="shared" si="44"/>
        <v>316.360405424036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19.857142857142858</v>
      </c>
      <c r="EJ34" s="13">
        <f>IF('Données projet'!$A$192&gt;35,EJ33+EI34-ER33,IF(A34&lt;'Données projet'!$A$192,$EG$205^A34,IF(A34='Données projet'!$A$192,'Données projet'!$B$192,EJ33+EI34-ER33)))</f>
        <v>275.57142857142856</v>
      </c>
      <c r="EK34" s="18">
        <f>EJ34*VLOOKUP('Données projet'!$B$15,Paramètres!$A$1:$I$89,3,0)*VLOOKUP('Données projet'!$B$15,Paramètres!$A$1:$I$89,5,0)</f>
        <v>154.04442857142857</v>
      </c>
      <c r="EL34" s="14">
        <f t="shared" si="45"/>
        <v>39.496268491280283</v>
      </c>
      <c r="EM34" s="22">
        <f t="shared" si="19"/>
        <v>337.08338071755128</v>
      </c>
      <c r="EN34" s="62">
        <f t="shared" si="20"/>
        <v>590.45280646049775</v>
      </c>
      <c r="EO34" s="62">
        <f ca="1">AVERAGE(OFFSET($EN$3,0,0,'Données projet'!$E$15+1,1))-AVERAGE(OFFSET($H$3,0,0,'Données projet'!$E$15+1,1))</f>
        <v>390.09289316045653</v>
      </c>
      <c r="EP34" s="62">
        <f t="shared" si="46"/>
        <v>364.34913542817617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7.1773995793713778</v>
      </c>
      <c r="EX34" s="23">
        <f>EXP(-LN(2)/2)*EX33+(1-EXP(-LN(2)/2))/(LN(2)/2)*ER34*EU34*VLOOKUP('Données projet'!$B$15,Paramètres!$A$1:$I$89,3,0)*0.475*44/12</f>
        <v>6.3515469988826059</v>
      </c>
      <c r="EY34" s="24">
        <f t="shared" si="21"/>
        <v>13.528946578253983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11</v>
      </c>
      <c r="FE34" s="13">
        <f>IF('Données projet'!$A$218&gt;35,FE33+FD34-FM33,IF(A34&lt;'Données projet'!$A$218,$FB$205^A34,IF(A34='Données projet'!$A$218,'Données projet'!$B$218,FE33+FD34-FM33)))</f>
        <v>99</v>
      </c>
      <c r="FF34" s="18">
        <f>FE34*VLOOKUP('Données projet'!$B$16,Paramètres!$A$1:$I$89,3,0)*VLOOKUP('Données projet'!$B$16,Paramètres!$A$1:$I$89,5,0)</f>
        <v>46.332000000000001</v>
      </c>
      <c r="FG34" s="14">
        <f t="shared" si="47"/>
        <v>13.662323315513062</v>
      </c>
      <c r="FH34" s="22">
        <f t="shared" si="22"/>
        <v>104.49011310785191</v>
      </c>
      <c r="FI34" s="62">
        <f t="shared" si="23"/>
        <v>357.8595388507984</v>
      </c>
      <c r="FJ34" s="62">
        <f ca="1">AVERAGE(OFFSET($FI$3,0,0,'Données projet'!$E$16+1,1))-AVERAGE(OFFSET($H$3,0,0,'Données projet'!$E$16+1,1))</f>
        <v>344.55118007058775</v>
      </c>
      <c r="FK34" s="62">
        <f t="shared" si="48"/>
        <v>144.16931602355001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12.833333333333334</v>
      </c>
      <c r="FZ34" s="13">
        <f>IF('Données projet'!$A$244&gt;35,FZ33+FY34-GH33,IF(A34&lt;'Données projet'!$A$244,$FW$205^A34,IF(A34='Données projet'!$A$244,'Données projet'!$B$244,FZ33+FY34-GH33)))</f>
        <v>183.83333333333329</v>
      </c>
      <c r="GA34" s="18">
        <f>FZ34*VLOOKUP('Données projet'!$B$17,Paramètres!$A$1:$I$89,3,0)*VLOOKUP('Données projet'!$B$17,Paramètres!$A$1:$I$89,5,0)</f>
        <v>114.71199999999997</v>
      </c>
      <c r="GB34" s="14">
        <f t="shared" si="49"/>
        <v>30.438443898016164</v>
      </c>
      <c r="GC34" s="22">
        <f t="shared" si="25"/>
        <v>252.80368978904474</v>
      </c>
      <c r="GD34" s="62">
        <f t="shared" si="26"/>
        <v>506.17311553199124</v>
      </c>
      <c r="GE34" s="62">
        <f ca="1">AVERAGE(OFFSET($GD$3,0,0,'Données projet'!$E$17+1,1))-AVERAGE(OFFSET($H$3,0,0,'Données projet'!$E$17+1,1))</f>
        <v>252.60122125520482</v>
      </c>
      <c r="GF34" s="62">
        <f t="shared" si="50"/>
        <v>357.56833754121317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10.013943820944013</v>
      </c>
      <c r="GN34" s="23">
        <f>EXP(-LN(2)/2)*GN33+(1-EXP(-LN(2)/2))/(LN(2)/2)*GH34*GK34*VLOOKUP('Données projet'!$B$17,Paramètres!$A$1:$I$89,3,0)*0.475*44/12</f>
        <v>11.680569555059066</v>
      </c>
      <c r="GO34" s="23">
        <f t="shared" si="27"/>
        <v>21.69451337600308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8.8000000000000007</v>
      </c>
      <c r="GU34" s="13">
        <f>IF('Données projet'!$A$270&gt;35,GU33+GT34-HC33,IF(A34&lt;'Données projet'!$A$270,$GR$205^A34,IF(A34='Données projet'!$A$270,'Données projet'!$B$270,GU33+GT34-HC33)))</f>
        <v>154.80000000000001</v>
      </c>
      <c r="GV34" s="18">
        <f>GU34*VLOOKUP('Données projet'!$B$18,Paramètres!$A$1:$I$89,3,0)*VLOOKUP('Données projet'!$B$18,Paramètres!$A$1:$I$89,5,0)</f>
        <v>125.57376000000002</v>
      </c>
      <c r="GW34" s="14">
        <f t="shared" si="51"/>
        <v>32.97153235129214</v>
      </c>
      <c r="GX34" s="22">
        <f t="shared" si="28"/>
        <v>276.13305084516719</v>
      </c>
      <c r="GY34" s="62">
        <f t="shared" si="29"/>
        <v>529.50247658811372</v>
      </c>
      <c r="GZ34" s="62">
        <f ca="1">AVERAGE(OFFSET($GY$3,0,0,'Données projet'!$E$18+1,1))-AVERAGE(OFFSET($H$3,0,0,'Données projet'!$E$18+1,1))</f>
        <v>268.57152522489537</v>
      </c>
      <c r="HA34" s="62">
        <f t="shared" si="52"/>
        <v>311.80303557283207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3.75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13.75</v>
      </c>
      <c r="H35" s="70">
        <f t="shared" si="1"/>
        <v>201.66666666666666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IF('Données projet'!$A$36&gt;35,N34+M35-V34,IF(A35&lt;'Données projet'!$A$36,$K$205^A35,IF(A35='Données projet'!$A$36,'Données projet'!$B$36,N34+M35-V34)))</f>
        <v>114.19999999999999</v>
      </c>
      <c r="O35" s="14">
        <f>N35*VLOOKUP('Données projet'!$B$9,Paramètres!$A$1:$I$89,3,0)*VLOOKUP('Données projet'!$B$9,Paramètres!$A$1:$I$89,5,0)</f>
        <v>103.32815999999998</v>
      </c>
      <c r="P35" s="14">
        <f t="shared" si="33"/>
        <v>27.753368651496011</v>
      </c>
      <c r="Q35" s="22">
        <f t="shared" ref="Q35:Q66" si="53">(O35+P35)*0.475*44/12</f>
        <v>228.30032906802219</v>
      </c>
      <c r="R35" s="62">
        <f t="shared" si="0"/>
        <v>482.36303926174946</v>
      </c>
      <c r="S35" s="62">
        <f ca="1">AVERAGE(OFFSET($R$3,0,0,'Données projet'!$E$9+1,1))-AVERAGE(OFFSET($H$3,0,0,'Données projet'!$E$9+1,1))</f>
        <v>461.02780119093666</v>
      </c>
      <c r="T35" s="62">
        <f t="shared" si="34"/>
        <v>245.70016468438834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114.19999999999999</v>
      </c>
      <c r="AJ35" s="14">
        <f>AI35*VLOOKUP('Données projet'!$B$10,Paramètres!$A$1:$I$89,3,0)*VLOOKUP('Données projet'!$B$10,Paramètres!$A$1:$I$89,5,0)</f>
        <v>96.202079999999995</v>
      </c>
      <c r="AK35" s="14">
        <f t="shared" si="35"/>
        <v>26.055166667485125</v>
      </c>
      <c r="AL35" s="22">
        <f t="shared" si="4"/>
        <v>212.9313712792032</v>
      </c>
      <c r="AM35" s="62">
        <f t="shared" si="5"/>
        <v>466.99408147293047</v>
      </c>
      <c r="AN35" s="62">
        <f ca="1">AVERAGE(OFFSET($AM$3,0,0,'Données projet'!$E$10+1,1))-AVERAGE(OFFSET($H$3,0,0,'Données projet'!$E$10+1,1))</f>
        <v>434.22500776975596</v>
      </c>
      <c r="AO35" s="62">
        <f t="shared" si="36"/>
        <v>232.59777933076705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6.4102564102564088</v>
      </c>
      <c r="BD35" s="13">
        <f>IF('Données projet'!$A$88&gt;35,BD34+BC35-BL34,IF(A35&lt;'Données projet'!$A$88,$BA$205^A35,IF(A35='Données projet'!$A$88,'Données projet'!$B$88,BD34+BC35-BL34)))</f>
        <v>103.84615384615384</v>
      </c>
      <c r="BE35" s="14">
        <f>BD35*VLOOKUP('Données projet'!$B$11,Paramètres!$A$1:$I$89,3,0)*VLOOKUP('Données projet'!$B$11,Paramètres!$A$1:$I$89,5,0)</f>
        <v>98.82</v>
      </c>
      <c r="BF35" s="14">
        <f t="shared" si="37"/>
        <v>26.680684905958366</v>
      </c>
      <c r="BG35" s="22">
        <f t="shared" si="7"/>
        <v>218.58035954454417</v>
      </c>
      <c r="BH35" s="62">
        <f t="shared" si="8"/>
        <v>472.64306973827149</v>
      </c>
      <c r="BI35" s="62">
        <f ca="1">AVERAGE(OFFSET($BH$3,0,0,'Données projet'!$E$11+1,1))-AVERAGE(OFFSET($H$3,0,0,'Données projet'!$E$11+1,1))</f>
        <v>393.3005580838161</v>
      </c>
      <c r="BJ35" s="62">
        <f t="shared" si="38"/>
        <v>295.86019897822757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12.919999999999998</v>
      </c>
      <c r="BY35" s="13">
        <f>IF('Données projet'!$A$114&gt;35,BY34+BX35-CG34,IF(A35&lt;'Données projet'!$A$114,$BV$205^A35,IF(A35='Données projet'!$A$114,'Données projet'!$B$114,BY34+BX35-CG34)))</f>
        <v>167.63999999999993</v>
      </c>
      <c r="BZ35" s="14">
        <f>BY35*VLOOKUP('Données projet'!$B$12,Paramètres!$A$1:$I$89,3,0)*VLOOKUP('Données projet'!$B$12,Paramètres!$A$1:$I$89,5,0)</f>
        <v>133.37438399999996</v>
      </c>
      <c r="CA35" s="14">
        <f t="shared" si="39"/>
        <v>34.774913711031935</v>
      </c>
      <c r="CB35" s="22">
        <f t="shared" si="10"/>
        <v>292.86002684671388</v>
      </c>
      <c r="CC35" s="62">
        <f t="shared" si="11"/>
        <v>546.92273704044123</v>
      </c>
      <c r="CD35" s="62">
        <f ca="1">AVERAGE(OFFSET($CC$3,0,0,'Données projet'!$E$12+1,1))-AVERAGE(OFFSET($H$3,0,0,'Données projet'!$E$12+1,1))</f>
        <v>388.52230330563884</v>
      </c>
      <c r="CE35" s="62">
        <f t="shared" si="40"/>
        <v>418.94833960687333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12.919999999999998</v>
      </c>
      <c r="CT35" s="13">
        <f>IF('Données projet'!$A$140&gt;35,CT34+CS35-DB34,IF(A35&lt;'Données projet'!$A$140,$CQ$205^A35,IF(A35='Données projet'!$A$140,'Données projet'!$B$140,CT34+CS35-DB34)))</f>
        <v>167.63999999999993</v>
      </c>
      <c r="CU35" s="18">
        <f>CT35*VLOOKUP('Données projet'!$B$13,Paramètres!$A$1:$I$89,3,0)*VLOOKUP('Données projet'!$B$13,Paramètres!$A$1:$I$89,5,0)</f>
        <v>122.91364799999994</v>
      </c>
      <c r="CV35" s="14">
        <f t="shared" si="41"/>
        <v>32.353608109504151</v>
      </c>
      <c r="CW35" s="22">
        <f t="shared" si="13"/>
        <v>270.42380439071962</v>
      </c>
      <c r="CX35" s="62">
        <f t="shared" si="14"/>
        <v>524.48651458444692</v>
      </c>
      <c r="CY35" s="62">
        <f ca="1">AVERAGE(OFFSET($CX$3,0,0,'Données projet'!$E$13+1,1))-AVERAGE(OFFSET($H$3,0,0,'Données projet'!$E$13+1,1))</f>
        <v>362.38131866207266</v>
      </c>
      <c r="CZ35" s="62">
        <f t="shared" si="42"/>
        <v>390.74498763200336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7.2</v>
      </c>
      <c r="DO35" s="13">
        <f>IF('Données projet'!$A$166&gt;35,DO34+DN35-DW34,IF(A35&lt;'Données projet'!$A$166,$DL$205^A35,IF(A35='Données projet'!$A$166,'Données projet'!$B$166,DO34+DN35-DW34)))</f>
        <v>113.39999999999999</v>
      </c>
      <c r="DP35" s="18">
        <f>DO35*VLOOKUP('Données projet'!$B$14,Paramètres!$A$1:$I$89,3,0)*VLOOKUP('Données projet'!$B$14,Paramètres!$A$1:$I$89,5,0)</f>
        <v>99.066239999999993</v>
      </c>
      <c r="DQ35" s="14">
        <f t="shared" si="43"/>
        <v>26.739420789378705</v>
      </c>
      <c r="DR35" s="22">
        <f t="shared" si="16"/>
        <v>219.11152587483454</v>
      </c>
      <c r="DS35" s="62">
        <f t="shared" si="17"/>
        <v>473.17423606856187</v>
      </c>
      <c r="DT35" s="62">
        <f ca="1">AVERAGE(OFFSET($DS$3,0,0,'Données projet'!$E$14+1,1))-AVERAGE(OFFSET($H$3,0,0,'Données projet'!$E$14+1,1))</f>
        <v>334.4692012109935</v>
      </c>
      <c r="DU35" s="62">
        <f t="shared" si="44"/>
        <v>316.360405424036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19.857142857142858</v>
      </c>
      <c r="EJ35" s="13">
        <f>IF('Données projet'!$A$192&gt;35,EJ34+EI35-ER34,IF(A35&lt;'Données projet'!$A$192,$EG$205^A35,IF(A35='Données projet'!$A$192,'Données projet'!$B$192,EJ34+EI35-ER34)))</f>
        <v>295.42857142857139</v>
      </c>
      <c r="EK35" s="18">
        <f>EJ35*VLOOKUP('Données projet'!$B$15,Paramètres!$A$1:$I$89,3,0)*VLOOKUP('Données projet'!$B$15,Paramètres!$A$1:$I$89,5,0)</f>
        <v>165.14457142857142</v>
      </c>
      <c r="EL35" s="14">
        <f t="shared" si="45"/>
        <v>42.000741952671746</v>
      </c>
      <c r="EM35" s="22">
        <f t="shared" si="19"/>
        <v>360.77808747233183</v>
      </c>
      <c r="EN35" s="62">
        <f t="shared" si="20"/>
        <v>614.84079766605919</v>
      </c>
      <c r="EO35" s="62">
        <f ca="1">AVERAGE(OFFSET($EN$3,0,0,'Données projet'!$E$15+1,1))-AVERAGE(OFFSET($H$3,0,0,'Données projet'!$E$15+1,1))</f>
        <v>390.09289316045653</v>
      </c>
      <c r="EP35" s="62">
        <f t="shared" si="46"/>
        <v>364.34913542817617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6.9811332104304276</v>
      </c>
      <c r="EX35" s="23">
        <f>EXP(-LN(2)/2)*EX34+(1-EXP(-LN(2)/2))/(LN(2)/2)*ER35*EU35*VLOOKUP('Données projet'!$B$15,Paramètres!$A$1:$I$89,3,0)*0.475*44/12</f>
        <v>4.4912219539349554</v>
      </c>
      <c r="EY35" s="24">
        <f t="shared" si="21"/>
        <v>11.472355164365382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</v>
      </c>
      <c r="FE35" s="13">
        <f>IF('Données projet'!$A$218&gt;35,FE34+FD35-FM34,IF(A35&lt;'Données projet'!$A$218,$FB$205^A35,IF(A35='Données projet'!$A$218,'Données projet'!$B$218,FE34+FD35-FM34)))</f>
        <v>110</v>
      </c>
      <c r="FF35" s="18">
        <f>FE35*VLOOKUP('Données projet'!$B$16,Paramètres!$A$1:$I$89,3,0)*VLOOKUP('Données projet'!$B$16,Paramètres!$A$1:$I$89,5,0)</f>
        <v>51.480000000000004</v>
      </c>
      <c r="FG35" s="14">
        <f t="shared" si="47"/>
        <v>14.995324806875232</v>
      </c>
      <c r="FH35" s="22">
        <f t="shared" si="22"/>
        <v>115.77785737197435</v>
      </c>
      <c r="FI35" s="62">
        <f t="shared" si="23"/>
        <v>369.84056756570163</v>
      </c>
      <c r="FJ35" s="62">
        <f ca="1">AVERAGE(OFFSET($FI$3,0,0,'Données projet'!$E$16+1,1))-AVERAGE(OFFSET($H$3,0,0,'Données projet'!$E$16+1,1))</f>
        <v>344.55118007058775</v>
      </c>
      <c r="FK35" s="62">
        <f t="shared" si="48"/>
        <v>144.16931602355001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12.833333333333334</v>
      </c>
      <c r="FZ35" s="13">
        <f>IF('Données projet'!$A$244&gt;35,FZ34+FY35-GH34,IF(A35&lt;'Données projet'!$A$244,$FW$205^A35,IF(A35='Données projet'!$A$244,'Données projet'!$B$244,FZ34+FY35-GH34)))</f>
        <v>196.66666666666663</v>
      </c>
      <c r="GA35" s="18">
        <f>FZ35*VLOOKUP('Données projet'!$B$17,Paramètres!$A$1:$I$89,3,0)*VLOOKUP('Données projet'!$B$17,Paramètres!$A$1:$I$89,5,0)</f>
        <v>122.71999999999997</v>
      </c>
      <c r="GB35" s="14">
        <f t="shared" si="49"/>
        <v>32.308564708068729</v>
      </c>
      <c r="GC35" s="22">
        <f t="shared" si="25"/>
        <v>270.00808353321963</v>
      </c>
      <c r="GD35" s="62">
        <f t="shared" si="26"/>
        <v>524.07079372694693</v>
      </c>
      <c r="GE35" s="62">
        <f ca="1">AVERAGE(OFFSET($GD$3,0,0,'Données projet'!$E$17+1,1))-AVERAGE(OFFSET($H$3,0,0,'Données projet'!$E$17+1,1))</f>
        <v>252.60122125520482</v>
      </c>
      <c r="GF35" s="62">
        <f t="shared" si="50"/>
        <v>357.56833754121317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9.74011200054988</v>
      </c>
      <c r="GN35" s="23">
        <f>EXP(-LN(2)/2)*GN34+(1-EXP(-LN(2)/2))/(LN(2)/2)*GH35*GK35*VLOOKUP('Données projet'!$B$17,Paramètres!$A$1:$I$89,3,0)*0.475*44/12</f>
        <v>8.2594099405033994</v>
      </c>
      <c r="GO35" s="23">
        <f t="shared" si="27"/>
        <v>17.999521941053281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8.8000000000000007</v>
      </c>
      <c r="GU35" s="13">
        <f>IF('Données projet'!$A$270&gt;35,GU34+GT35-HC34,IF(A35&lt;'Données projet'!$A$270,$GR$205^A35,IF(A35='Données projet'!$A$270,'Données projet'!$B$270,GU34+GT35-HC34)))</f>
        <v>163.60000000000002</v>
      </c>
      <c r="GV35" s="18">
        <f>GU35*VLOOKUP('Données projet'!$B$18,Paramètres!$A$1:$I$89,3,0)*VLOOKUP('Données projet'!$B$18,Paramètres!$A$1:$I$89,5,0)</f>
        <v>132.71232000000003</v>
      </c>
      <c r="GW35" s="14">
        <f t="shared" si="51"/>
        <v>34.622341655285041</v>
      </c>
      <c r="GX35" s="22">
        <f t="shared" si="28"/>
        <v>291.44120238295483</v>
      </c>
      <c r="GY35" s="62">
        <f t="shared" si="29"/>
        <v>545.50391257668207</v>
      </c>
      <c r="GZ35" s="62">
        <f ca="1">AVERAGE(OFFSET($GY$3,0,0,'Données projet'!$E$18+1,1))-AVERAGE(OFFSET($H$3,0,0,'Données projet'!$E$18+1,1))</f>
        <v>268.57152522489537</v>
      </c>
      <c r="HA35" s="62">
        <f t="shared" si="52"/>
        <v>311.80303557283207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3.75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13.75</v>
      </c>
      <c r="H36" s="70">
        <f t="shared" si="1"/>
        <v>201.66666666666666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IF('Données projet'!$A$36&gt;35,N35+M36-V35,IF(A36&lt;'Données projet'!$A$36,$K$205^A36,IF(A36='Données projet'!$A$36,'Données projet'!$B$36,N35+M36-V35)))</f>
        <v>122.79999999999998</v>
      </c>
      <c r="O36" s="14">
        <f>N36*VLOOKUP('Données projet'!$B$9,Paramètres!$A$1:$I$89,3,0)*VLOOKUP('Données projet'!$B$9,Paramètres!$A$1:$I$89,5,0)</f>
        <v>111.10943999999999</v>
      </c>
      <c r="P36" s="14">
        <f t="shared" si="33"/>
        <v>29.592224426586235</v>
      </c>
      <c r="Q36" s="22">
        <f t="shared" si="53"/>
        <v>245.05539887630434</v>
      </c>
      <c r="R36" s="62">
        <f t="shared" si="0"/>
        <v>499.79936658554328</v>
      </c>
      <c r="S36" s="62">
        <f ca="1">AVERAGE(OFFSET($R$3,0,0,'Données projet'!$E$9+1,1))-AVERAGE(OFFSET($H$3,0,0,'Données projet'!$E$9+1,1))</f>
        <v>461.02780119093666</v>
      </c>
      <c r="T36" s="62">
        <f t="shared" si="34"/>
        <v>245.70016468438834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122.79999999999998</v>
      </c>
      <c r="AJ36" s="14">
        <f>AI36*VLOOKUP('Données projet'!$B$10,Paramètres!$A$1:$I$89,3,0)*VLOOKUP('Données projet'!$B$10,Paramètres!$A$1:$I$89,5,0)</f>
        <v>103.44672</v>
      </c>
      <c r="AK36" s="14">
        <f t="shared" si="35"/>
        <v>27.781504623034891</v>
      </c>
      <c r="AL36" s="22">
        <f t="shared" si="4"/>
        <v>228.55582455178578</v>
      </c>
      <c r="AM36" s="62">
        <f t="shared" si="5"/>
        <v>483.29979226102472</v>
      </c>
      <c r="AN36" s="62">
        <f ca="1">AVERAGE(OFFSET($AM$3,0,0,'Données projet'!$E$10+1,1))-AVERAGE(OFFSET($H$3,0,0,'Données projet'!$E$10+1,1))</f>
        <v>434.22500776975596</v>
      </c>
      <c r="AO36" s="62">
        <f t="shared" si="36"/>
        <v>232.59777933076705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6.4102564102564088</v>
      </c>
      <c r="BD36" s="13">
        <f>IF('Données projet'!$A$88&gt;35,BD35+BC36-BL35,IF(A36&lt;'Données projet'!$A$88,$BA$205^A36,IF(A36='Données projet'!$A$88,'Données projet'!$B$88,BD35+BC36-BL35)))</f>
        <v>110.25641025641025</v>
      </c>
      <c r="BE36" s="14">
        <f>BD36*VLOOKUP('Données projet'!$B$11,Paramètres!$A$1:$I$89,3,0)*VLOOKUP('Données projet'!$B$11,Paramètres!$A$1:$I$89,5,0)</f>
        <v>104.91999999999999</v>
      </c>
      <c r="BF36" s="14">
        <f t="shared" si="37"/>
        <v>28.130823299932707</v>
      </c>
      <c r="BG36" s="22">
        <f t="shared" si="7"/>
        <v>231.73018391404943</v>
      </c>
      <c r="BH36" s="62">
        <f t="shared" si="8"/>
        <v>486.47415162328838</v>
      </c>
      <c r="BI36" s="62">
        <f ca="1">AVERAGE(OFFSET($BH$3,0,0,'Données projet'!$E$11+1,1))-AVERAGE(OFFSET($H$3,0,0,'Données projet'!$E$11+1,1))</f>
        <v>393.3005580838161</v>
      </c>
      <c r="BJ36" s="62">
        <f t="shared" si="38"/>
        <v>295.86019897822757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12.919999999999998</v>
      </c>
      <c r="BY36" s="13">
        <f>IF('Données projet'!$A$114&gt;35,BY35+BX36-CG35,IF(A36&lt;'Données projet'!$A$114,$BV$205^A36,IF(A36='Données projet'!$A$114,'Données projet'!$B$114,BY35+BX36-CG35)))</f>
        <v>180.55999999999992</v>
      </c>
      <c r="BZ36" s="14">
        <f>BY36*VLOOKUP('Données projet'!$B$12,Paramètres!$A$1:$I$89,3,0)*VLOOKUP('Données projet'!$B$12,Paramètres!$A$1:$I$89,5,0)</f>
        <v>143.65353599999995</v>
      </c>
      <c r="CA36" s="14">
        <f t="shared" si="39"/>
        <v>37.132720247116019</v>
      </c>
      <c r="CB36" s="22">
        <f t="shared" si="10"/>
        <v>314.86939629706029</v>
      </c>
      <c r="CC36" s="62">
        <f t="shared" si="11"/>
        <v>569.61336400629921</v>
      </c>
      <c r="CD36" s="62">
        <f ca="1">AVERAGE(OFFSET($CC$3,0,0,'Données projet'!$E$12+1,1))-AVERAGE(OFFSET($H$3,0,0,'Données projet'!$E$12+1,1))</f>
        <v>388.52230330563884</v>
      </c>
      <c r="CE36" s="62">
        <f t="shared" si="40"/>
        <v>418.94833960687333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12.919999999999998</v>
      </c>
      <c r="CT36" s="13">
        <f>IF('Données projet'!$A$140&gt;35,CT35+CS36-DB35,IF(A36&lt;'Données projet'!$A$140,$CQ$205^A36,IF(A36='Données projet'!$A$140,'Données projet'!$B$140,CT35+CS36-DB35)))</f>
        <v>180.55999999999992</v>
      </c>
      <c r="CU36" s="18">
        <f>CT36*VLOOKUP('Données projet'!$B$13,Paramètres!$A$1:$I$89,3,0)*VLOOKUP('Données projet'!$B$13,Paramètres!$A$1:$I$89,5,0)</f>
        <v>132.38659199999992</v>
      </c>
      <c r="CV36" s="14">
        <f t="shared" si="41"/>
        <v>34.547245433823143</v>
      </c>
      <c r="CW36" s="22">
        <f t="shared" si="13"/>
        <v>290.74310019724186</v>
      </c>
      <c r="CX36" s="62">
        <f t="shared" si="14"/>
        <v>545.48706790648077</v>
      </c>
      <c r="CY36" s="62">
        <f ca="1">AVERAGE(OFFSET($CX$3,0,0,'Données projet'!$E$13+1,1))-AVERAGE(OFFSET($H$3,0,0,'Données projet'!$E$13+1,1))</f>
        <v>362.38131866207266</v>
      </c>
      <c r="CZ36" s="62">
        <f t="shared" si="42"/>
        <v>390.74498763200336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7.2</v>
      </c>
      <c r="DO36" s="13">
        <f>IF('Données projet'!$A$166&gt;35,DO35+DN36-DW35,IF(A36&lt;'Données projet'!$A$166,$DL$205^A36,IF(A36='Données projet'!$A$166,'Données projet'!$B$166,DO35+DN36-DW35)))</f>
        <v>120.6</v>
      </c>
      <c r="DP36" s="18">
        <f>DO36*VLOOKUP('Données projet'!$B$14,Paramètres!$A$1:$I$89,3,0)*VLOOKUP('Données projet'!$B$14,Paramètres!$A$1:$I$89,5,0)</f>
        <v>105.35616</v>
      </c>
      <c r="DQ36" s="14">
        <f t="shared" si="43"/>
        <v>28.234128165723941</v>
      </c>
      <c r="DR36" s="22">
        <f t="shared" si="16"/>
        <v>232.66975188863583</v>
      </c>
      <c r="DS36" s="62">
        <f t="shared" si="17"/>
        <v>487.41371959787477</v>
      </c>
      <c r="DT36" s="62">
        <f ca="1">AVERAGE(OFFSET($DS$3,0,0,'Données projet'!$E$14+1,1))-AVERAGE(OFFSET($H$3,0,0,'Données projet'!$E$14+1,1))</f>
        <v>334.4692012109935</v>
      </c>
      <c r="DU36" s="62">
        <f t="shared" si="44"/>
        <v>316.360405424036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19.857142857142858</v>
      </c>
      <c r="EJ36" s="13">
        <f>IF('Données projet'!$A$192&gt;35,EJ35+EI36-ER35,IF(A36&lt;'Données projet'!$A$192,$EG$205^A36,IF(A36='Données projet'!$A$192,'Données projet'!$B$192,EJ35+EI36-ER35)))</f>
        <v>315.28571428571422</v>
      </c>
      <c r="EK36" s="18">
        <f>EJ36*VLOOKUP('Données projet'!$B$15,Paramètres!$A$1:$I$89,3,0)*VLOOKUP('Données projet'!$B$15,Paramètres!$A$1:$I$89,5,0)</f>
        <v>176.24471428571425</v>
      </c>
      <c r="EL36" s="14">
        <f t="shared" si="45"/>
        <v>44.485681868533291</v>
      </c>
      <c r="EM36" s="22">
        <f t="shared" si="19"/>
        <v>384.43877330198114</v>
      </c>
      <c r="EN36" s="62">
        <f t="shared" si="20"/>
        <v>639.18274101122006</v>
      </c>
      <c r="EO36" s="62">
        <f ca="1">AVERAGE(OFFSET($EN$3,0,0,'Données projet'!$E$15+1,1))-AVERAGE(OFFSET($H$3,0,0,'Données projet'!$E$15+1,1))</f>
        <v>390.09289316045653</v>
      </c>
      <c r="EP36" s="62">
        <f t="shared" si="46"/>
        <v>364.34913542817617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6.7902337556693677</v>
      </c>
      <c r="EX36" s="23">
        <f>EXP(-LN(2)/2)*EX35+(1-EXP(-LN(2)/2))/(LN(2)/2)*ER36*EU36*VLOOKUP('Données projet'!$B$15,Paramètres!$A$1:$I$89,3,0)*0.475*44/12</f>
        <v>3.1757734994413029</v>
      </c>
      <c r="EY36" s="24">
        <f t="shared" si="21"/>
        <v>9.9660072551106715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</v>
      </c>
      <c r="FE36" s="13">
        <f>IF('Données projet'!$A$218&gt;35,FE35+FD36-FM35,IF(A36&lt;'Données projet'!$A$218,$FB$205^A36,IF(A36='Données projet'!$A$218,'Données projet'!$B$218,FE35+FD36-FM35)))</f>
        <v>121</v>
      </c>
      <c r="FF36" s="18">
        <f>FE36*VLOOKUP('Données projet'!$B$16,Paramètres!$A$1:$I$89,3,0)*VLOOKUP('Données projet'!$B$16,Paramètres!$A$1:$I$89,5,0)</f>
        <v>56.627999999999993</v>
      </c>
      <c r="FG36" s="14">
        <f t="shared" si="47"/>
        <v>16.312872953208519</v>
      </c>
      <c r="FH36" s="22">
        <f t="shared" si="22"/>
        <v>127.03868706017148</v>
      </c>
      <c r="FI36" s="62">
        <f t="shared" si="23"/>
        <v>381.78265476941044</v>
      </c>
      <c r="FJ36" s="62">
        <f ca="1">AVERAGE(OFFSET($FI$3,0,0,'Données projet'!$E$16+1,1))-AVERAGE(OFFSET($H$3,0,0,'Données projet'!$E$16+1,1))</f>
        <v>344.55118007058775</v>
      </c>
      <c r="FK36" s="62">
        <f t="shared" si="48"/>
        <v>144.16931602355001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12.833333333333334</v>
      </c>
      <c r="FZ36" s="13">
        <f>IF('Données projet'!$A$244&gt;35,FZ35+FY36-GH35,IF(A36&lt;'Données projet'!$A$244,$FW$205^A36,IF(A36='Données projet'!$A$244,'Données projet'!$B$244,FZ35+FY36-GH35)))</f>
        <v>209.49999999999997</v>
      </c>
      <c r="GA36" s="18">
        <f>FZ36*VLOOKUP('Données projet'!$B$17,Paramètres!$A$1:$I$89,3,0)*VLOOKUP('Données projet'!$B$17,Paramètres!$A$1:$I$89,5,0)</f>
        <v>130.72799999999998</v>
      </c>
      <c r="GB36" s="14">
        <f t="shared" si="49"/>
        <v>34.164524045585857</v>
      </c>
      <c r="GC36" s="22">
        <f t="shared" si="25"/>
        <v>287.18781271272866</v>
      </c>
      <c r="GD36" s="62">
        <f t="shared" si="26"/>
        <v>541.93178042196757</v>
      </c>
      <c r="GE36" s="62">
        <f ca="1">AVERAGE(OFFSET($GD$3,0,0,'Données projet'!$E$17+1,1))-AVERAGE(OFFSET($H$3,0,0,'Données projet'!$E$17+1,1))</f>
        <v>252.60122125520482</v>
      </c>
      <c r="GF36" s="62">
        <f t="shared" si="50"/>
        <v>357.56833754121317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9.4737681256846145</v>
      </c>
      <c r="GN36" s="23">
        <f>EXP(-LN(2)/2)*GN35+(1-EXP(-LN(2)/2))/(LN(2)/2)*GH36*GK36*VLOOKUP('Données projet'!$B$17,Paramètres!$A$1:$I$89,3,0)*0.475*44/12</f>
        <v>5.8402847775295328</v>
      </c>
      <c r="GO36" s="23">
        <f t="shared" si="27"/>
        <v>15.314052903214147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8.8000000000000007</v>
      </c>
      <c r="GU36" s="13">
        <f>IF('Données projet'!$A$270&gt;35,GU35+GT36-HC35,IF(A36&lt;'Données projet'!$A$270,$GR$205^A36,IF(A36='Données projet'!$A$270,'Données projet'!$B$270,GU35+GT36-HC35)))</f>
        <v>172.40000000000003</v>
      </c>
      <c r="GV36" s="18">
        <f>GU36*VLOOKUP('Données projet'!$B$18,Paramètres!$A$1:$I$89,3,0)*VLOOKUP('Données projet'!$B$18,Paramètres!$A$1:$I$89,5,0)</f>
        <v>139.85088000000005</v>
      </c>
      <c r="GW36" s="14">
        <f t="shared" si="51"/>
        <v>36.262842078476233</v>
      </c>
      <c r="GX36" s="22">
        <f t="shared" si="28"/>
        <v>306.7313992866795</v>
      </c>
      <c r="GY36" s="62">
        <f t="shared" si="29"/>
        <v>561.47536699591842</v>
      </c>
      <c r="GZ36" s="62">
        <f ca="1">AVERAGE(OFFSET($GY$3,0,0,'Données projet'!$E$18+1,1))-AVERAGE(OFFSET($H$3,0,0,'Données projet'!$E$18+1,1))</f>
        <v>268.57152522489537</v>
      </c>
      <c r="HA36" s="62">
        <f t="shared" si="52"/>
        <v>311.80303557283207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3.75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13.75</v>
      </c>
      <c r="H37" s="70">
        <f t="shared" si="1"/>
        <v>201.66666666666666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IF('Données projet'!$A$36&gt;35,N36+M37-V36,IF(A37&lt;'Données projet'!$A$36,$K$205^A37,IF(A37='Données projet'!$A$36,'Données projet'!$B$36,N36+M37-V36)))</f>
        <v>131.39999999999998</v>
      </c>
      <c r="O37" s="14">
        <f>N37*VLOOKUP('Données projet'!$B$9,Paramètres!$A$1:$I$89,3,0)*VLOOKUP('Données projet'!$B$9,Paramètres!$A$1:$I$89,5,0)</f>
        <v>118.89071999999996</v>
      </c>
      <c r="P37" s="14">
        <f t="shared" si="33"/>
        <v>31.416138277101783</v>
      </c>
      <c r="Q37" s="22">
        <f t="shared" si="53"/>
        <v>261.78444483261882</v>
      </c>
      <c r="R37" s="62">
        <f t="shared" si="0"/>
        <v>517.1978517625389</v>
      </c>
      <c r="S37" s="62">
        <f ca="1">AVERAGE(OFFSET($R$3,0,0,'Données projet'!$E$9+1,1))-AVERAGE(OFFSET($H$3,0,0,'Données projet'!$E$9+1,1))</f>
        <v>461.02780119093666</v>
      </c>
      <c r="T37" s="62">
        <f t="shared" si="34"/>
        <v>245.70016468438834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131.39999999999998</v>
      </c>
      <c r="AJ37" s="14">
        <f>AI37*VLOOKUP('Données projet'!$B$10,Paramètres!$A$1:$I$89,3,0)*VLOOKUP('Données projet'!$B$10,Paramètres!$A$1:$I$89,5,0)</f>
        <v>110.69135999999999</v>
      </c>
      <c r="AK37" s="14">
        <f t="shared" si="35"/>
        <v>29.493814936030219</v>
      </c>
      <c r="AL37" s="22">
        <f t="shared" si="4"/>
        <v>244.15584634691925</v>
      </c>
      <c r="AM37" s="62">
        <f t="shared" si="5"/>
        <v>499.56925327683928</v>
      </c>
      <c r="AN37" s="62">
        <f ca="1">AVERAGE(OFFSET($AM$3,0,0,'Données projet'!$E$10+1,1))-AVERAGE(OFFSET($H$3,0,0,'Données projet'!$E$10+1,1))</f>
        <v>434.22500776975596</v>
      </c>
      <c r="AO37" s="62">
        <f t="shared" si="36"/>
        <v>232.59777933076705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6.4102564102564088</v>
      </c>
      <c r="BD37" s="13">
        <f>IF('Données projet'!$A$88&gt;35,BD36+BC37-BL36,IF(A37&lt;'Données projet'!$A$88,$BA$205^A37,IF(A37='Données projet'!$A$88,'Données projet'!$B$88,BD36+BC37-BL36)))</f>
        <v>116.66666666666666</v>
      </c>
      <c r="BE37" s="14">
        <f>BD37*VLOOKUP('Données projet'!$B$11,Paramètres!$A$1:$I$89,3,0)*VLOOKUP('Données projet'!$B$11,Paramètres!$A$1:$I$89,5,0)</f>
        <v>111.02</v>
      </c>
      <c r="BF37" s="14">
        <f t="shared" si="37"/>
        <v>29.571175279490561</v>
      </c>
      <c r="BG37" s="22">
        <f t="shared" si="7"/>
        <v>244.86296361177938</v>
      </c>
      <c r="BH37" s="62">
        <f t="shared" si="8"/>
        <v>500.27637054169941</v>
      </c>
      <c r="BI37" s="62">
        <f ca="1">AVERAGE(OFFSET($BH$3,0,0,'Données projet'!$E$11+1,1))-AVERAGE(OFFSET($H$3,0,0,'Données projet'!$E$11+1,1))</f>
        <v>393.3005580838161</v>
      </c>
      <c r="BJ37" s="62">
        <f t="shared" si="38"/>
        <v>295.86019897822757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12.919999999999998</v>
      </c>
      <c r="BY37" s="13">
        <f>IF('Données projet'!$A$114&gt;35,BY36+BX37-CG36,IF(A37&lt;'Données projet'!$A$114,$BV$205^A37,IF(A37='Données projet'!$A$114,'Données projet'!$B$114,BY36+BX37-CG36)))</f>
        <v>193.4799999999999</v>
      </c>
      <c r="BZ37" s="14">
        <f>BY37*VLOOKUP('Données projet'!$B$12,Paramètres!$A$1:$I$89,3,0)*VLOOKUP('Données projet'!$B$12,Paramètres!$A$1:$I$89,5,0)</f>
        <v>153.93268799999993</v>
      </c>
      <c r="CA37" s="14">
        <f t="shared" si="39"/>
        <v>39.470952496040077</v>
      </c>
      <c r="CB37" s="22">
        <f t="shared" si="10"/>
        <v>336.84467386393629</v>
      </c>
      <c r="CC37" s="62">
        <f t="shared" si="11"/>
        <v>592.25808079385638</v>
      </c>
      <c r="CD37" s="62">
        <f ca="1">AVERAGE(OFFSET($CC$3,0,0,'Données projet'!$E$12+1,1))-AVERAGE(OFFSET($H$3,0,0,'Données projet'!$E$12+1,1))</f>
        <v>388.52230330563884</v>
      </c>
      <c r="CE37" s="62">
        <f t="shared" si="40"/>
        <v>418.94833960687333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12.919999999999998</v>
      </c>
      <c r="CT37" s="13">
        <f>IF('Données projet'!$A$140&gt;35,CT36+CS37-DB36,IF(A37&lt;'Données projet'!$A$140,$CQ$205^A37,IF(A37='Données projet'!$A$140,'Données projet'!$B$140,CT36+CS37-DB36)))</f>
        <v>193.4799999999999</v>
      </c>
      <c r="CU37" s="18">
        <f>CT37*VLOOKUP('Données projet'!$B$13,Paramètres!$A$1:$I$89,3,0)*VLOOKUP('Données projet'!$B$13,Paramètres!$A$1:$I$89,5,0)</f>
        <v>141.85953599999993</v>
      </c>
      <c r="CV37" s="14">
        <f t="shared" si="41"/>
        <v>36.722671388271863</v>
      </c>
      <c r="CW37" s="22">
        <f t="shared" si="13"/>
        <v>311.03067786790672</v>
      </c>
      <c r="CX37" s="62">
        <f t="shared" si="14"/>
        <v>566.44408479782669</v>
      </c>
      <c r="CY37" s="62">
        <f ca="1">AVERAGE(OFFSET($CX$3,0,0,'Données projet'!$E$13+1,1))-AVERAGE(OFFSET($H$3,0,0,'Données projet'!$E$13+1,1))</f>
        <v>362.38131866207266</v>
      </c>
      <c r="CZ37" s="62">
        <f t="shared" si="42"/>
        <v>390.74498763200336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7.2</v>
      </c>
      <c r="DO37" s="13">
        <f>IF('Données projet'!$A$166&gt;35,DO36+DN37-DW36,IF(A37&lt;'Données projet'!$A$166,$DL$205^A37,IF(A37='Données projet'!$A$166,'Données projet'!$B$166,DO36+DN37-DW36)))</f>
        <v>127.8</v>
      </c>
      <c r="DP37" s="18">
        <f>DO37*VLOOKUP('Données projet'!$B$14,Paramètres!$A$1:$I$89,3,0)*VLOOKUP('Données projet'!$B$14,Paramètres!$A$1:$I$89,5,0)</f>
        <v>111.64608000000003</v>
      </c>
      <c r="DQ37" s="14">
        <f t="shared" si="43"/>
        <v>29.718477955114288</v>
      </c>
      <c r="DR37" s="22">
        <f t="shared" si="16"/>
        <v>246.20993843849078</v>
      </c>
      <c r="DS37" s="62">
        <f t="shared" si="17"/>
        <v>501.62334536841081</v>
      </c>
      <c r="DT37" s="62">
        <f ca="1">AVERAGE(OFFSET($DS$3,0,0,'Données projet'!$E$14+1,1))-AVERAGE(OFFSET($H$3,0,0,'Données projet'!$E$14+1,1))</f>
        <v>334.4692012109935</v>
      </c>
      <c r="DU37" s="62">
        <f t="shared" si="44"/>
        <v>316.360405424036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19.857142857142858</v>
      </c>
      <c r="EJ37" s="13">
        <f>IF('Données projet'!$A$192&gt;35,EJ36+EI37-ER36,IF(A37&lt;'Données projet'!$A$192,$EG$205^A37,IF(A37='Données projet'!$A$192,'Données projet'!$B$192,EJ36+EI37-ER36)))</f>
        <v>335.14285714285705</v>
      </c>
      <c r="EK37" s="18">
        <f>EJ37*VLOOKUP('Données projet'!$B$15,Paramètres!$A$1:$I$89,3,0)*VLOOKUP('Données projet'!$B$15,Paramètres!$A$1:$I$89,5,0)</f>
        <v>187.34485714285708</v>
      </c>
      <c r="EL37" s="14">
        <f t="shared" si="45"/>
        <v>46.95245853654621</v>
      </c>
      <c r="EM37" s="22">
        <f t="shared" si="19"/>
        <v>408.06782480829406</v>
      </c>
      <c r="EN37" s="62">
        <f t="shared" si="20"/>
        <v>663.48123173821409</v>
      </c>
      <c r="EO37" s="62">
        <f ca="1">AVERAGE(OFFSET($EN$3,0,0,'Données projet'!$E$15+1,1))-AVERAGE(OFFSET($H$3,0,0,'Données projet'!$E$15+1,1))</f>
        <v>390.09289316045653</v>
      </c>
      <c r="EP37" s="62">
        <f t="shared" si="46"/>
        <v>364.34913542817617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6.6045544565377146</v>
      </c>
      <c r="EX37" s="23">
        <f>EXP(-LN(2)/2)*EX36+(1-EXP(-LN(2)/2))/(LN(2)/2)*ER37*EU37*VLOOKUP('Données projet'!$B$15,Paramètres!$A$1:$I$89,3,0)*0.475*44/12</f>
        <v>2.2456109769674777</v>
      </c>
      <c r="EY37" s="24">
        <f t="shared" si="21"/>
        <v>8.8501654335051931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</v>
      </c>
      <c r="FE37" s="13">
        <f>IF('Données projet'!$A$218&gt;35,FE36+FD37-FM36,IF(A37&lt;'Données projet'!$A$218,$FB$205^A37,IF(A37='Données projet'!$A$218,'Données projet'!$B$218,FE36+FD37-FM36)))</f>
        <v>132</v>
      </c>
      <c r="FF37" s="18">
        <f>FE37*VLOOKUP('Données projet'!$B$16,Paramètres!$A$1:$I$89,3,0)*VLOOKUP('Données projet'!$B$16,Paramètres!$A$1:$I$89,5,0)</f>
        <v>61.775999999999996</v>
      </c>
      <c r="FG37" s="14">
        <f t="shared" si="47"/>
        <v>17.616532373802876</v>
      </c>
      <c r="FH37" s="22">
        <f t="shared" si="22"/>
        <v>138.27532721770669</v>
      </c>
      <c r="FI37" s="62">
        <f t="shared" si="23"/>
        <v>393.68873414762675</v>
      </c>
      <c r="FJ37" s="62">
        <f ca="1">AVERAGE(OFFSET($FI$3,0,0,'Données projet'!$E$16+1,1))-AVERAGE(OFFSET($H$3,0,0,'Données projet'!$E$16+1,1))</f>
        <v>344.55118007058775</v>
      </c>
      <c r="FK37" s="62">
        <f t="shared" si="48"/>
        <v>144.16931602355001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12.833333333333334</v>
      </c>
      <c r="FZ37" s="13">
        <f>IF('Données projet'!$A$244&gt;35,FZ36+FY37-GH36,IF(A37&lt;'Données projet'!$A$244,$FW$205^A37,IF(A37='Données projet'!$A$244,'Données projet'!$B$244,FZ36+FY37-GH36)))</f>
        <v>222.33333333333331</v>
      </c>
      <c r="GA37" s="18">
        <f>FZ37*VLOOKUP('Données projet'!$B$17,Paramètres!$A$1:$I$89,3,0)*VLOOKUP('Données projet'!$B$17,Paramètres!$A$1:$I$89,5,0)</f>
        <v>138.73599999999999</v>
      </c>
      <c r="GB37" s="14">
        <f t="shared" si="49"/>
        <v>36.007288175538044</v>
      </c>
      <c r="GC37" s="22">
        <f t="shared" si="25"/>
        <v>304.34456023906205</v>
      </c>
      <c r="GD37" s="62">
        <f t="shared" si="26"/>
        <v>559.75796716898208</v>
      </c>
      <c r="GE37" s="62">
        <f ca="1">AVERAGE(OFFSET($GD$3,0,0,'Données projet'!$E$17+1,1))-AVERAGE(OFFSET($H$3,0,0,'Données projet'!$E$17+1,1))</f>
        <v>252.60122125520482</v>
      </c>
      <c r="GF37" s="62">
        <f t="shared" si="50"/>
        <v>357.56833754121317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9.2147074380839555</v>
      </c>
      <c r="GN37" s="23">
        <f>EXP(-LN(2)/2)*GN36+(1-EXP(-LN(2)/2))/(LN(2)/2)*GH37*GK37*VLOOKUP('Données projet'!$B$17,Paramètres!$A$1:$I$89,3,0)*0.475*44/12</f>
        <v>4.1297049702516997</v>
      </c>
      <c r="GO37" s="23">
        <f t="shared" si="27"/>
        <v>13.344412408335655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8.8000000000000007</v>
      </c>
      <c r="GU37" s="13">
        <f>IF('Données projet'!$A$270&gt;35,GU36+GT37-HC36,IF(A37&lt;'Données projet'!$A$270,$GR$205^A37,IF(A37='Données projet'!$A$270,'Données projet'!$B$270,GU36+GT37-HC36)))</f>
        <v>181.20000000000005</v>
      </c>
      <c r="GV37" s="18">
        <f>GU37*VLOOKUP('Données projet'!$B$18,Paramètres!$A$1:$I$89,3,0)*VLOOKUP('Données projet'!$B$18,Paramètres!$A$1:$I$89,5,0)</f>
        <v>146.98944000000006</v>
      </c>
      <c r="GW37" s="14">
        <f t="shared" si="51"/>
        <v>37.893619858723746</v>
      </c>
      <c r="GX37" s="22">
        <f t="shared" si="28"/>
        <v>322.00466258727732</v>
      </c>
      <c r="GY37" s="62">
        <f t="shared" si="29"/>
        <v>577.41806951719741</v>
      </c>
      <c r="GZ37" s="62">
        <f ca="1">AVERAGE(OFFSET($GY$3,0,0,'Données projet'!$E$18+1,1))-AVERAGE(OFFSET($H$3,0,0,'Données projet'!$E$18+1,1))</f>
        <v>268.57152522489537</v>
      </c>
      <c r="HA37" s="62">
        <f t="shared" si="52"/>
        <v>311.80303557283207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3.75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13.75</v>
      </c>
      <c r="H38" s="70">
        <f t="shared" si="1"/>
        <v>201.66666666666666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IF('Données projet'!$A$36&gt;35,N37+M38-V37,IF(A38&lt;'Données projet'!$A$36,$K$205^A38,IF(A38='Données projet'!$A$36,'Données projet'!$B$36,N37+M38-V37)))</f>
        <v>139.99999999999997</v>
      </c>
      <c r="O38" s="14">
        <f>N38*VLOOKUP('Données projet'!$B$9,Paramètres!$A$1:$I$89,3,0)*VLOOKUP('Données projet'!$B$9,Paramètres!$A$1:$I$89,5,0)</f>
        <v>126.67199999999997</v>
      </c>
      <c r="P38" s="14">
        <f t="shared" si="33"/>
        <v>33.226199426361319</v>
      </c>
      <c r="Q38" s="22">
        <f t="shared" si="53"/>
        <v>278.48936400091259</v>
      </c>
      <c r="R38" s="62">
        <f t="shared" si="0"/>
        <v>534.56059687767674</v>
      </c>
      <c r="S38" s="62">
        <f ca="1">AVERAGE(OFFSET($R$3,0,0,'Données projet'!$E$9+1,1))-AVERAGE(OFFSET($H$3,0,0,'Données projet'!$E$9+1,1))</f>
        <v>461.02780119093666</v>
      </c>
      <c r="T38" s="62">
        <f t="shared" si="34"/>
        <v>245.70016468438834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140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139.99999999999997</v>
      </c>
      <c r="AJ38" s="14">
        <f>AI38*VLOOKUP('Données projet'!$B$10,Paramètres!$A$1:$I$89,3,0)*VLOOKUP('Données projet'!$B$10,Paramètres!$A$1:$I$89,5,0)</f>
        <v>117.93599999999999</v>
      </c>
      <c r="AK38" s="14">
        <f t="shared" si="35"/>
        <v>31.1931201812605</v>
      </c>
      <c r="AL38" s="22">
        <f t="shared" si="4"/>
        <v>259.73321764902869</v>
      </c>
      <c r="AM38" s="62">
        <f t="shared" si="5"/>
        <v>515.80445052579284</v>
      </c>
      <c r="AN38" s="62">
        <f ca="1">AVERAGE(OFFSET($AM$3,0,0,'Données projet'!$E$10+1,1))-AVERAGE(OFFSET($H$3,0,0,'Données projet'!$E$10+1,1))</f>
        <v>434.22500776975596</v>
      </c>
      <c r="AO38" s="62">
        <f t="shared" si="36"/>
        <v>232.59777933076705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123.07692307692307</v>
      </c>
      <c r="BB38" s="13">
        <f>VLOOKUP(A38,'Données projet'!$A$87:$I$107,9,0)</f>
        <v>6.4102564102564088</v>
      </c>
      <c r="BC38" s="13">
        <f t="array" ref="BC38">INDEX(BB:BB,MIN(IF(ISNUMBER(BB38:BB234),ROW(BB38:BB234),"")))</f>
        <v>6.4102564102564088</v>
      </c>
      <c r="BD38" s="13">
        <f>IF('Données projet'!$A$88&gt;35,BD37+BC38-BL37,IF(A38&lt;'Données projet'!$A$88,$BA$205^A38,IF(A38='Données projet'!$A$88,'Données projet'!$B$88,BD37+BC38-BL37)))</f>
        <v>123.07692307692307</v>
      </c>
      <c r="BE38" s="14">
        <f>BD38*VLOOKUP('Données projet'!$B$11,Paramètres!$A$1:$I$89,3,0)*VLOOKUP('Données projet'!$B$11,Paramètres!$A$1:$I$89,5,0)</f>
        <v>117.11999999999999</v>
      </c>
      <c r="BF38" s="14">
        <f t="shared" si="37"/>
        <v>31.002339853075508</v>
      </c>
      <c r="BG38" s="22">
        <f t="shared" si="7"/>
        <v>257.97974191077316</v>
      </c>
      <c r="BH38" s="62">
        <f t="shared" si="8"/>
        <v>514.05097478753737</v>
      </c>
      <c r="BI38" s="62">
        <f ca="1">AVERAGE(OFFSET($BH$3,0,0,'Données projet'!$E$11+1,1))-AVERAGE(OFFSET($H$3,0,0,'Données projet'!$E$11+1,1))</f>
        <v>393.3005580838161</v>
      </c>
      <c r="BJ38" s="62">
        <f t="shared" si="38"/>
        <v>295.86019897822757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206.4</v>
      </c>
      <c r="BW38" s="13">
        <f>VLOOKUP(A38,'Données projet'!$A$113:$I$133,9,0)</f>
        <v>12.919999999999998</v>
      </c>
      <c r="BX38" s="13">
        <f t="array" ref="BX38">INDEX(BW:BW,MIN(IF(ISNUMBER(BW38:BW234),ROW(BW38:BW234),"")))</f>
        <v>12.919999999999998</v>
      </c>
      <c r="BY38" s="13">
        <f>IF('Données projet'!$A$114&gt;35,BY37+BX38-CG37,IF(A38&lt;'Données projet'!$A$114,$BV$205^A38,IF(A38='Données projet'!$A$114,'Données projet'!$B$114,BY37+BX38-CG37)))</f>
        <v>206.39999999999989</v>
      </c>
      <c r="BZ38" s="14">
        <f>BY38*VLOOKUP('Données projet'!$B$12,Paramètres!$A$1:$I$89,3,0)*VLOOKUP('Données projet'!$B$12,Paramètres!$A$1:$I$89,5,0)</f>
        <v>164.21183999999994</v>
      </c>
      <c r="CA38" s="14">
        <f t="shared" si="39"/>
        <v>41.79106629541738</v>
      </c>
      <c r="CB38" s="22">
        <f t="shared" si="10"/>
        <v>358.78839513118515</v>
      </c>
      <c r="CC38" s="62">
        <f t="shared" si="11"/>
        <v>614.85962800794937</v>
      </c>
      <c r="CD38" s="62">
        <f ca="1">AVERAGE(OFFSET($CC$3,0,0,'Données projet'!$E$12+1,1))-AVERAGE(OFFSET($H$3,0,0,'Données projet'!$E$12+1,1))</f>
        <v>388.52230330563884</v>
      </c>
      <c r="CE38" s="62">
        <f t="shared" si="40"/>
        <v>418.94833960687333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206.4</v>
      </c>
      <c r="CR38" s="13">
        <f>VLOOKUP(A38,'Données projet'!$A$139:$I$159,9,0)</f>
        <v>12.919999999999998</v>
      </c>
      <c r="CS38" s="13">
        <f t="array" ref="CS38">INDEX(CR:CR,MIN(IF(ISNUMBER(CR38:CR234),ROW(CR38:CR234),"")))</f>
        <v>12.919999999999998</v>
      </c>
      <c r="CT38" s="13">
        <f>IF('Données projet'!$A$140&gt;35,CT37+CS38-DB37,IF(A38&lt;'Données projet'!$A$140,$CQ$205^A38,IF(A38='Données projet'!$A$140,'Données projet'!$B$140,CT37+CS38-DB37)))</f>
        <v>206.39999999999989</v>
      </c>
      <c r="CU38" s="18">
        <f>CT38*VLOOKUP('Données projet'!$B$13,Paramètres!$A$1:$I$89,3,0)*VLOOKUP('Données projet'!$B$13,Paramètres!$A$1:$I$89,5,0)</f>
        <v>151.33247999999992</v>
      </c>
      <c r="CV38" s="14">
        <f t="shared" si="41"/>
        <v>38.881240443489794</v>
      </c>
      <c r="CW38" s="22">
        <f t="shared" si="13"/>
        <v>331.28889643907786</v>
      </c>
      <c r="CX38" s="62">
        <f t="shared" si="14"/>
        <v>587.36012931584207</v>
      </c>
      <c r="CY38" s="62">
        <f ca="1">AVERAGE(OFFSET($CX$3,0,0,'Données projet'!$E$13+1,1))-AVERAGE(OFFSET($H$3,0,0,'Données projet'!$E$13+1,1))</f>
        <v>362.38131866207266</v>
      </c>
      <c r="CZ38" s="62">
        <f t="shared" si="42"/>
        <v>390.74498763200336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135</v>
      </c>
      <c r="DM38" s="13">
        <f>VLOOKUP(A38,'Données projet'!$A$165:$I$185,9,0)</f>
        <v>7.2</v>
      </c>
      <c r="DN38" s="13">
        <f t="array" ref="DN38">INDEX(DM:DM,MIN(IF(ISNUMBER(DM38:DM234),ROW(DM38:DM234),"")))</f>
        <v>7.2</v>
      </c>
      <c r="DO38" s="13">
        <f>IF('Données projet'!$A$166&gt;35,DO37+DN38-DW37,IF(A38&lt;'Données projet'!$A$166,$DL$205^A38,IF(A38='Données projet'!$A$166,'Données projet'!$B$166,DO37+DN38-DW37)))</f>
        <v>135</v>
      </c>
      <c r="DP38" s="18">
        <f>DO38*VLOOKUP('Données projet'!$B$14,Paramètres!$A$1:$I$89,3,0)*VLOOKUP('Données projet'!$B$14,Paramètres!$A$1:$I$89,5,0)</f>
        <v>117.93600000000002</v>
      </c>
      <c r="DQ38" s="14">
        <f t="shared" si="43"/>
        <v>31.1931201812605</v>
      </c>
      <c r="DR38" s="22">
        <f t="shared" si="16"/>
        <v>259.73321764902875</v>
      </c>
      <c r="DS38" s="62">
        <f t="shared" si="17"/>
        <v>515.80445052579296</v>
      </c>
      <c r="DT38" s="62">
        <f ca="1">AVERAGE(OFFSET($DS$3,0,0,'Données projet'!$E$14+1,1))-AVERAGE(OFFSET($H$3,0,0,'Données projet'!$E$14+1,1))</f>
        <v>334.4692012109935</v>
      </c>
      <c r="DU38" s="62">
        <f t="shared" si="44"/>
        <v>316.360405424036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355</v>
      </c>
      <c r="EH38" s="13">
        <f>VLOOKUP(A38,'Données projet'!$A$191:$I$211,9,0)</f>
        <v>19.857142857142858</v>
      </c>
      <c r="EI38" s="13">
        <f t="array" ref="EI38">INDEX(EH:EH,MIN(IF(ISNUMBER(EH38:EH234),ROW(EH38:EH234),"")))</f>
        <v>19.857142857142858</v>
      </c>
      <c r="EJ38" s="13">
        <f>IF('Données projet'!$A$192&gt;35,EJ37+EI38-ER37,IF(A38&lt;'Données projet'!$A$192,$EG$205^A38,IF(A38='Données projet'!$A$192,'Données projet'!$B$192,EJ37+EI38-ER37)))</f>
        <v>354.99999999999989</v>
      </c>
      <c r="EK38" s="18">
        <f>EJ38*VLOOKUP('Données projet'!$B$15,Paramètres!$A$1:$I$89,3,0)*VLOOKUP('Données projet'!$B$15,Paramètres!$A$1:$I$89,5,0)</f>
        <v>198.44499999999994</v>
      </c>
      <c r="EL38" s="14">
        <f t="shared" si="45"/>
        <v>49.40227070134226</v>
      </c>
      <c r="EM38" s="22">
        <f t="shared" si="19"/>
        <v>431.66732980483766</v>
      </c>
      <c r="EN38" s="62">
        <f t="shared" si="20"/>
        <v>687.73856268160193</v>
      </c>
      <c r="EO38" s="62">
        <f ca="1">AVERAGE(OFFSET($EN$3,0,0,'Données projet'!$E$15+1,1))-AVERAGE(OFFSET($H$3,0,0,'Données projet'!$E$15+1,1))</f>
        <v>390.09289316045653</v>
      </c>
      <c r="EP38" s="62">
        <f t="shared" si="46"/>
        <v>364.34913542817617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73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6.4239525676052667</v>
      </c>
      <c r="EX38" s="23">
        <f>EXP(-LN(2)/2)*EX37+(1-EXP(-LN(2)/2))/(LN(2)/2)*ER38*EU38*VLOOKUP('Données projet'!$B$15,Paramètres!$A$1:$I$89,3,0)*0.475*44/12</f>
        <v>1.5878867497206515</v>
      </c>
      <c r="EY38" s="24">
        <f t="shared" si="21"/>
        <v>8.0118393173259186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</v>
      </c>
      <c r="FE38" s="13">
        <f>IF('Données projet'!$A$218&gt;35,FE37+FD38-FM37,IF(A38&lt;'Données projet'!$A$218,$FB$205^A38,IF(A38='Données projet'!$A$218,'Données projet'!$B$218,FE37+FD38-FM37)))</f>
        <v>143</v>
      </c>
      <c r="FF38" s="18">
        <f>FE38*VLOOKUP('Données projet'!$B$16,Paramètres!$A$1:$I$89,3,0)*VLOOKUP('Données projet'!$B$16,Paramètres!$A$1:$I$89,5,0)</f>
        <v>66.923999999999992</v>
      </c>
      <c r="FG38" s="14">
        <f t="shared" si="47"/>
        <v>18.90759204786767</v>
      </c>
      <c r="FH38" s="22">
        <f t="shared" si="22"/>
        <v>149.49002281670283</v>
      </c>
      <c r="FI38" s="62">
        <f t="shared" si="23"/>
        <v>405.56125569346705</v>
      </c>
      <c r="FJ38" s="62">
        <f ca="1">AVERAGE(OFFSET($FI$3,0,0,'Données projet'!$E$16+1,1))-AVERAGE(OFFSET($H$3,0,0,'Données projet'!$E$16+1,1))</f>
        <v>344.55118007058775</v>
      </c>
      <c r="FK38" s="62">
        <f t="shared" si="48"/>
        <v>144.16931602355001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12.833333333333334</v>
      </c>
      <c r="FZ38" s="13">
        <f>IF('Données projet'!$A$244&gt;35,FZ37+FY38-GH37,IF(A38&lt;'Données projet'!$A$244,$FW$205^A38,IF(A38='Données projet'!$A$244,'Données projet'!$B$244,FZ37+FY38-GH37)))</f>
        <v>235.16666666666666</v>
      </c>
      <c r="GA38" s="18">
        <f>FZ38*VLOOKUP('Données projet'!$B$17,Paramètres!$A$1:$I$89,3,0)*VLOOKUP('Données projet'!$B$17,Paramètres!$A$1:$I$89,5,0)</f>
        <v>146.744</v>
      </c>
      <c r="GB38" s="14">
        <f t="shared" si="49"/>
        <v>37.837705514258651</v>
      </c>
      <c r="GC38" s="22">
        <f t="shared" si="25"/>
        <v>321.47980377066716</v>
      </c>
      <c r="GD38" s="62">
        <f t="shared" si="26"/>
        <v>577.55103664743137</v>
      </c>
      <c r="GE38" s="62">
        <f ca="1">AVERAGE(OFFSET($GD$3,0,0,'Données projet'!$E$17+1,1))-AVERAGE(OFFSET($H$3,0,0,'Données projet'!$E$17+1,1))</f>
        <v>252.60122125520482</v>
      </c>
      <c r="GF38" s="62">
        <f t="shared" si="50"/>
        <v>357.56833754121317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8.9627307786091457</v>
      </c>
      <c r="GN38" s="23">
        <f>EXP(-LN(2)/2)*GN37+(1-EXP(-LN(2)/2))/(LN(2)/2)*GH38*GK38*VLOOKUP('Données projet'!$B$17,Paramètres!$A$1:$I$89,3,0)*0.475*44/12</f>
        <v>2.9201423887647664</v>
      </c>
      <c r="GO38" s="23">
        <f t="shared" si="27"/>
        <v>11.882873167373912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190</v>
      </c>
      <c r="GS38" s="13">
        <f>VLOOKUP(A38,'Données projet'!$A$269:$I$289,9,0)</f>
        <v>8.8000000000000007</v>
      </c>
      <c r="GT38" s="13">
        <f t="array" ref="GT38">INDEX(GS:GS,MIN(IF(ISNUMBER(GS38:GS234),ROW(GS38:GS234),"")))</f>
        <v>8.8000000000000007</v>
      </c>
      <c r="GU38" s="13">
        <f>IF('Données projet'!$A$270&gt;35,GU37+GT38-HC37,IF(A38&lt;'Données projet'!$A$270,$GR$205^A38,IF(A38='Données projet'!$A$270,'Données projet'!$B$270,GU37+GT38-HC37)))</f>
        <v>190.00000000000006</v>
      </c>
      <c r="GV38" s="18">
        <f>GU38*VLOOKUP('Données projet'!$B$18,Paramètres!$A$1:$I$89,3,0)*VLOOKUP('Données projet'!$B$18,Paramètres!$A$1:$I$89,5,0)</f>
        <v>154.12800000000007</v>
      </c>
      <c r="GW38" s="14">
        <f t="shared" si="51"/>
        <v>39.51520107536119</v>
      </c>
      <c r="GX38" s="22">
        <f t="shared" si="28"/>
        <v>337.26190853958752</v>
      </c>
      <c r="GY38" s="62">
        <f t="shared" si="29"/>
        <v>593.33314141635174</v>
      </c>
      <c r="GZ38" s="62">
        <f ca="1">AVERAGE(OFFSET($GY$3,0,0,'Données projet'!$E$18+1,1))-AVERAGE(OFFSET($H$3,0,0,'Données projet'!$E$18+1,1))</f>
        <v>268.57152522489537</v>
      </c>
      <c r="HA38" s="62">
        <f t="shared" si="52"/>
        <v>311.80303557283207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76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3.75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13.75</v>
      </c>
      <c r="H39" s="70">
        <f t="shared" si="1"/>
        <v>201.66666666666666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IF('Données projet'!$A$36&gt;35,N38+M39-V38,IF(A39&lt;'Données projet'!$A$36,$K$205^A39,IF(A39='Données projet'!$A$36,'Données projet'!$B$36,N38+M39-V38)))</f>
        <v>105.79999999999998</v>
      </c>
      <c r="O39" s="14">
        <f>N39*VLOOKUP('Données projet'!$B$9,Paramètres!$A$1:$I$89,3,0)*VLOOKUP('Données projet'!$B$9,Paramètres!$A$1:$I$89,5,0)</f>
        <v>95.727839999999972</v>
      </c>
      <c r="P39" s="14">
        <f t="shared" si="33"/>
        <v>25.941642560384413</v>
      </c>
      <c r="Q39" s="22">
        <f t="shared" si="53"/>
        <v>211.90768212600278</v>
      </c>
      <c r="R39" s="62">
        <f t="shared" si="0"/>
        <v>468.62532914011194</v>
      </c>
      <c r="S39" s="62">
        <f ca="1">AVERAGE(OFFSET($R$3,0,0,'Données projet'!$E$9+1,1))-AVERAGE(OFFSET($H$3,0,0,'Données projet'!$E$9+1,1))</f>
        <v>461.02780119093666</v>
      </c>
      <c r="T39" s="62">
        <f t="shared" si="34"/>
        <v>245.70016468438834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105.79999999999998</v>
      </c>
      <c r="AJ39" s="14">
        <f>AI39*VLOOKUP('Données projet'!$B$10,Paramètres!$A$1:$I$89,3,0)*VLOOKUP('Données projet'!$B$10,Paramètres!$A$1:$I$89,5,0)</f>
        <v>89.125919999999994</v>
      </c>
      <c r="AK39" s="14">
        <f t="shared" si="35"/>
        <v>24.354298356596342</v>
      </c>
      <c r="AL39" s="22">
        <f t="shared" si="4"/>
        <v>197.64471363773862</v>
      </c>
      <c r="AM39" s="62">
        <f t="shared" si="5"/>
        <v>454.36236065184778</v>
      </c>
      <c r="AN39" s="62">
        <f ca="1">AVERAGE(OFFSET($AM$3,0,0,'Données projet'!$E$10+1,1))-AVERAGE(OFFSET($H$3,0,0,'Données projet'!$E$10+1,1))</f>
        <v>434.22500776975596</v>
      </c>
      <c r="AO39" s="62">
        <f t="shared" si="36"/>
        <v>232.59777933076705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5.8974358974359005</v>
      </c>
      <c r="BD39" s="13">
        <f>IF('Données projet'!$A$88&gt;35,BD38+BC39-BL38,IF(A39&lt;'Données projet'!$A$88,$BA$205^A39,IF(A39='Données projet'!$A$88,'Données projet'!$B$88,BD38+BC39-BL38)))</f>
        <v>128.97435897435898</v>
      </c>
      <c r="BE39" s="14">
        <f>BD39*VLOOKUP('Données projet'!$B$11,Paramètres!$A$1:$I$89,3,0)*VLOOKUP('Données projet'!$B$11,Paramètres!$A$1:$I$89,5,0)</f>
        <v>122.73200000000001</v>
      </c>
      <c r="BF39" s="14">
        <f t="shared" si="37"/>
        <v>32.311356202721527</v>
      </c>
      <c r="BG39" s="22">
        <f t="shared" si="7"/>
        <v>270.03384538640671</v>
      </c>
      <c r="BH39" s="62">
        <f t="shared" si="8"/>
        <v>526.75149240051587</v>
      </c>
      <c r="BI39" s="62">
        <f ca="1">AVERAGE(OFFSET($BH$3,0,0,'Données projet'!$E$11+1,1))-AVERAGE(OFFSET($H$3,0,0,'Données projet'!$E$11+1,1))</f>
        <v>393.3005580838161</v>
      </c>
      <c r="BJ39" s="62">
        <f t="shared" si="38"/>
        <v>295.86019897822757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11.340000000000003</v>
      </c>
      <c r="BY39" s="13">
        <f>IF('Données projet'!$A$114&gt;35,BY38+BX39-CG38,IF(A39&lt;'Données projet'!$A$114,$BV$205^A39,IF(A39='Données projet'!$A$114,'Données projet'!$B$114,BY38+BX39-CG38)))</f>
        <v>217.7399999999999</v>
      </c>
      <c r="BZ39" s="14">
        <f>BY39*VLOOKUP('Données projet'!$B$12,Paramètres!$A$1:$I$89,3,0)*VLOOKUP('Données projet'!$B$12,Paramètres!$A$1:$I$89,5,0)</f>
        <v>173.23394399999992</v>
      </c>
      <c r="CA39" s="14">
        <f t="shared" si="39"/>
        <v>43.813523178063591</v>
      </c>
      <c r="CB39" s="22">
        <f t="shared" si="10"/>
        <v>378.02433866846064</v>
      </c>
      <c r="CC39" s="62">
        <f t="shared" si="11"/>
        <v>634.74198568256975</v>
      </c>
      <c r="CD39" s="62">
        <f ca="1">AVERAGE(OFFSET($CC$3,0,0,'Données projet'!$E$12+1,1))-AVERAGE(OFFSET($H$3,0,0,'Données projet'!$E$12+1,1))</f>
        <v>388.52230330563884</v>
      </c>
      <c r="CE39" s="62">
        <f t="shared" si="40"/>
        <v>418.94833960687333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11.340000000000003</v>
      </c>
      <c r="CT39" s="13">
        <f>IF('Données projet'!$A$140&gt;35,CT38+CS39-DB38,IF(A39&lt;'Données projet'!$A$140,$CQ$205^A39,IF(A39='Données projet'!$A$140,'Données projet'!$B$140,CT38+CS39-DB38)))</f>
        <v>217.7399999999999</v>
      </c>
      <c r="CU39" s="18">
        <f>CT39*VLOOKUP('Données projet'!$B$13,Paramètres!$A$1:$I$89,3,0)*VLOOKUP('Données projet'!$B$13,Paramètres!$A$1:$I$89,5,0)</f>
        <v>159.64696799999993</v>
      </c>
      <c r="CV39" s="14">
        <f t="shared" si="41"/>
        <v>40.762877819882384</v>
      </c>
      <c r="CW39" s="22">
        <f t="shared" si="13"/>
        <v>349.04714813629499</v>
      </c>
      <c r="CX39" s="62">
        <f t="shared" si="14"/>
        <v>605.7647951504041</v>
      </c>
      <c r="CY39" s="62">
        <f ca="1">AVERAGE(OFFSET($CX$3,0,0,'Données projet'!$E$13+1,1))-AVERAGE(OFFSET($H$3,0,0,'Données projet'!$E$13+1,1))</f>
        <v>362.38131866207266</v>
      </c>
      <c r="CZ39" s="62">
        <f t="shared" si="42"/>
        <v>390.74498763200336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</v>
      </c>
      <c r="DO39" s="13">
        <f>IF('Données projet'!$A$166&gt;35,DO38+DN39-DW38,IF(A39&lt;'Données projet'!$A$166,$DL$205^A39,IF(A39='Données projet'!$A$166,'Données projet'!$B$166,DO38+DN39-DW38)))</f>
        <v>142</v>
      </c>
      <c r="DP39" s="18">
        <f>DO39*VLOOKUP('Données projet'!$B$14,Paramètres!$A$1:$I$89,3,0)*VLOOKUP('Données projet'!$B$14,Paramètres!$A$1:$I$89,5,0)</f>
        <v>124.05120000000002</v>
      </c>
      <c r="DQ39" s="14">
        <f t="shared" si="43"/>
        <v>32.618041559366006</v>
      </c>
      <c r="DR39" s="22">
        <f t="shared" si="16"/>
        <v>272.86559571589578</v>
      </c>
      <c r="DS39" s="62">
        <f t="shared" si="17"/>
        <v>529.58324273000494</v>
      </c>
      <c r="DT39" s="62">
        <f ca="1">AVERAGE(OFFSET($DS$3,0,0,'Données projet'!$E$14+1,1))-AVERAGE(OFFSET($H$3,0,0,'Données projet'!$E$14+1,1))</f>
        <v>334.4692012109935</v>
      </c>
      <c r="DU39" s="62">
        <f t="shared" si="44"/>
        <v>316.360405424036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19.571428571428573</v>
      </c>
      <c r="EJ39" s="13">
        <f>IF('Données projet'!$A$192&gt;35,EJ38+EI39-ER38,IF(A39&lt;'Données projet'!$A$192,$EG$205^A39,IF(A39='Données projet'!$A$192,'Données projet'!$B$192,EJ38+EI39-ER38)))</f>
        <v>301.57142857142844</v>
      </c>
      <c r="EK39" s="18">
        <f>EJ39*VLOOKUP('Données projet'!$B$15,Paramètres!$A$1:$I$89,3,0)*VLOOKUP('Données projet'!$B$15,Paramètres!$A$1:$I$89,5,0)</f>
        <v>168.5784285714285</v>
      </c>
      <c r="EL39" s="14">
        <f t="shared" si="45"/>
        <v>42.771483439273169</v>
      </c>
      <c r="EM39" s="22">
        <f t="shared" si="19"/>
        <v>368.10109675197208</v>
      </c>
      <c r="EN39" s="62">
        <f t="shared" si="20"/>
        <v>624.8187437660813</v>
      </c>
      <c r="EO39" s="62">
        <f ca="1">AVERAGE(OFFSET($EN$3,0,0,'Données projet'!$E$15+1,1))-AVERAGE(OFFSET($H$3,0,0,'Données projet'!$E$15+1,1))</f>
        <v>390.09289316045653</v>
      </c>
      <c r="EP39" s="62">
        <f t="shared" si="46"/>
        <v>364.34913542817617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6.2482892468231173</v>
      </c>
      <c r="EX39" s="23">
        <f>EXP(-LN(2)/2)*EX38+(1-EXP(-LN(2)/2))/(LN(2)/2)*ER39*EU39*VLOOKUP('Données projet'!$B$15,Paramètres!$A$1:$I$89,3,0)*0.475*44/12</f>
        <v>1.1228054884837388</v>
      </c>
      <c r="EY39" s="24">
        <f t="shared" si="21"/>
        <v>7.3710947353068565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</v>
      </c>
      <c r="FE39" s="13">
        <f>IF('Données projet'!$A$218&gt;35,FE38+FD39-FM38,IF(A39&lt;'Données projet'!$A$218,$FB$205^A39,IF(A39='Données projet'!$A$218,'Données projet'!$B$218,FE38+FD39-FM38)))</f>
        <v>154</v>
      </c>
      <c r="FF39" s="18">
        <f>FE39*VLOOKUP('Données projet'!$B$16,Paramètres!$A$1:$I$89,3,0)*VLOOKUP('Données projet'!$B$16,Paramètres!$A$1:$I$89,5,0)</f>
        <v>72.072000000000003</v>
      </c>
      <c r="FG39" s="14">
        <f t="shared" si="47"/>
        <v>20.187131385147271</v>
      </c>
      <c r="FH39" s="22">
        <f t="shared" si="22"/>
        <v>160.68465382913149</v>
      </c>
      <c r="FI39" s="62">
        <f t="shared" si="23"/>
        <v>417.40230084324065</v>
      </c>
      <c r="FJ39" s="62">
        <f ca="1">AVERAGE(OFFSET($FI$3,0,0,'Données projet'!$E$16+1,1))-AVERAGE(OFFSET($H$3,0,0,'Données projet'!$E$16+1,1))</f>
        <v>344.55118007058775</v>
      </c>
      <c r="FK39" s="62">
        <f t="shared" si="48"/>
        <v>144.16931602355001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>
        <f>VLOOKUP(A39,'Données projet'!$A$243:$I$263,2,0)</f>
        <v>248</v>
      </c>
      <c r="FX39" s="13">
        <f>VLOOKUP(A39,'Données projet'!$A$243:$I$263,9,0)</f>
        <v>12.833333333333334</v>
      </c>
      <c r="FY39" s="13">
        <f t="array" ref="FY39">INDEX(FX:FX,MIN(IF(ISNUMBER(FX39:FX235),ROW(FX39:FX235),"")))</f>
        <v>12.833333333333334</v>
      </c>
      <c r="FZ39" s="13">
        <f>IF('Données projet'!$A$244&gt;35,FZ38+FY39-GH38,IF(A39&lt;'Données projet'!$A$244,$FW$205^A39,IF(A39='Données projet'!$A$244,'Données projet'!$B$244,FZ38+FY39-GH38)))</f>
        <v>248</v>
      </c>
      <c r="GA39" s="18">
        <f>FZ39*VLOOKUP('Données projet'!$B$17,Paramètres!$A$1:$I$89,3,0)*VLOOKUP('Données projet'!$B$17,Paramètres!$A$1:$I$89,5,0)</f>
        <v>154.75199999999998</v>
      </c>
      <c r="GB39" s="14">
        <f t="shared" si="49"/>
        <v>39.656526650076415</v>
      </c>
      <c r="GC39" s="22">
        <f t="shared" si="25"/>
        <v>338.5948505822164</v>
      </c>
      <c r="GD39" s="62">
        <f t="shared" si="26"/>
        <v>595.31249759632556</v>
      </c>
      <c r="GE39" s="62">
        <f ca="1">AVERAGE(OFFSET($GD$3,0,0,'Données projet'!$E$17+1,1))-AVERAGE(OFFSET($H$3,0,0,'Données projet'!$E$17+1,1))</f>
        <v>252.60122125520482</v>
      </c>
      <c r="GF39" s="62">
        <f t="shared" si="50"/>
        <v>357.56833754121317</v>
      </c>
      <c r="GG39" s="16">
        <f>IF(ISNA(VLOOKUP(A39,'Données projet'!$A$243:$I$263,3,0)),0,VLOOKUP(A39,'Données projet'!$A$243:$I$263,3,0))</f>
        <v>5</v>
      </c>
      <c r="GH39" s="16">
        <f>IF(ISNA(VLOOKUP(A39,'Données projet'!$A$243:$I$263,4,0)),0,VLOOKUP(A39,'Données projet'!$A$243:$I$263,4,0))</f>
        <v>62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8.7176444341385508</v>
      </c>
      <c r="GN39" s="23">
        <f>EXP(-LN(2)/2)*GN38+(1-EXP(-LN(2)/2))/(LN(2)/2)*GH39*GK39*VLOOKUP('Données projet'!$B$17,Paramètres!$A$1:$I$89,3,0)*0.475*44/12</f>
        <v>2.0648524851258498</v>
      </c>
      <c r="GO39" s="23">
        <f t="shared" si="27"/>
        <v>10.7824969192644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7.6</v>
      </c>
      <c r="GU39" s="13">
        <f>IF('Données projet'!$A$270&gt;35,GU38+GT39-HC38,IF(A39&lt;'Données projet'!$A$270,$GR$205^A39,IF(A39='Données projet'!$A$270,'Données projet'!$B$270,GU38+GT39-HC38)))</f>
        <v>121.60000000000005</v>
      </c>
      <c r="GV39" s="18">
        <f>GU39*VLOOKUP('Données projet'!$B$18,Paramètres!$A$1:$I$89,3,0)*VLOOKUP('Données projet'!$B$18,Paramètres!$A$1:$I$89,5,0)</f>
        <v>98.641920000000042</v>
      </c>
      <c r="GW39" s="14">
        <f t="shared" si="51"/>
        <v>26.638196684151392</v>
      </c>
      <c r="GX39" s="22">
        <f t="shared" si="28"/>
        <v>218.19620322489709</v>
      </c>
      <c r="GY39" s="62">
        <f t="shared" si="29"/>
        <v>474.91385023900625</v>
      </c>
      <c r="GZ39" s="62">
        <f ca="1">AVERAGE(OFFSET($GY$3,0,0,'Données projet'!$E$18+1,1))-AVERAGE(OFFSET($H$3,0,0,'Données projet'!$E$18+1,1))</f>
        <v>268.57152522489537</v>
      </c>
      <c r="HA39" s="62">
        <f t="shared" si="52"/>
        <v>311.80303557283207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3.75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13.75</v>
      </c>
      <c r="H40" s="70">
        <f t="shared" si="1"/>
        <v>201.66666666666666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IF('Données projet'!$A$36&gt;35,N39+M40-V39,IF(A40&lt;'Données projet'!$A$36,$K$205^A40,IF(A40='Données projet'!$A$36,'Données projet'!$B$36,N39+M40-V39)))</f>
        <v>113.59999999999998</v>
      </c>
      <c r="O40" s="14">
        <f>N40*VLOOKUP('Données projet'!$B$9,Paramètres!$A$1:$I$89,3,0)*VLOOKUP('Données projet'!$B$9,Paramètres!$A$1:$I$89,5,0)</f>
        <v>102.78527999999999</v>
      </c>
      <c r="P40" s="14">
        <f t="shared" si="33"/>
        <v>27.624487443976534</v>
      </c>
      <c r="Q40" s="22">
        <f t="shared" si="53"/>
        <v>227.1303449649258</v>
      </c>
      <c r="R40" s="62">
        <f t="shared" si="0"/>
        <v>484.48319227626246</v>
      </c>
      <c r="S40" s="62">
        <f ca="1">AVERAGE(OFFSET($R$3,0,0,'Données projet'!$E$9+1,1))-AVERAGE(OFFSET($H$3,0,0,'Données projet'!$E$9+1,1))</f>
        <v>461.02780119093666</v>
      </c>
      <c r="T40" s="62">
        <f t="shared" si="34"/>
        <v>245.70016468438834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113.59999999999998</v>
      </c>
      <c r="AJ40" s="14">
        <f>AI40*VLOOKUP('Données projet'!$B$10,Paramètres!$A$1:$I$89,3,0)*VLOOKUP('Données projet'!$B$10,Paramètres!$A$1:$I$89,5,0)</f>
        <v>95.696639999999988</v>
      </c>
      <c r="AK40" s="14">
        <f t="shared" si="35"/>
        <v>25.934171577325273</v>
      </c>
      <c r="AL40" s="22">
        <f t="shared" si="4"/>
        <v>211.84033016384149</v>
      </c>
      <c r="AM40" s="62">
        <f t="shared" si="5"/>
        <v>469.19317747517812</v>
      </c>
      <c r="AN40" s="62">
        <f ca="1">AVERAGE(OFFSET($AM$3,0,0,'Données projet'!$E$10+1,1))-AVERAGE(OFFSET($H$3,0,0,'Données projet'!$E$10+1,1))</f>
        <v>434.22500776975596</v>
      </c>
      <c r="AO40" s="62">
        <f t="shared" si="36"/>
        <v>232.59777933076705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5.8974358974359005</v>
      </c>
      <c r="BD40" s="13">
        <f>IF('Données projet'!$A$88&gt;35,BD39+BC40-BL39,IF(A40&lt;'Données projet'!$A$88,$BA$205^A40,IF(A40='Données projet'!$A$88,'Données projet'!$B$88,BD39+BC40-BL39)))</f>
        <v>134.87179487179489</v>
      </c>
      <c r="BE40" s="14">
        <f>BD40*VLOOKUP('Données projet'!$B$11,Paramètres!$A$1:$I$89,3,0)*VLOOKUP('Données projet'!$B$11,Paramètres!$A$1:$I$89,5,0)</f>
        <v>128.34400000000002</v>
      </c>
      <c r="BF40" s="14">
        <f t="shared" si="37"/>
        <v>33.613421309084202</v>
      </c>
      <c r="BG40" s="22">
        <f t="shared" si="7"/>
        <v>282.07584211332164</v>
      </c>
      <c r="BH40" s="62">
        <f t="shared" si="8"/>
        <v>539.42868942465827</v>
      </c>
      <c r="BI40" s="62">
        <f ca="1">AVERAGE(OFFSET($BH$3,0,0,'Données projet'!$E$11+1,1))-AVERAGE(OFFSET($H$3,0,0,'Données projet'!$E$11+1,1))</f>
        <v>393.3005580838161</v>
      </c>
      <c r="BJ40" s="62">
        <f t="shared" si="38"/>
        <v>295.86019897822757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11.340000000000003</v>
      </c>
      <c r="BY40" s="13">
        <f>IF('Données projet'!$A$114&gt;35,BY39+BX40-CG39,IF(A40&lt;'Données projet'!$A$114,$BV$205^A40,IF(A40='Données projet'!$A$114,'Données projet'!$B$114,BY39+BX40-CG39)))</f>
        <v>229.0799999999999</v>
      </c>
      <c r="BZ40" s="14">
        <f>BY40*VLOOKUP('Données projet'!$B$12,Paramètres!$A$1:$I$89,3,0)*VLOOKUP('Données projet'!$B$12,Paramètres!$A$1:$I$89,5,0)</f>
        <v>182.25604799999994</v>
      </c>
      <c r="CA40" s="14">
        <f t="shared" si="39"/>
        <v>45.823750842861273</v>
      </c>
      <c r="CB40" s="22">
        <f t="shared" si="10"/>
        <v>397.23898298464991</v>
      </c>
      <c r="CC40" s="62">
        <f t="shared" si="11"/>
        <v>654.59183029598648</v>
      </c>
      <c r="CD40" s="62">
        <f ca="1">AVERAGE(OFFSET($CC$3,0,0,'Données projet'!$E$12+1,1))-AVERAGE(OFFSET($H$3,0,0,'Données projet'!$E$12+1,1))</f>
        <v>388.52230330563884</v>
      </c>
      <c r="CE40" s="62">
        <f t="shared" si="40"/>
        <v>418.94833960687333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11.340000000000003</v>
      </c>
      <c r="CT40" s="13">
        <f>IF('Données projet'!$A$140&gt;35,CT39+CS40-DB39,IF(A40&lt;'Données projet'!$A$140,$CQ$205^A40,IF(A40='Données projet'!$A$140,'Données projet'!$B$140,CT39+CS40-DB39)))</f>
        <v>229.0799999999999</v>
      </c>
      <c r="CU40" s="18">
        <f>CT40*VLOOKUP('Données projet'!$B$13,Paramètres!$A$1:$I$89,3,0)*VLOOKUP('Données projet'!$B$13,Paramètres!$A$1:$I$89,5,0)</f>
        <v>167.96145599999994</v>
      </c>
      <c r="CV40" s="14">
        <f t="shared" si="41"/>
        <v>42.633137473671702</v>
      </c>
      <c r="CW40" s="22">
        <f t="shared" si="13"/>
        <v>366.78558363331143</v>
      </c>
      <c r="CX40" s="62">
        <f t="shared" si="14"/>
        <v>624.13843094464801</v>
      </c>
      <c r="CY40" s="62">
        <f ca="1">AVERAGE(OFFSET($CX$3,0,0,'Données projet'!$E$13+1,1))-AVERAGE(OFFSET($H$3,0,0,'Données projet'!$E$13+1,1))</f>
        <v>362.38131866207266</v>
      </c>
      <c r="CZ40" s="62">
        <f t="shared" si="42"/>
        <v>390.74498763200336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</v>
      </c>
      <c r="DO40" s="13">
        <f>IF('Données projet'!$A$166&gt;35,DO39+DN40-DW39,IF(A40&lt;'Données projet'!$A$166,$DL$205^A40,IF(A40='Données projet'!$A$166,'Données projet'!$B$166,DO39+DN40-DW39)))</f>
        <v>149</v>
      </c>
      <c r="DP40" s="18">
        <f>DO40*VLOOKUP('Données projet'!$B$14,Paramètres!$A$1:$I$89,3,0)*VLOOKUP('Données projet'!$B$14,Paramètres!$A$1:$I$89,5,0)</f>
        <v>130.16640000000001</v>
      </c>
      <c r="DQ40" s="14">
        <f t="shared" si="43"/>
        <v>34.034806623706274</v>
      </c>
      <c r="DR40" s="22">
        <f t="shared" si="16"/>
        <v>285.9837682029551</v>
      </c>
      <c r="DS40" s="62">
        <f t="shared" si="17"/>
        <v>543.33661551429168</v>
      </c>
      <c r="DT40" s="62">
        <f ca="1">AVERAGE(OFFSET($DS$3,0,0,'Données projet'!$E$14+1,1))-AVERAGE(OFFSET($H$3,0,0,'Données projet'!$E$14+1,1))</f>
        <v>334.4692012109935</v>
      </c>
      <c r="DU40" s="62">
        <f t="shared" si="44"/>
        <v>316.360405424036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19.571428571428573</v>
      </c>
      <c r="EJ40" s="13">
        <f>IF('Données projet'!$A$192&gt;35,EJ39+EI40-ER39,IF(A40&lt;'Données projet'!$A$192,$EG$205^A40,IF(A40='Données projet'!$A$192,'Données projet'!$B$192,EJ39+EI40-ER39)))</f>
        <v>321.142857142857</v>
      </c>
      <c r="EK40" s="18">
        <f>EJ40*VLOOKUP('Données projet'!$B$15,Paramètres!$A$1:$I$89,3,0)*VLOOKUP('Données projet'!$B$15,Paramètres!$A$1:$I$89,5,0)</f>
        <v>179.51885714285706</v>
      </c>
      <c r="EL40" s="14">
        <f t="shared" si="45"/>
        <v>45.215124075787188</v>
      </c>
      <c r="EM40" s="22">
        <f t="shared" si="19"/>
        <v>391.41168395580547</v>
      </c>
      <c r="EN40" s="62">
        <f t="shared" si="20"/>
        <v>648.76453126714205</v>
      </c>
      <c r="EO40" s="62">
        <f ca="1">AVERAGE(OFFSET($EN$3,0,0,'Données projet'!$E$15+1,1))-AVERAGE(OFFSET($H$3,0,0,'Données projet'!$E$15+1,1))</f>
        <v>390.09289316045653</v>
      </c>
      <c r="EP40" s="62">
        <f t="shared" si="46"/>
        <v>364.34913542817617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6.0774294487854883</v>
      </c>
      <c r="EX40" s="23">
        <f>EXP(-LN(2)/2)*EX39+(1-EXP(-LN(2)/2))/(LN(2)/2)*ER40*EU40*VLOOKUP('Données projet'!$B$15,Paramètres!$A$1:$I$89,3,0)*0.475*44/12</f>
        <v>0.79394337486032573</v>
      </c>
      <c r="EY40" s="24">
        <f t="shared" si="21"/>
        <v>6.8713728236458138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</v>
      </c>
      <c r="FE40" s="13">
        <f>IF('Données projet'!$A$218&gt;35,FE39+FD40-FM39,IF(A40&lt;'Données projet'!$A$218,$FB$205^A40,IF(A40='Données projet'!$A$218,'Données projet'!$B$218,FE39+FD40-FM39)))</f>
        <v>165</v>
      </c>
      <c r="FF40" s="18">
        <f>FE40*VLOOKUP('Données projet'!$B$16,Paramètres!$A$1:$I$89,3,0)*VLOOKUP('Données projet'!$B$16,Paramètres!$A$1:$I$89,5,0)</f>
        <v>77.22</v>
      </c>
      <c r="FG40" s="14">
        <f t="shared" si="47"/>
        <v>21.456066856215884</v>
      </c>
      <c r="FH40" s="22">
        <f t="shared" si="22"/>
        <v>171.86081644124263</v>
      </c>
      <c r="FI40" s="62">
        <f t="shared" si="23"/>
        <v>429.21366375257924</v>
      </c>
      <c r="FJ40" s="62">
        <f ca="1">AVERAGE(OFFSET($FI$3,0,0,'Données projet'!$E$16+1,1))-AVERAGE(OFFSET($H$3,0,0,'Données projet'!$E$16+1,1))</f>
        <v>344.55118007058775</v>
      </c>
      <c r="FK40" s="62">
        <f t="shared" si="48"/>
        <v>144.16931602355001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11.5</v>
      </c>
      <c r="FZ40" s="13">
        <f>IF('Données projet'!$A$244&gt;35,FZ39+FY40-GH39,IF(A40&lt;'Données projet'!$A$244,$FW$205^A40,IF(A40='Données projet'!$A$244,'Données projet'!$B$244,FZ39+FY40-GH39)))</f>
        <v>197.5</v>
      </c>
      <c r="GA40" s="18">
        <f>FZ40*VLOOKUP('Données projet'!$B$17,Paramètres!$A$1:$I$89,3,0)*VLOOKUP('Données projet'!$B$17,Paramètres!$A$1:$I$89,5,0)</f>
        <v>123.24</v>
      </c>
      <c r="GB40" s="14">
        <f t="shared" si="49"/>
        <v>32.429500380369056</v>
      </c>
      <c r="GC40" s="22">
        <f t="shared" si="25"/>
        <v>271.12437982914275</v>
      </c>
      <c r="GD40" s="62">
        <f t="shared" si="26"/>
        <v>528.47722714047939</v>
      </c>
      <c r="GE40" s="62">
        <f ca="1">AVERAGE(OFFSET($GD$3,0,0,'Données projet'!$E$17+1,1))-AVERAGE(OFFSET($H$3,0,0,'Données projet'!$E$17+1,1))</f>
        <v>252.60122125520482</v>
      </c>
      <c r="GF40" s="62">
        <f t="shared" si="50"/>
        <v>357.56833754121317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8.4792599886460351</v>
      </c>
      <c r="GN40" s="23">
        <f>EXP(-LN(2)/2)*GN39+(1-EXP(-LN(2)/2))/(LN(2)/2)*GH40*GK40*VLOOKUP('Données projet'!$B$17,Paramètres!$A$1:$I$89,3,0)*0.475*44/12</f>
        <v>1.4600711943823832</v>
      </c>
      <c r="GO40" s="23">
        <f t="shared" si="27"/>
        <v>9.9393311830284183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7.6</v>
      </c>
      <c r="GU40" s="13">
        <f>IF('Données projet'!$A$270&gt;35,GU39+GT40-HC39,IF(A40&lt;'Données projet'!$A$270,$GR$205^A40,IF(A40='Données projet'!$A$270,'Données projet'!$B$270,GU39+GT40-HC39)))</f>
        <v>129.20000000000005</v>
      </c>
      <c r="GV40" s="18">
        <f>GU40*VLOOKUP('Données projet'!$B$18,Paramètres!$A$1:$I$89,3,0)*VLOOKUP('Données projet'!$B$18,Paramètres!$A$1:$I$89,5,0)</f>
        <v>104.80704000000004</v>
      </c>
      <c r="GW40" s="14">
        <f t="shared" si="51"/>
        <v>28.104060486002457</v>
      </c>
      <c r="GX40" s="22">
        <f t="shared" si="28"/>
        <v>231.48683334645435</v>
      </c>
      <c r="GY40" s="62">
        <f t="shared" si="29"/>
        <v>488.83968065779095</v>
      </c>
      <c r="GZ40" s="62">
        <f ca="1">AVERAGE(OFFSET($GY$3,0,0,'Données projet'!$E$18+1,1))-AVERAGE(OFFSET($H$3,0,0,'Données projet'!$E$18+1,1))</f>
        <v>268.57152522489537</v>
      </c>
      <c r="HA40" s="62">
        <f t="shared" si="52"/>
        <v>311.80303557283207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3.75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13.75</v>
      </c>
      <c r="H41" s="70">
        <f t="shared" si="1"/>
        <v>201.66666666666666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IF('Données projet'!$A$36&gt;35,N40+M41-V40,IF(A41&lt;'Données projet'!$A$36,$K$205^A41,IF(A41='Données projet'!$A$36,'Données projet'!$B$36,N40+M41-V40)))</f>
        <v>121.39999999999998</v>
      </c>
      <c r="O41" s="14">
        <f>N41*VLOOKUP('Données projet'!$B$9,Paramètres!$A$1:$I$89,3,0)*VLOOKUP('Données projet'!$B$9,Paramètres!$A$1:$I$89,5,0)</f>
        <v>109.84271999999997</v>
      </c>
      <c r="P41" s="14">
        <f t="shared" si="33"/>
        <v>29.293925092514947</v>
      </c>
      <c r="Q41" s="22">
        <f t="shared" si="53"/>
        <v>242.32965686946343</v>
      </c>
      <c r="R41" s="62">
        <f t="shared" si="0"/>
        <v>500.30668517296579</v>
      </c>
      <c r="S41" s="62">
        <f ca="1">AVERAGE(OFFSET($R$3,0,0,'Données projet'!$E$9+1,1))-AVERAGE(OFFSET($H$3,0,0,'Données projet'!$E$9+1,1))</f>
        <v>461.02780119093666</v>
      </c>
      <c r="T41" s="62">
        <f t="shared" si="34"/>
        <v>245.70016468438834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121.39999999999998</v>
      </c>
      <c r="AJ41" s="14">
        <f>AI41*VLOOKUP('Données projet'!$B$10,Paramètres!$A$1:$I$89,3,0)*VLOOKUP('Données projet'!$B$10,Paramètres!$A$1:$I$89,5,0)</f>
        <v>102.26736</v>
      </c>
      <c r="AK41" s="14">
        <f t="shared" si="35"/>
        <v>27.501457938842282</v>
      </c>
      <c r="AL41" s="22">
        <f t="shared" si="4"/>
        <v>226.01402457681698</v>
      </c>
      <c r="AM41" s="62">
        <f t="shared" si="5"/>
        <v>483.99105288031933</v>
      </c>
      <c r="AN41" s="62">
        <f ca="1">AVERAGE(OFFSET($AM$3,0,0,'Données projet'!$E$10+1,1))-AVERAGE(OFFSET($H$3,0,0,'Données projet'!$E$10+1,1))</f>
        <v>434.22500776975596</v>
      </c>
      <c r="AO41" s="62">
        <f t="shared" si="36"/>
        <v>232.59777933076705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5.8974358974359005</v>
      </c>
      <c r="BD41" s="13">
        <f>IF('Données projet'!$A$88&gt;35,BD40+BC41-BL40,IF(A41&lt;'Données projet'!$A$88,$BA$205^A41,IF(A41='Données projet'!$A$88,'Données projet'!$B$88,BD40+BC41-BL40)))</f>
        <v>140.7692307692308</v>
      </c>
      <c r="BE41" s="14">
        <f>BD41*VLOOKUP('Données projet'!$B$11,Paramètres!$A$1:$I$89,3,0)*VLOOKUP('Données projet'!$B$11,Paramètres!$A$1:$I$89,5,0)</f>
        <v>133.95600000000002</v>
      </c>
      <c r="BF41" s="14">
        <f t="shared" si="37"/>
        <v>34.908873862106219</v>
      </c>
      <c r="BG41" s="22">
        <f t="shared" si="7"/>
        <v>294.10632197650165</v>
      </c>
      <c r="BH41" s="62">
        <f t="shared" si="8"/>
        <v>552.08335028000397</v>
      </c>
      <c r="BI41" s="62">
        <f ca="1">AVERAGE(OFFSET($BH$3,0,0,'Données projet'!$E$11+1,1))-AVERAGE(OFFSET($H$3,0,0,'Données projet'!$E$11+1,1))</f>
        <v>393.3005580838161</v>
      </c>
      <c r="BJ41" s="62">
        <f t="shared" si="38"/>
        <v>295.86019897822757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11.340000000000003</v>
      </c>
      <c r="BY41" s="13">
        <f>IF('Données projet'!$A$114&gt;35,BY40+BX41-CG40,IF(A41&lt;'Données projet'!$A$114,$BV$205^A41,IF(A41='Données projet'!$A$114,'Données projet'!$B$114,BY40+BX41-CG40)))</f>
        <v>240.4199999999999</v>
      </c>
      <c r="BZ41" s="14">
        <f>BY41*VLOOKUP('Données projet'!$B$12,Paramètres!$A$1:$I$89,3,0)*VLOOKUP('Données projet'!$B$12,Paramètres!$A$1:$I$89,5,0)</f>
        <v>191.27815199999995</v>
      </c>
      <c r="CA41" s="14">
        <f t="shared" si="39"/>
        <v>47.822423751245466</v>
      </c>
      <c r="CB41" s="22">
        <f t="shared" si="10"/>
        <v>416.43350276675238</v>
      </c>
      <c r="CC41" s="62">
        <f t="shared" si="11"/>
        <v>674.41053107025482</v>
      </c>
      <c r="CD41" s="62">
        <f ca="1">AVERAGE(OFFSET($CC$3,0,0,'Données projet'!$E$12+1,1))-AVERAGE(OFFSET($H$3,0,0,'Données projet'!$E$12+1,1))</f>
        <v>388.52230330563884</v>
      </c>
      <c r="CE41" s="62">
        <f t="shared" si="40"/>
        <v>418.94833960687333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11.340000000000003</v>
      </c>
      <c r="CT41" s="13">
        <f>IF('Données projet'!$A$140&gt;35,CT40+CS41-DB40,IF(A41&lt;'Données projet'!$A$140,$CQ$205^A41,IF(A41='Données projet'!$A$140,'Données projet'!$B$140,CT40+CS41-DB40)))</f>
        <v>240.4199999999999</v>
      </c>
      <c r="CU41" s="18">
        <f>CT41*VLOOKUP('Données projet'!$B$13,Paramètres!$A$1:$I$89,3,0)*VLOOKUP('Données projet'!$B$13,Paramètres!$A$1:$I$89,5,0)</f>
        <v>176.27594399999992</v>
      </c>
      <c r="CV41" s="14">
        <f t="shared" si="41"/>
        <v>44.492646904932492</v>
      </c>
      <c r="CW41" s="22">
        <f t="shared" si="13"/>
        <v>384.50529582609062</v>
      </c>
      <c r="CX41" s="62">
        <f t="shared" si="14"/>
        <v>642.48232412959305</v>
      </c>
      <c r="CY41" s="62">
        <f ca="1">AVERAGE(OFFSET($CX$3,0,0,'Données projet'!$E$13+1,1))-AVERAGE(OFFSET($H$3,0,0,'Données projet'!$E$13+1,1))</f>
        <v>362.38131866207266</v>
      </c>
      <c r="CZ41" s="62">
        <f t="shared" si="42"/>
        <v>390.74498763200336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</v>
      </c>
      <c r="DO41" s="13">
        <f>IF('Données projet'!$A$166&gt;35,DO40+DN41-DW40,IF(A41&lt;'Données projet'!$A$166,$DL$205^A41,IF(A41='Données projet'!$A$166,'Données projet'!$B$166,DO40+DN41-DW40)))</f>
        <v>156</v>
      </c>
      <c r="DP41" s="18">
        <f>DO41*VLOOKUP('Données projet'!$B$14,Paramètres!$A$1:$I$89,3,0)*VLOOKUP('Données projet'!$B$14,Paramètres!$A$1:$I$89,5,0)</f>
        <v>136.28160000000003</v>
      </c>
      <c r="DQ41" s="14">
        <f t="shared" si="43"/>
        <v>35.443842312892279</v>
      </c>
      <c r="DR41" s="22">
        <f t="shared" si="16"/>
        <v>299.08847869495412</v>
      </c>
      <c r="DS41" s="62">
        <f t="shared" si="17"/>
        <v>557.0655069984565</v>
      </c>
      <c r="DT41" s="62">
        <f ca="1">AVERAGE(OFFSET($DS$3,0,0,'Données projet'!$E$14+1,1))-AVERAGE(OFFSET($H$3,0,0,'Données projet'!$E$14+1,1))</f>
        <v>334.4692012109935</v>
      </c>
      <c r="DU41" s="62">
        <f t="shared" si="44"/>
        <v>316.360405424036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19.571428571428573</v>
      </c>
      <c r="EJ41" s="13">
        <f>IF('Données projet'!$A$192&gt;35,EJ40+EI41-ER40,IF(A41&lt;'Données projet'!$A$192,$EG$205^A41,IF(A41='Données projet'!$A$192,'Données projet'!$B$192,EJ40+EI41-ER40)))</f>
        <v>340.71428571428555</v>
      </c>
      <c r="EK41" s="18">
        <f>EJ41*VLOOKUP('Données projet'!$B$15,Paramètres!$A$1:$I$89,3,0)*VLOOKUP('Données projet'!$B$15,Paramètres!$A$1:$I$89,5,0)</f>
        <v>190.45928571428561</v>
      </c>
      <c r="EL41" s="14">
        <f t="shared" si="45"/>
        <v>47.641480128932045</v>
      </c>
      <c r="EM41" s="22">
        <f t="shared" si="19"/>
        <v>414.6921671769374</v>
      </c>
      <c r="EN41" s="62">
        <f t="shared" si="20"/>
        <v>672.66919548043984</v>
      </c>
      <c r="EO41" s="62">
        <f ca="1">AVERAGE(OFFSET($EN$3,0,0,'Données projet'!$E$15+1,1))-AVERAGE(OFFSET($H$3,0,0,'Données projet'!$E$15+1,1))</f>
        <v>390.09289316045653</v>
      </c>
      <c r="EP41" s="62">
        <f t="shared" si="46"/>
        <v>364.34913542817617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5.9112418209103241</v>
      </c>
      <c r="EX41" s="23">
        <f>EXP(-LN(2)/2)*EX40+(1-EXP(-LN(2)/2))/(LN(2)/2)*ER41*EU41*VLOOKUP('Données projet'!$B$15,Paramètres!$A$1:$I$89,3,0)*0.475*44/12</f>
        <v>0.56140274424186942</v>
      </c>
      <c r="EY41" s="24">
        <f t="shared" si="21"/>
        <v>6.4726445651521933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</v>
      </c>
      <c r="FE41" s="13">
        <f>IF('Données projet'!$A$218&gt;35,FE40+FD41-FM40,IF(A41&lt;'Données projet'!$A$218,$FB$205^A41,IF(A41='Données projet'!$A$218,'Données projet'!$B$218,FE40+FD41-FM40)))</f>
        <v>176</v>
      </c>
      <c r="FF41" s="18">
        <f>FE41*VLOOKUP('Données projet'!$B$16,Paramètres!$A$1:$I$89,3,0)*VLOOKUP('Données projet'!$B$16,Paramètres!$A$1:$I$89,5,0)</f>
        <v>82.367999999999995</v>
      </c>
      <c r="FG41" s="14">
        <f t="shared" si="47"/>
        <v>22.715185822374924</v>
      </c>
      <c r="FH41" s="22">
        <f t="shared" si="22"/>
        <v>183.01988197396963</v>
      </c>
      <c r="FI41" s="62">
        <f t="shared" si="23"/>
        <v>440.99691027747201</v>
      </c>
      <c r="FJ41" s="62">
        <f ca="1">AVERAGE(OFFSET($FI$3,0,0,'Données projet'!$E$16+1,1))-AVERAGE(OFFSET($H$3,0,0,'Données projet'!$E$16+1,1))</f>
        <v>344.55118007058775</v>
      </c>
      <c r="FK41" s="62">
        <f t="shared" si="48"/>
        <v>144.16931602355001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11.5</v>
      </c>
      <c r="FZ41" s="13">
        <f>IF('Données projet'!$A$244&gt;35,FZ40+FY41-GH40,IF(A41&lt;'Données projet'!$A$244,$FW$205^A41,IF(A41='Données projet'!$A$244,'Données projet'!$B$244,FZ40+FY41-GH40)))</f>
        <v>209</v>
      </c>
      <c r="GA41" s="18">
        <f>FZ41*VLOOKUP('Données projet'!$B$17,Paramètres!$A$1:$I$89,3,0)*VLOOKUP('Données projet'!$B$17,Paramètres!$A$1:$I$89,5,0)</f>
        <v>130.416</v>
      </c>
      <c r="GB41" s="14">
        <f t="shared" si="49"/>
        <v>34.092466837179941</v>
      </c>
      <c r="GC41" s="22">
        <f t="shared" si="25"/>
        <v>286.51891307475506</v>
      </c>
      <c r="GD41" s="62">
        <f t="shared" si="26"/>
        <v>544.49594137825738</v>
      </c>
      <c r="GE41" s="62">
        <f ca="1">AVERAGE(OFFSET($GD$3,0,0,'Données projet'!$E$17+1,1))-AVERAGE(OFFSET($H$3,0,0,'Données projet'!$E$17+1,1))</f>
        <v>252.60122125520482</v>
      </c>
      <c r="GF41" s="62">
        <f t="shared" si="50"/>
        <v>357.56833754121317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8.2473941783516054</v>
      </c>
      <c r="GN41" s="23">
        <f>EXP(-LN(2)/2)*GN40+(1-EXP(-LN(2)/2))/(LN(2)/2)*GH41*GK41*VLOOKUP('Données projet'!$B$17,Paramètres!$A$1:$I$89,3,0)*0.475*44/12</f>
        <v>1.0324262425629249</v>
      </c>
      <c r="GO41" s="23">
        <f t="shared" si="27"/>
        <v>9.2798204209145307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7.6</v>
      </c>
      <c r="GU41" s="13">
        <f>IF('Données projet'!$A$270&gt;35,GU40+GT41-HC40,IF(A41&lt;'Données projet'!$A$270,$GR$205^A41,IF(A41='Données projet'!$A$270,'Données projet'!$B$270,GU40+GT41-HC40)))</f>
        <v>136.80000000000004</v>
      </c>
      <c r="GV41" s="18">
        <f>GU41*VLOOKUP('Données projet'!$B$18,Paramètres!$A$1:$I$89,3,0)*VLOOKUP('Données projet'!$B$18,Paramètres!$A$1:$I$89,5,0)</f>
        <v>110.97216000000004</v>
      </c>
      <c r="GW41" s="14">
        <f t="shared" si="51"/>
        <v>29.559915623187329</v>
      </c>
      <c r="GX41" s="22">
        <f t="shared" si="28"/>
        <v>244.76003171038471</v>
      </c>
      <c r="GY41" s="62">
        <f t="shared" si="29"/>
        <v>502.73706001388712</v>
      </c>
      <c r="GZ41" s="62">
        <f ca="1">AVERAGE(OFFSET($GY$3,0,0,'Données projet'!$E$18+1,1))-AVERAGE(OFFSET($H$3,0,0,'Données projet'!$E$18+1,1))</f>
        <v>268.57152522489537</v>
      </c>
      <c r="HA41" s="62">
        <f t="shared" si="52"/>
        <v>311.80303557283207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3.75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13.75</v>
      </c>
      <c r="H42" s="70">
        <f t="shared" si="1"/>
        <v>201.66666666666666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IF('Données projet'!$A$36&gt;35,N41+M42-V41,IF(A42&lt;'Données projet'!$A$36,$K$205^A42,IF(A42='Données projet'!$A$36,'Données projet'!$B$36,N41+M42-V41)))</f>
        <v>129.19999999999999</v>
      </c>
      <c r="O42" s="14">
        <f>N42*VLOOKUP('Données projet'!$B$9,Paramètres!$A$1:$I$89,3,0)*VLOOKUP('Données projet'!$B$9,Paramètres!$A$1:$I$89,5,0)</f>
        <v>116.90016</v>
      </c>
      <c r="P42" s="14">
        <f t="shared" si="33"/>
        <v>30.950914970772502</v>
      </c>
      <c r="Q42" s="22">
        <f t="shared" si="53"/>
        <v>257.5072889074288</v>
      </c>
      <c r="R42" s="62">
        <f t="shared" si="0"/>
        <v>516.09767005834249</v>
      </c>
      <c r="S42" s="62">
        <f ca="1">AVERAGE(OFFSET($R$3,0,0,'Données projet'!$E$9+1,1))-AVERAGE(OFFSET($H$3,0,0,'Données projet'!$E$9+1,1))</f>
        <v>461.02780119093666</v>
      </c>
      <c r="T42" s="62">
        <f t="shared" si="34"/>
        <v>245.70016468438834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129.19999999999999</v>
      </c>
      <c r="AJ42" s="14">
        <f>AI42*VLOOKUP('Données projet'!$B$10,Paramètres!$A$1:$I$89,3,0)*VLOOKUP('Données projet'!$B$10,Paramètres!$A$1:$I$89,5,0)</f>
        <v>108.83808000000001</v>
      </c>
      <c r="AK42" s="14">
        <f t="shared" si="35"/>
        <v>29.057058197191793</v>
      </c>
      <c r="AL42" s="22">
        <f t="shared" si="4"/>
        <v>240.16736569344232</v>
      </c>
      <c r="AM42" s="62">
        <f t="shared" si="5"/>
        <v>498.75774684435601</v>
      </c>
      <c r="AN42" s="62">
        <f ca="1">AVERAGE(OFFSET($AM$3,0,0,'Données projet'!$E$10+1,1))-AVERAGE(OFFSET($H$3,0,0,'Données projet'!$E$10+1,1))</f>
        <v>434.22500776975596</v>
      </c>
      <c r="AO42" s="62">
        <f t="shared" si="36"/>
        <v>232.59777933076705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5.8974358974359005</v>
      </c>
      <c r="BD42" s="13">
        <f>IF('Données projet'!$A$88&gt;35,BD41+BC42-BL41,IF(A42&lt;'Données projet'!$A$88,$BA$205^A42,IF(A42='Données projet'!$A$88,'Données projet'!$B$88,BD41+BC42-BL41)))</f>
        <v>146.66666666666671</v>
      </c>
      <c r="BE42" s="14">
        <f>BD42*VLOOKUP('Données projet'!$B$11,Paramètres!$A$1:$I$89,3,0)*VLOOKUP('Données projet'!$B$11,Paramètres!$A$1:$I$89,5,0)</f>
        <v>139.56800000000004</v>
      </c>
      <c r="BF42" s="14">
        <f t="shared" si="37"/>
        <v>36.198022567902328</v>
      </c>
      <c r="BG42" s="22">
        <f t="shared" si="7"/>
        <v>306.12582263909667</v>
      </c>
      <c r="BH42" s="62">
        <f t="shared" si="8"/>
        <v>564.71620379001035</v>
      </c>
      <c r="BI42" s="62">
        <f ca="1">AVERAGE(OFFSET($BH$3,0,0,'Données projet'!$E$11+1,1))-AVERAGE(OFFSET($H$3,0,0,'Données projet'!$E$11+1,1))</f>
        <v>393.3005580838161</v>
      </c>
      <c r="BJ42" s="62">
        <f t="shared" si="38"/>
        <v>295.86019897822757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11.340000000000003</v>
      </c>
      <c r="BY42" s="13">
        <f>IF('Données projet'!$A$114&gt;35,BY41+BX42-CG41,IF(A42&lt;'Données projet'!$A$114,$BV$205^A42,IF(A42='Données projet'!$A$114,'Données projet'!$B$114,BY41+BX42-CG41)))</f>
        <v>251.75999999999991</v>
      </c>
      <c r="BZ42" s="14">
        <f>BY42*VLOOKUP('Données projet'!$B$12,Paramètres!$A$1:$I$89,3,0)*VLOOKUP('Données projet'!$B$12,Paramètres!$A$1:$I$89,5,0)</f>
        <v>200.30025599999993</v>
      </c>
      <c r="CA42" s="14">
        <f t="shared" si="39"/>
        <v>49.810149143959919</v>
      </c>
      <c r="CB42" s="22">
        <f t="shared" si="10"/>
        <v>435.60895562573</v>
      </c>
      <c r="CC42" s="62">
        <f t="shared" si="11"/>
        <v>694.19933677664369</v>
      </c>
      <c r="CD42" s="62">
        <f ca="1">AVERAGE(OFFSET($CC$3,0,0,'Données projet'!$E$12+1,1))-AVERAGE(OFFSET($H$3,0,0,'Données projet'!$E$12+1,1))</f>
        <v>388.52230330563884</v>
      </c>
      <c r="CE42" s="62">
        <f t="shared" si="40"/>
        <v>418.94833960687333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11.340000000000003</v>
      </c>
      <c r="CT42" s="13">
        <f>IF('Données projet'!$A$140&gt;35,CT41+CS42-DB41,IF(A42&lt;'Données projet'!$A$140,$CQ$205^A42,IF(A42='Données projet'!$A$140,'Données projet'!$B$140,CT41+CS42-DB41)))</f>
        <v>251.75999999999991</v>
      </c>
      <c r="CU42" s="18">
        <f>CT42*VLOOKUP('Données projet'!$B$13,Paramètres!$A$1:$I$89,3,0)*VLOOKUP('Données projet'!$B$13,Paramètres!$A$1:$I$89,5,0)</f>
        <v>184.59043199999994</v>
      </c>
      <c r="CV42" s="14">
        <f t="shared" si="41"/>
        <v>46.341971073486597</v>
      </c>
      <c r="CW42" s="22">
        <f t="shared" si="13"/>
        <v>402.20726868632238</v>
      </c>
      <c r="CX42" s="62">
        <f t="shared" si="14"/>
        <v>660.79764983723612</v>
      </c>
      <c r="CY42" s="62">
        <f ca="1">AVERAGE(OFFSET($CX$3,0,0,'Données projet'!$E$13+1,1))-AVERAGE(OFFSET($H$3,0,0,'Données projet'!$E$13+1,1))</f>
        <v>362.38131866207266</v>
      </c>
      <c r="CZ42" s="62">
        <f t="shared" si="42"/>
        <v>390.74498763200336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</v>
      </c>
      <c r="DO42" s="13">
        <f>IF('Données projet'!$A$166&gt;35,DO41+DN42-DW41,IF(A42&lt;'Données projet'!$A$166,$DL$205^A42,IF(A42='Données projet'!$A$166,'Données projet'!$B$166,DO41+DN42-DW41)))</f>
        <v>163</v>
      </c>
      <c r="DP42" s="18">
        <f>DO42*VLOOKUP('Données projet'!$B$14,Paramètres!$A$1:$I$89,3,0)*VLOOKUP('Données projet'!$B$14,Paramètres!$A$1:$I$89,5,0)</f>
        <v>142.39680000000004</v>
      </c>
      <c r="DQ42" s="14">
        <f t="shared" si="43"/>
        <v>36.845535084476985</v>
      </c>
      <c r="DR42" s="22">
        <f t="shared" si="16"/>
        <v>312.18040027213078</v>
      </c>
      <c r="DS42" s="62">
        <f t="shared" si="17"/>
        <v>570.77078142304447</v>
      </c>
      <c r="DT42" s="62">
        <f ca="1">AVERAGE(OFFSET($DS$3,0,0,'Données projet'!$E$14+1,1))-AVERAGE(OFFSET($H$3,0,0,'Données projet'!$E$14+1,1))</f>
        <v>334.4692012109935</v>
      </c>
      <c r="DU42" s="62">
        <f t="shared" si="44"/>
        <v>316.360405424036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19.571428571428573</v>
      </c>
      <c r="EJ42" s="13">
        <f>IF('Données projet'!$A$192&gt;35,EJ41+EI42-ER41,IF(A42&lt;'Données projet'!$A$192,$EG$205^A42,IF(A42='Données projet'!$A$192,'Données projet'!$B$192,EJ41+EI42-ER41)))</f>
        <v>360.28571428571411</v>
      </c>
      <c r="EK42" s="18">
        <f>EJ42*VLOOKUP('Données projet'!$B$15,Paramètres!$A$1:$I$89,3,0)*VLOOKUP('Données projet'!$B$15,Paramètres!$A$1:$I$89,5,0)</f>
        <v>201.39971428571417</v>
      </c>
      <c r="EL42" s="14">
        <f t="shared" si="45"/>
        <v>50.051657588658017</v>
      </c>
      <c r="EM42" s="22">
        <f t="shared" si="19"/>
        <v>437.94447268119819</v>
      </c>
      <c r="EN42" s="62">
        <f t="shared" si="20"/>
        <v>696.53485383211182</v>
      </c>
      <c r="EO42" s="62">
        <f ca="1">AVERAGE(OFFSET($EN$3,0,0,'Données projet'!$E$15+1,1))-AVERAGE(OFFSET($H$3,0,0,'Données projet'!$E$15+1,1))</f>
        <v>390.09289316045653</v>
      </c>
      <c r="EP42" s="62">
        <f t="shared" si="46"/>
        <v>364.34913542817617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5.7495986024588346</v>
      </c>
      <c r="EX42" s="23">
        <f>EXP(-LN(2)/2)*EX41+(1-EXP(-LN(2)/2))/(LN(2)/2)*ER42*EU42*VLOOKUP('Données projet'!$B$15,Paramètres!$A$1:$I$89,3,0)*0.475*44/12</f>
        <v>0.39697168743016287</v>
      </c>
      <c r="EY42" s="24">
        <f t="shared" si="21"/>
        <v>6.1465702898889978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</v>
      </c>
      <c r="FE42" s="13">
        <f>IF('Données projet'!$A$218&gt;35,FE41+FD42-FM41,IF(A42&lt;'Données projet'!$A$218,$FB$205^A42,IF(A42='Données projet'!$A$218,'Données projet'!$B$218,FE41+FD42-FM41)))</f>
        <v>187</v>
      </c>
      <c r="FF42" s="18">
        <f>FE42*VLOOKUP('Données projet'!$B$16,Paramètres!$A$1:$I$89,3,0)*VLOOKUP('Données projet'!$B$16,Paramètres!$A$1:$I$89,5,0)</f>
        <v>87.515999999999991</v>
      </c>
      <c r="FG42" s="14">
        <f t="shared" si="47"/>
        <v>23.965171662037644</v>
      </c>
      <c r="FH42" s="22">
        <f t="shared" si="22"/>
        <v>194.16304064471555</v>
      </c>
      <c r="FI42" s="62">
        <f t="shared" si="23"/>
        <v>452.75342179562927</v>
      </c>
      <c r="FJ42" s="62">
        <f ca="1">AVERAGE(OFFSET($FI$3,0,0,'Données projet'!$E$16+1,1))-AVERAGE(OFFSET($H$3,0,0,'Données projet'!$E$16+1,1))</f>
        <v>344.55118007058775</v>
      </c>
      <c r="FK42" s="62">
        <f t="shared" si="48"/>
        <v>144.16931602355001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11.5</v>
      </c>
      <c r="FZ42" s="13">
        <f>IF('Données projet'!$A$244&gt;35,FZ41+FY42-GH41,IF(A42&lt;'Données projet'!$A$244,$FW$205^A42,IF(A42='Données projet'!$A$244,'Données projet'!$B$244,FZ41+FY42-GH41)))</f>
        <v>220.5</v>
      </c>
      <c r="GA42" s="18">
        <f>FZ42*VLOOKUP('Données projet'!$B$17,Paramètres!$A$1:$I$89,3,0)*VLOOKUP('Données projet'!$B$17,Paramètres!$A$1:$I$89,5,0)</f>
        <v>137.59199999999998</v>
      </c>
      <c r="GB42" s="14">
        <f t="shared" si="49"/>
        <v>35.744810729505772</v>
      </c>
      <c r="GC42" s="22">
        <f t="shared" si="25"/>
        <v>301.89494535388923</v>
      </c>
      <c r="GD42" s="62">
        <f t="shared" si="26"/>
        <v>560.48532650480297</v>
      </c>
      <c r="GE42" s="62">
        <f ca="1">AVERAGE(OFFSET($GD$3,0,0,'Données projet'!$E$17+1,1))-AVERAGE(OFFSET($H$3,0,0,'Données projet'!$E$17+1,1))</f>
        <v>252.60122125520482</v>
      </c>
      <c r="GF42" s="62">
        <f t="shared" si="50"/>
        <v>357.56833754121317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8.0218687508329705</v>
      </c>
      <c r="GN42" s="23">
        <f>EXP(-LN(2)/2)*GN41+(1-EXP(-LN(2)/2))/(LN(2)/2)*GH42*GK42*VLOOKUP('Données projet'!$B$17,Paramètres!$A$1:$I$89,3,0)*0.475*44/12</f>
        <v>0.7300355971911916</v>
      </c>
      <c r="GO42" s="23">
        <f t="shared" si="27"/>
        <v>8.7519043480241621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7.6</v>
      </c>
      <c r="GU42" s="13">
        <f>IF('Données projet'!$A$270&gt;35,GU41+GT42-HC41,IF(A42&lt;'Données projet'!$A$270,$GR$205^A42,IF(A42='Données projet'!$A$270,'Données projet'!$B$270,GU41+GT42-HC41)))</f>
        <v>144.40000000000003</v>
      </c>
      <c r="GV42" s="18">
        <f>GU42*VLOOKUP('Données projet'!$B$18,Paramètres!$A$1:$I$89,3,0)*VLOOKUP('Données projet'!$B$18,Paramètres!$A$1:$I$89,5,0)</f>
        <v>117.13728000000003</v>
      </c>
      <c r="GW42" s="14">
        <f t="shared" si="51"/>
        <v>31.006381507018595</v>
      </c>
      <c r="GX42" s="22">
        <f t="shared" si="28"/>
        <v>258.01687712472409</v>
      </c>
      <c r="GY42" s="62">
        <f t="shared" si="29"/>
        <v>516.60725827563783</v>
      </c>
      <c r="GZ42" s="62">
        <f ca="1">AVERAGE(OFFSET($GY$3,0,0,'Données projet'!$E$18+1,1))-AVERAGE(OFFSET($H$3,0,0,'Données projet'!$E$18+1,1))</f>
        <v>268.57152522489537</v>
      </c>
      <c r="HA42" s="62">
        <f t="shared" si="52"/>
        <v>311.80303557283207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3.75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13.75</v>
      </c>
      <c r="H43" s="70">
        <f t="shared" si="1"/>
        <v>201.66666666666666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531.85779267430985</v>
      </c>
      <c r="S43" s="62">
        <f ca="1">AVERAGE(OFFSET($R$3,0,0,'Données projet'!$E$9+1,1))-AVERAGE(OFFSET($H$3,0,0,'Données projet'!$E$9+1,1))</f>
        <v>461.02780119093666</v>
      </c>
      <c r="T43" s="62">
        <f t="shared" si="34"/>
        <v>245.70016468438834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115.40880000000001</v>
      </c>
      <c r="AK43" s="14">
        <f t="shared" si="35"/>
        <v>30.60175820334798</v>
      </c>
      <c r="AL43" s="22">
        <f t="shared" si="4"/>
        <v>254.30172220416441</v>
      </c>
      <c r="AM43" s="62">
        <f t="shared" si="5"/>
        <v>513.49481590183836</v>
      </c>
      <c r="AN43" s="62">
        <f ca="1">AVERAGE(OFFSET($AM$3,0,0,'Données projet'!$E$10+1,1))-AVERAGE(OFFSET($H$3,0,0,'Données projet'!$E$10+1,1))</f>
        <v>434.22500776975596</v>
      </c>
      <c r="AO43" s="62">
        <f t="shared" si="36"/>
        <v>232.59777933076705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152.56410256410257</v>
      </c>
      <c r="BB43" s="13">
        <f>VLOOKUP(A43,'Données projet'!$A$87:$I$107,9,0)</f>
        <v>5.8974358974359005</v>
      </c>
      <c r="BC43" s="13">
        <f t="array" ref="BC43">INDEX(BB:BB,MIN(IF(ISNUMBER(BB43:BB239),ROW(BB43:BB239),"")))</f>
        <v>5.8974358974359005</v>
      </c>
      <c r="BD43" s="13">
        <f>IF('Données projet'!$A$88&gt;35,BD42+BC43-BL42,IF(A43&lt;'Données projet'!$A$88,$BA$205^A43,IF(A43='Données projet'!$A$88,'Données projet'!$B$88,BD42+BC43-BL42)))</f>
        <v>152.56410256410263</v>
      </c>
      <c r="BE43" s="14">
        <f>BD43*VLOOKUP('Données projet'!$B$11,Paramètres!$A$1:$I$89,3,0)*VLOOKUP('Données projet'!$B$11,Paramètres!$A$1:$I$89,5,0)</f>
        <v>145.18000000000006</v>
      </c>
      <c r="BF43" s="14">
        <f t="shared" si="37"/>
        <v>37.481149901429063</v>
      </c>
      <c r="BG43" s="22">
        <f t="shared" si="7"/>
        <v>318.13483607832239</v>
      </c>
      <c r="BH43" s="62">
        <f t="shared" si="8"/>
        <v>577.32792977599638</v>
      </c>
      <c r="BI43" s="62">
        <f ca="1">AVERAGE(OFFSET($BH$3,0,0,'Données projet'!$E$11+1,1))-AVERAGE(OFFSET($H$3,0,0,'Données projet'!$E$11+1,1))</f>
        <v>393.3005580838161</v>
      </c>
      <c r="BJ43" s="62">
        <f t="shared" si="38"/>
        <v>295.86019897822757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28.846153846153847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263.10000000000002</v>
      </c>
      <c r="BW43" s="13">
        <f>VLOOKUP(A43,'Données projet'!$A$113:$I$133,9,0)</f>
        <v>11.340000000000003</v>
      </c>
      <c r="BX43" s="13">
        <f t="array" ref="BX43">INDEX(BW:BW,MIN(IF(ISNUMBER(BW43:BW239),ROW(BW43:BW239),"")))</f>
        <v>11.340000000000003</v>
      </c>
      <c r="BY43" s="13">
        <f>IF('Données projet'!$A$114&gt;35,BY42+BX43-CG42,IF(A43&lt;'Données projet'!$A$114,$BV$205^A43,IF(A43='Données projet'!$A$114,'Données projet'!$B$114,BY42+BX43-CG42)))</f>
        <v>263.09999999999991</v>
      </c>
      <c r="BZ43" s="14">
        <f>BY43*VLOOKUP('Données projet'!$B$12,Paramètres!$A$1:$I$89,3,0)*VLOOKUP('Données projet'!$B$12,Paramètres!$A$1:$I$89,5,0)</f>
        <v>209.32235999999995</v>
      </c>
      <c r="CA43" s="14">
        <f t="shared" si="39"/>
        <v>51.78747646553299</v>
      </c>
      <c r="CB43" s="22">
        <f t="shared" si="10"/>
        <v>454.7662985108031</v>
      </c>
      <c r="CC43" s="62">
        <f t="shared" si="11"/>
        <v>713.95939220847708</v>
      </c>
      <c r="CD43" s="62">
        <f ca="1">AVERAGE(OFFSET($CC$3,0,0,'Données projet'!$E$12+1,1))-AVERAGE(OFFSET($H$3,0,0,'Données projet'!$E$12+1,1))</f>
        <v>388.52230330563884</v>
      </c>
      <c r="CE43" s="62">
        <f t="shared" si="40"/>
        <v>418.94833960687333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70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263.10000000000002</v>
      </c>
      <c r="CR43" s="13">
        <f>VLOOKUP(A43,'Données projet'!$A$139:$I$159,9,0)</f>
        <v>11.340000000000003</v>
      </c>
      <c r="CS43" s="13">
        <f t="array" ref="CS43">INDEX(CR:CR,MIN(IF(ISNUMBER(CR43:CR239),ROW(CR43:CR239),"")))</f>
        <v>11.340000000000003</v>
      </c>
      <c r="CT43" s="13">
        <f>IF('Données projet'!$A$140&gt;35,CT42+CS43-DB42,IF(A43&lt;'Données projet'!$A$140,$CQ$205^A43,IF(A43='Données projet'!$A$140,'Données projet'!$B$140,CT42+CS43-DB42)))</f>
        <v>263.09999999999991</v>
      </c>
      <c r="CU43" s="18">
        <f>CT43*VLOOKUP('Données projet'!$B$13,Paramètres!$A$1:$I$89,3,0)*VLOOKUP('Données projet'!$B$13,Paramètres!$A$1:$I$89,5,0)</f>
        <v>192.90491999999995</v>
      </c>
      <c r="CV43" s="14">
        <f t="shared" si="41"/>
        <v>48.181621167171684</v>
      </c>
      <c r="CW43" s="22">
        <f t="shared" si="13"/>
        <v>419.89239253282386</v>
      </c>
      <c r="CX43" s="62">
        <f t="shared" si="14"/>
        <v>679.08548623049785</v>
      </c>
      <c r="CY43" s="62">
        <f ca="1">AVERAGE(OFFSET($CX$3,0,0,'Données projet'!$E$13+1,1))-AVERAGE(OFFSET($H$3,0,0,'Données projet'!$E$13+1,1))</f>
        <v>362.38131866207266</v>
      </c>
      <c r="CZ43" s="62">
        <f t="shared" si="42"/>
        <v>390.74498763200336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70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170</v>
      </c>
      <c r="DM43" s="13">
        <f>VLOOKUP(A43,'Données projet'!$A$165:$I$185,9,0)</f>
        <v>7</v>
      </c>
      <c r="DN43" s="13">
        <f t="array" ref="DN43">INDEX(DM:DM,MIN(IF(ISNUMBER(DM43:DM239),ROW(DM43:DM239),"")))</f>
        <v>7</v>
      </c>
      <c r="DO43" s="13">
        <f>IF('Données projet'!$A$166&gt;35,DO42+DN43-DW42,IF(A43&lt;'Données projet'!$A$166,$DL$205^A43,IF(A43='Données projet'!$A$166,'Données projet'!$B$166,DO42+DN43-DW42)))</f>
        <v>170</v>
      </c>
      <c r="DP43" s="18">
        <f>DO43*VLOOKUP('Données projet'!$B$14,Paramètres!$A$1:$I$89,3,0)*VLOOKUP('Données projet'!$B$14,Paramètres!$A$1:$I$89,5,0)</f>
        <v>148.512</v>
      </c>
      <c r="DQ43" s="14">
        <f t="shared" si="43"/>
        <v>38.240236326053513</v>
      </c>
      <c r="DR43" s="22">
        <f t="shared" si="16"/>
        <v>325.26014493454323</v>
      </c>
      <c r="DS43" s="62">
        <f t="shared" si="17"/>
        <v>584.45323863221722</v>
      </c>
      <c r="DT43" s="62">
        <f ca="1">AVERAGE(OFFSET($DS$3,0,0,'Données projet'!$E$14+1,1))-AVERAGE(OFFSET($H$3,0,0,'Données projet'!$E$14+1,1))</f>
        <v>334.4692012109935</v>
      </c>
      <c r="DU43" s="62">
        <f t="shared" si="44"/>
        <v>316.360405424036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40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19.571428571428573</v>
      </c>
      <c r="EJ43" s="13">
        <f>IF('Données projet'!$A$192&gt;35,EJ42+EI43-ER42,IF(A43&lt;'Données projet'!$A$192,$EG$205^A43,IF(A43='Données projet'!$A$192,'Données projet'!$B$192,EJ42+EI43-ER42)))</f>
        <v>379.85714285714266</v>
      </c>
      <c r="EK43" s="18">
        <f>EJ43*VLOOKUP('Données projet'!$B$15,Paramètres!$A$1:$I$89,3,0)*VLOOKUP('Données projet'!$B$15,Paramètres!$A$1:$I$89,5,0)</f>
        <v>212.34014285714278</v>
      </c>
      <c r="EL43" s="14">
        <f t="shared" si="45"/>
        <v>52.446635499473253</v>
      </c>
      <c r="EM43" s="22">
        <f t="shared" si="19"/>
        <v>461.17030563777286</v>
      </c>
      <c r="EN43" s="62">
        <f t="shared" si="20"/>
        <v>720.36339933544684</v>
      </c>
      <c r="EO43" s="62">
        <f ca="1">AVERAGE(OFFSET($EN$3,0,0,'Données projet'!$E$15+1,1))-AVERAGE(OFFSET($H$3,0,0,'Données projet'!$E$15+1,1))</f>
        <v>390.09289316045653</v>
      </c>
      <c r="EP43" s="62">
        <f t="shared" si="46"/>
        <v>364.34913542817617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5.5923755263163484</v>
      </c>
      <c r="EX43" s="23">
        <f>EXP(-LN(2)/2)*EX42+(1-EXP(-LN(2)/2))/(LN(2)/2)*ER43*EU43*VLOOKUP('Données projet'!$B$15,Paramètres!$A$1:$I$89,3,0)*0.475*44/12</f>
        <v>0.28070137212093471</v>
      </c>
      <c r="EY43" s="24">
        <f t="shared" si="21"/>
        <v>5.873076898437283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198</v>
      </c>
      <c r="FC43" s="13">
        <f>VLOOKUP(A43,'Données projet'!$A$217:$I$237,9,0)</f>
        <v>11</v>
      </c>
      <c r="FD43" s="13">
        <f t="array" ref="FD43">INDEX(FC:FC,MIN(IF(ISNUMBER(FC43:FC239),ROW(FC43:FC239),"")))</f>
        <v>11</v>
      </c>
      <c r="FE43" s="13">
        <f>IF('Données projet'!$A$218&gt;35,FE42+FD43-FM42,IF(A43&lt;'Données projet'!$A$218,$FB$205^A43,IF(A43='Données projet'!$A$218,'Données projet'!$B$218,FE42+FD43-FM42)))</f>
        <v>198</v>
      </c>
      <c r="FF43" s="18">
        <f>FE43*VLOOKUP('Données projet'!$B$16,Paramètres!$A$1:$I$89,3,0)*VLOOKUP('Données projet'!$B$16,Paramètres!$A$1:$I$89,5,0)</f>
        <v>92.664000000000001</v>
      </c>
      <c r="FG43" s="14">
        <f t="shared" si="47"/>
        <v>25.206622814445748</v>
      </c>
      <c r="FH43" s="22">
        <f t="shared" si="22"/>
        <v>205.29133473515969</v>
      </c>
      <c r="FI43" s="62">
        <f t="shared" si="23"/>
        <v>464.48442843283368</v>
      </c>
      <c r="FJ43" s="62">
        <f ca="1">AVERAGE(OFFSET($FI$3,0,0,'Données projet'!$E$16+1,1))-AVERAGE(OFFSET($H$3,0,0,'Données projet'!$E$16+1,1))</f>
        <v>344.55118007058775</v>
      </c>
      <c r="FK43" s="62">
        <f t="shared" si="48"/>
        <v>144.16931602355001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11.5</v>
      </c>
      <c r="FZ43" s="13">
        <f>IF('Données projet'!$A$244&gt;35,FZ42+FY43-GH42,IF(A43&lt;'Données projet'!$A$244,$FW$205^A43,IF(A43='Données projet'!$A$244,'Données projet'!$B$244,FZ42+FY43-GH42)))</f>
        <v>232</v>
      </c>
      <c r="GA43" s="18">
        <f>FZ43*VLOOKUP('Données projet'!$B$17,Paramètres!$A$1:$I$89,3,0)*VLOOKUP('Données projet'!$B$17,Paramètres!$A$1:$I$89,5,0)</f>
        <v>144.768</v>
      </c>
      <c r="GB43" s="14">
        <f t="shared" si="49"/>
        <v>37.387149255707826</v>
      </c>
      <c r="GC43" s="22">
        <f t="shared" si="25"/>
        <v>317.25355162035777</v>
      </c>
      <c r="GD43" s="62">
        <f t="shared" si="26"/>
        <v>576.44664531803176</v>
      </c>
      <c r="GE43" s="62">
        <f ca="1">AVERAGE(OFFSET($GD$3,0,0,'Données projet'!$E$17+1,1))-AVERAGE(OFFSET($H$3,0,0,'Données projet'!$E$17+1,1))</f>
        <v>252.60122125520482</v>
      </c>
      <c r="GF43" s="62">
        <f t="shared" si="50"/>
        <v>357.56833754121317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7.8025103279896992</v>
      </c>
      <c r="GN43" s="23">
        <f>EXP(-LN(2)/2)*GN42+(1-EXP(-LN(2)/2))/(LN(2)/2)*GH43*GK43*VLOOKUP('Données projet'!$B$17,Paramètres!$A$1:$I$89,3,0)*0.475*44/12</f>
        <v>0.51621312128146246</v>
      </c>
      <c r="GO43" s="23">
        <f t="shared" si="27"/>
        <v>8.318723449271161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152</v>
      </c>
      <c r="GS43" s="13">
        <f>VLOOKUP(A43,'Données projet'!$A$269:$I$289,9,0)</f>
        <v>7.6</v>
      </c>
      <c r="GT43" s="13">
        <f t="array" ref="GT43">INDEX(GS:GS,MIN(IF(ISNUMBER(GS43:GS239),ROW(GS43:GS239),"")))</f>
        <v>7.6</v>
      </c>
      <c r="GU43" s="13">
        <f>IF('Données projet'!$A$270&gt;35,GU42+GT43-HC42,IF(A43&lt;'Données projet'!$A$270,$GR$205^A43,IF(A43='Données projet'!$A$270,'Données projet'!$B$270,GU42+GT43-HC42)))</f>
        <v>152.00000000000003</v>
      </c>
      <c r="GV43" s="18">
        <f>GU43*VLOOKUP('Données projet'!$B$18,Paramètres!$A$1:$I$89,3,0)*VLOOKUP('Données projet'!$B$18,Paramètres!$A$1:$I$89,5,0)</f>
        <v>123.30240000000003</v>
      </c>
      <c r="GW43" s="14">
        <f t="shared" si="51"/>
        <v>32.444008665071891</v>
      </c>
      <c r="GX43" s="22">
        <f t="shared" si="28"/>
        <v>271.25832842500023</v>
      </c>
      <c r="GY43" s="62">
        <f t="shared" si="29"/>
        <v>530.45142212267422</v>
      </c>
      <c r="GZ43" s="62">
        <f ca="1">AVERAGE(OFFSET($GY$3,0,0,'Données projet'!$E$18+1,1))-AVERAGE(OFFSET($H$3,0,0,'Données projet'!$E$18+1,1))</f>
        <v>268.57152522489537</v>
      </c>
      <c r="HA43" s="62">
        <f t="shared" si="52"/>
        <v>311.80303557283207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3.75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13.75</v>
      </c>
      <c r="H44" s="70">
        <f t="shared" si="1"/>
        <v>201.66666666666666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projet'!$B$9,Paramètres!$A$1:$I$89,3,0)*VLOOKUP('Données projet'!$B$9,Paramètres!$A$1:$I$89,5,0)</f>
        <v>131.55792</v>
      </c>
      <c r="P44" s="14">
        <f t="shared" si="33"/>
        <v>34.3560989338864</v>
      </c>
      <c r="Q44" s="22">
        <f t="shared" si="53"/>
        <v>288.96691630985214</v>
      </c>
      <c r="R44" s="62">
        <f t="shared" si="0"/>
        <v>548.7522668390634</v>
      </c>
      <c r="S44" s="62">
        <f ca="1">AVERAGE(OFFSET($R$3,0,0,'Données projet'!$E$9+1,1))-AVERAGE(OFFSET($H$3,0,0,'Données projet'!$E$9+1,1))</f>
        <v>461.02780119093666</v>
      </c>
      <c r="T44" s="62">
        <f t="shared" si="34"/>
        <v>245.70016468438834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</v>
      </c>
      <c r="AJ44" s="14">
        <f>AI44*VLOOKUP('Données projet'!$B$10,Paramètres!$A$1:$I$89,3,0)*VLOOKUP('Données projet'!$B$10,Paramètres!$A$1:$I$89,5,0)</f>
        <v>122.48496000000002</v>
      </c>
      <c r="AK44" s="14">
        <f t="shared" si="35"/>
        <v>32.25388222264565</v>
      </c>
      <c r="AL44" s="22">
        <f t="shared" si="4"/>
        <v>269.50348353777451</v>
      </c>
      <c r="AM44" s="62">
        <f t="shared" si="5"/>
        <v>529.28883406698583</v>
      </c>
      <c r="AN44" s="62">
        <f ca="1">AVERAGE(OFFSET($AM$3,0,0,'Données projet'!$E$10+1,1))-AVERAGE(OFFSET($H$3,0,0,'Données projet'!$E$10+1,1))</f>
        <v>434.22500776975596</v>
      </c>
      <c r="AO44" s="62">
        <f t="shared" si="36"/>
        <v>232.59777933076705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5.7692307692307683</v>
      </c>
      <c r="BD44" s="13">
        <f>IF('Données projet'!$A$88&gt;35,BD43+BC44-BL43,IF(A44&lt;'Données projet'!$A$88,$BA$205^A44,IF(A44='Données projet'!$A$88,'Données projet'!$B$88,BD43+BC44-BL43)))</f>
        <v>129.48717948717956</v>
      </c>
      <c r="BE44" s="14">
        <f>BD44*VLOOKUP('Données projet'!$B$11,Paramètres!$A$1:$I$89,3,0)*VLOOKUP('Données projet'!$B$11,Paramètres!$A$1:$I$89,5,0)</f>
        <v>123.22000000000007</v>
      </c>
      <c r="BF44" s="14">
        <f t="shared" si="37"/>
        <v>32.42485010818541</v>
      </c>
      <c r="BG44" s="22">
        <f t="shared" si="7"/>
        <v>271.08144727175642</v>
      </c>
      <c r="BH44" s="62">
        <f t="shared" si="8"/>
        <v>530.86679780096779</v>
      </c>
      <c r="BI44" s="62">
        <f ca="1">AVERAGE(OFFSET($BH$3,0,0,'Données projet'!$E$11+1,1))-AVERAGE(OFFSET($H$3,0,0,'Données projet'!$E$11+1,1))</f>
        <v>393.3005580838161</v>
      </c>
      <c r="BJ44" s="62">
        <f t="shared" si="38"/>
        <v>295.86019897822757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9.8199999999999932</v>
      </c>
      <c r="BY44" s="13">
        <f>IF('Données projet'!$A$114&gt;35,BY43+BX44-CG43,IF(A44&lt;'Données projet'!$A$114,$BV$205^A44,IF(A44='Données projet'!$A$114,'Données projet'!$B$114,BY43+BX44-CG43)))</f>
        <v>202.9199999999999</v>
      </c>
      <c r="BZ44" s="14">
        <f>BY44*VLOOKUP('Données projet'!$B$12,Paramètres!$A$1:$I$89,3,0)*VLOOKUP('Données projet'!$B$12,Paramètres!$A$1:$I$89,5,0)</f>
        <v>161.44315199999994</v>
      </c>
      <c r="CA44" s="14">
        <f t="shared" si="39"/>
        <v>41.167852065682119</v>
      </c>
      <c r="CB44" s="22">
        <f t="shared" si="10"/>
        <v>352.88083208106292</v>
      </c>
      <c r="CC44" s="62">
        <f t="shared" si="11"/>
        <v>612.66618261027429</v>
      </c>
      <c r="CD44" s="62">
        <f ca="1">AVERAGE(OFFSET($CC$3,0,0,'Données projet'!$E$12+1,1))-AVERAGE(OFFSET($H$3,0,0,'Données projet'!$E$12+1,1))</f>
        <v>388.52230330563884</v>
      </c>
      <c r="CE44" s="62">
        <f t="shared" si="40"/>
        <v>418.94833960687333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9.8199999999999932</v>
      </c>
      <c r="CT44" s="13">
        <f>IF('Données projet'!$A$140&gt;35,CT43+CS44-DB43,IF(A44&lt;'Données projet'!$A$140,$CQ$205^A44,IF(A44='Données projet'!$A$140,'Données projet'!$B$140,CT43+CS44-DB43)))</f>
        <v>202.9199999999999</v>
      </c>
      <c r="CU44" s="18">
        <f>CT44*VLOOKUP('Données projet'!$B$13,Paramètres!$A$1:$I$89,3,0)*VLOOKUP('Données projet'!$B$13,Paramètres!$A$1:$I$89,5,0)</f>
        <v>148.78094399999992</v>
      </c>
      <c r="CV44" s="14">
        <f t="shared" si="41"/>
        <v>38.301419336680702</v>
      </c>
      <c r="CW44" s="22">
        <f t="shared" si="13"/>
        <v>325.83511614471871</v>
      </c>
      <c r="CX44" s="62">
        <f t="shared" si="14"/>
        <v>585.62046667392997</v>
      </c>
      <c r="CY44" s="62">
        <f ca="1">AVERAGE(OFFSET($CX$3,0,0,'Données projet'!$E$13+1,1))-AVERAGE(OFFSET($H$3,0,0,'Données projet'!$E$13+1,1))</f>
        <v>362.38131866207266</v>
      </c>
      <c r="CZ44" s="62">
        <f t="shared" si="42"/>
        <v>390.74498763200336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6.4</v>
      </c>
      <c r="DO44" s="13">
        <f>IF('Données projet'!$A$166&gt;35,DO43+DN44-DW43,IF(A44&lt;'Données projet'!$A$166,$DL$205^A44,IF(A44='Données projet'!$A$166,'Données projet'!$B$166,DO43+DN44-DW43)))</f>
        <v>136.4</v>
      </c>
      <c r="DP44" s="18">
        <f>DO44*VLOOKUP('Données projet'!$B$14,Paramètres!$A$1:$I$89,3,0)*VLOOKUP('Données projet'!$B$14,Paramètres!$A$1:$I$89,5,0)</f>
        <v>119.15904000000003</v>
      </c>
      <c r="DQ44" s="14">
        <f t="shared" si="43"/>
        <v>31.478778976043767</v>
      </c>
      <c r="DR44" s="22">
        <f t="shared" si="16"/>
        <v>262.36086804994295</v>
      </c>
      <c r="DS44" s="62">
        <f t="shared" si="17"/>
        <v>522.14621857915427</v>
      </c>
      <c r="DT44" s="62">
        <f ca="1">AVERAGE(OFFSET($DS$3,0,0,'Données projet'!$E$14+1,1))-AVERAGE(OFFSET($H$3,0,0,'Données projet'!$E$14+1,1))</f>
        <v>334.4692012109935</v>
      </c>
      <c r="DU44" s="62">
        <f t="shared" si="44"/>
        <v>316.360405424036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19.571428571428573</v>
      </c>
      <c r="EJ44" s="13">
        <f>IF('Données projet'!$A$192&gt;35,EJ43+EI44-ER43,IF(A44&lt;'Données projet'!$A$192,$EG$205^A44,IF(A44='Données projet'!$A$192,'Données projet'!$B$192,EJ43+EI44-ER43)))</f>
        <v>399.42857142857122</v>
      </c>
      <c r="EK44" s="18">
        <f>EJ44*VLOOKUP('Données projet'!$B$15,Paramètres!$A$1:$I$89,3,0)*VLOOKUP('Données projet'!$B$15,Paramètres!$A$1:$I$89,5,0)</f>
        <v>223.28057142857133</v>
      </c>
      <c r="EL44" s="14">
        <f t="shared" si="45"/>
        <v>54.827286320639246</v>
      </c>
      <c r="EM44" s="22">
        <f t="shared" si="19"/>
        <v>484.37118557987498</v>
      </c>
      <c r="EN44" s="62">
        <f t="shared" si="20"/>
        <v>744.15653610908635</v>
      </c>
      <c r="EO44" s="62">
        <f ca="1">AVERAGE(OFFSET($EN$3,0,0,'Données projet'!$E$15+1,1))-AVERAGE(OFFSET($H$3,0,0,'Données projet'!$E$15+1,1))</f>
        <v>390.09289316045653</v>
      </c>
      <c r="EP44" s="62">
        <f t="shared" si="46"/>
        <v>364.34913542817617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5.4394517234589808</v>
      </c>
      <c r="EX44" s="23">
        <f>EXP(-LN(2)/2)*EX43+(1-EXP(-LN(2)/2))/(LN(2)/2)*ER44*EU44*VLOOKUP('Données projet'!$B$15,Paramètres!$A$1:$I$89,3,0)*0.475*44/12</f>
        <v>0.19848584371508143</v>
      </c>
      <c r="EY44" s="24">
        <f t="shared" si="21"/>
        <v>5.6379375671740624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17</v>
      </c>
      <c r="FE44" s="13">
        <f>IF('Données projet'!$A$218&gt;35,FE43+FD44-FM43,IF(A44&lt;'Données projet'!$A$218,$FB$205^A44,IF(A44='Données projet'!$A$218,'Données projet'!$B$218,FE43+FD44-FM43)))</f>
        <v>215</v>
      </c>
      <c r="FF44" s="18">
        <f>FE44*VLOOKUP('Données projet'!$B$16,Paramètres!$A$1:$I$89,3,0)*VLOOKUP('Données projet'!$B$16,Paramètres!$A$1:$I$89,5,0)</f>
        <v>100.61999999999999</v>
      </c>
      <c r="FG44" s="14">
        <f t="shared" si="47"/>
        <v>27.10965082293415</v>
      </c>
      <c r="FH44" s="22">
        <f t="shared" si="22"/>
        <v>222.46247518327695</v>
      </c>
      <c r="FI44" s="62">
        <f t="shared" si="23"/>
        <v>482.24782571248829</v>
      </c>
      <c r="FJ44" s="62">
        <f ca="1">AVERAGE(OFFSET($FI$3,0,0,'Données projet'!$E$16+1,1))-AVERAGE(OFFSET($H$3,0,0,'Données projet'!$E$16+1,1))</f>
        <v>344.55118007058775</v>
      </c>
      <c r="FK44" s="62">
        <f t="shared" si="48"/>
        <v>144.16931602355001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11.5</v>
      </c>
      <c r="FZ44" s="13">
        <f>IF('Données projet'!$A$244&gt;35,FZ43+FY44-GH43,IF(A44&lt;'Données projet'!$A$244,$FW$205^A44,IF(A44='Données projet'!$A$244,'Données projet'!$B$244,FZ43+FY44-GH43)))</f>
        <v>243.5</v>
      </c>
      <c r="GA44" s="18">
        <f>FZ44*VLOOKUP('Données projet'!$B$17,Paramètres!$A$1:$I$89,3,0)*VLOOKUP('Données projet'!$B$17,Paramètres!$A$1:$I$89,5,0)</f>
        <v>151.94399999999999</v>
      </c>
      <c r="GB44" s="14">
        <f t="shared" si="49"/>
        <v>39.02003496976517</v>
      </c>
      <c r="GC44" s="22">
        <f t="shared" si="25"/>
        <v>332.59569423900763</v>
      </c>
      <c r="GD44" s="62">
        <f t="shared" si="26"/>
        <v>592.381044768219</v>
      </c>
      <c r="GE44" s="62">
        <f ca="1">AVERAGE(OFFSET($GD$3,0,0,'Données projet'!$E$17+1,1))-AVERAGE(OFFSET($H$3,0,0,'Données projet'!$E$17+1,1))</f>
        <v>252.60122125520482</v>
      </c>
      <c r="GF44" s="62">
        <f t="shared" si="50"/>
        <v>357.56833754121317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7.5891502727546358</v>
      </c>
      <c r="GN44" s="23">
        <f>EXP(-LN(2)/2)*GN43+(1-EXP(-LN(2)/2))/(LN(2)/2)*GH44*GK44*VLOOKUP('Données projet'!$B$17,Paramètres!$A$1:$I$89,3,0)*0.475*44/12</f>
        <v>0.3650177985955958</v>
      </c>
      <c r="GO44" s="23">
        <f t="shared" si="27"/>
        <v>7.9541680713502316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7.6</v>
      </c>
      <c r="GU44" s="13">
        <f>IF('Données projet'!$A$270&gt;35,GU43+GT44-HC43,IF(A44&lt;'Données projet'!$A$270,$GR$205^A44,IF(A44='Données projet'!$A$270,'Données projet'!$B$270,GU43+GT44-HC43)))</f>
        <v>159.60000000000002</v>
      </c>
      <c r="GV44" s="18">
        <f>GU44*VLOOKUP('Données projet'!$B$18,Paramètres!$A$1:$I$89,3,0)*VLOOKUP('Données projet'!$B$18,Paramètres!$A$1:$I$89,5,0)</f>
        <v>129.46752000000004</v>
      </c>
      <c r="GW44" s="14">
        <f t="shared" si="51"/>
        <v>33.873289462262882</v>
      </c>
      <c r="GX44" s="22">
        <f t="shared" si="28"/>
        <v>284.48524314677451</v>
      </c>
      <c r="GY44" s="62">
        <f t="shared" si="29"/>
        <v>544.27059367598577</v>
      </c>
      <c r="GZ44" s="62">
        <f ca="1">AVERAGE(OFFSET($GY$3,0,0,'Données projet'!$E$18+1,1))-AVERAGE(OFFSET($H$3,0,0,'Données projet'!$E$18+1,1))</f>
        <v>268.57152522489537</v>
      </c>
      <c r="HA44" s="62">
        <f t="shared" si="52"/>
        <v>311.80303557283207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3.75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13.75</v>
      </c>
      <c r="H45" s="70">
        <f t="shared" si="1"/>
        <v>201.66666666666666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projet'!$B$9,Paramètres!$A$1:$I$89,3,0)*VLOOKUP('Données projet'!$B$9,Paramètres!$A$1:$I$89,5,0)</f>
        <v>139.15824000000001</v>
      </c>
      <c r="P45" s="14">
        <f t="shared" si="33"/>
        <v>36.104102468715482</v>
      </c>
      <c r="Q45" s="22">
        <f t="shared" si="53"/>
        <v>305.24857979967942</v>
      </c>
      <c r="R45" s="62">
        <f t="shared" si="0"/>
        <v>565.61591282848872</v>
      </c>
      <c r="S45" s="62">
        <f ca="1">AVERAGE(OFFSET($R$3,0,0,'Données projet'!$E$9+1,1))-AVERAGE(OFFSET($H$3,0,0,'Données projet'!$E$9+1,1))</f>
        <v>461.02780119093666</v>
      </c>
      <c r="T45" s="62">
        <f t="shared" si="34"/>
        <v>245.70016468438834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projet'!$B$10,Paramètres!$A$1:$I$89,3,0)*VLOOKUP('Données projet'!$B$10,Paramètres!$A$1:$I$89,5,0)</f>
        <v>129.56112000000002</v>
      </c>
      <c r="AK45" s="14">
        <f t="shared" si="35"/>
        <v>33.894927099295955</v>
      </c>
      <c r="AL45" s="22">
        <f t="shared" si="4"/>
        <v>284.68594869794049</v>
      </c>
      <c r="AM45" s="62">
        <f t="shared" si="5"/>
        <v>545.0532817267499</v>
      </c>
      <c r="AN45" s="62">
        <f ca="1">AVERAGE(OFFSET($AM$3,0,0,'Données projet'!$E$10+1,1))-AVERAGE(OFFSET($H$3,0,0,'Données projet'!$E$10+1,1))</f>
        <v>434.22500776975596</v>
      </c>
      <c r="AO45" s="62">
        <f t="shared" si="36"/>
        <v>232.59777933076705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5.7692307692307683</v>
      </c>
      <c r="BD45" s="13">
        <f>IF('Données projet'!$A$88&gt;35,BD44+BC45-BL44,IF(A45&lt;'Données projet'!$A$88,$BA$205^A45,IF(A45='Données projet'!$A$88,'Données projet'!$B$88,BD44+BC45-BL44)))</f>
        <v>135.25641025641033</v>
      </c>
      <c r="BE45" s="14">
        <f>BD45*VLOOKUP('Données projet'!$B$11,Paramètres!$A$1:$I$89,3,0)*VLOOKUP('Données projet'!$B$11,Paramètres!$A$1:$I$89,5,0)</f>
        <v>128.71000000000009</v>
      </c>
      <c r="BF45" s="14">
        <f t="shared" si="37"/>
        <v>33.698105419900322</v>
      </c>
      <c r="BG45" s="22">
        <f t="shared" si="7"/>
        <v>282.86078360632649</v>
      </c>
      <c r="BH45" s="62">
        <f t="shared" si="8"/>
        <v>543.22811663513585</v>
      </c>
      <c r="BI45" s="62">
        <f ca="1">AVERAGE(OFFSET($BH$3,0,0,'Données projet'!$E$11+1,1))-AVERAGE(OFFSET($H$3,0,0,'Données projet'!$E$11+1,1))</f>
        <v>393.3005580838161</v>
      </c>
      <c r="BJ45" s="62">
        <f t="shared" si="38"/>
        <v>295.86019897822757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9.8199999999999932</v>
      </c>
      <c r="BY45" s="13">
        <f>IF('Données projet'!$A$114&gt;35,BY44+BX45-CG44,IF(A45&lt;'Données projet'!$A$114,$BV$205^A45,IF(A45='Données projet'!$A$114,'Données projet'!$B$114,BY44+BX45-CG44)))</f>
        <v>212.7399999999999</v>
      </c>
      <c r="BZ45" s="14">
        <f>BY45*VLOOKUP('Données projet'!$B$12,Paramètres!$A$1:$I$89,3,0)*VLOOKUP('Données projet'!$B$12,Paramètres!$A$1:$I$89,5,0)</f>
        <v>169.25594399999991</v>
      </c>
      <c r="CA45" s="14">
        <f t="shared" si="39"/>
        <v>42.923337274383478</v>
      </c>
      <c r="CB45" s="22">
        <f t="shared" si="10"/>
        <v>369.54558155288436</v>
      </c>
      <c r="CC45" s="62">
        <f t="shared" si="11"/>
        <v>629.91291458169371</v>
      </c>
      <c r="CD45" s="62">
        <f ca="1">AVERAGE(OFFSET($CC$3,0,0,'Données projet'!$E$12+1,1))-AVERAGE(OFFSET($H$3,0,0,'Données projet'!$E$12+1,1))</f>
        <v>388.52230330563884</v>
      </c>
      <c r="CE45" s="62">
        <f t="shared" si="40"/>
        <v>418.94833960687333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9.8199999999999932</v>
      </c>
      <c r="CT45" s="13">
        <f>IF('Données projet'!$A$140&gt;35,CT44+CS45-DB44,IF(A45&lt;'Données projet'!$A$140,$CQ$205^A45,IF(A45='Données projet'!$A$140,'Données projet'!$B$140,CT44+CS45-DB44)))</f>
        <v>212.7399999999999</v>
      </c>
      <c r="CU45" s="18">
        <f>CT45*VLOOKUP('Données projet'!$B$13,Paramètres!$A$1:$I$89,3,0)*VLOOKUP('Données projet'!$B$13,Paramètres!$A$1:$I$89,5,0)</f>
        <v>155.98096799999993</v>
      </c>
      <c r="CV45" s="14">
        <f t="shared" si="41"/>
        <v>39.934673726794031</v>
      </c>
      <c r="CW45" s="22">
        <f t="shared" si="13"/>
        <v>341.21974267416618</v>
      </c>
      <c r="CX45" s="62">
        <f t="shared" si="14"/>
        <v>601.58707570297554</v>
      </c>
      <c r="CY45" s="62">
        <f ca="1">AVERAGE(OFFSET($CX$3,0,0,'Données projet'!$E$13+1,1))-AVERAGE(OFFSET($H$3,0,0,'Données projet'!$E$13+1,1))</f>
        <v>362.38131866207266</v>
      </c>
      <c r="CZ45" s="62">
        <f t="shared" si="42"/>
        <v>390.74498763200336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6.4</v>
      </c>
      <c r="DO45" s="13">
        <f>IF('Données projet'!$A$166&gt;35,DO44+DN45-DW44,IF(A45&lt;'Données projet'!$A$166,$DL$205^A45,IF(A45='Données projet'!$A$166,'Données projet'!$B$166,DO44+DN45-DW44)))</f>
        <v>142.80000000000001</v>
      </c>
      <c r="DP45" s="18">
        <f>DO45*VLOOKUP('Données projet'!$B$14,Paramètres!$A$1:$I$89,3,0)*VLOOKUP('Données projet'!$B$14,Paramètres!$A$1:$I$89,5,0)</f>
        <v>124.75008000000003</v>
      </c>
      <c r="DQ45" s="14">
        <f t="shared" si="43"/>
        <v>32.780361960132396</v>
      </c>
      <c r="DR45" s="22">
        <f t="shared" si="16"/>
        <v>274.36551974723062</v>
      </c>
      <c r="DS45" s="62">
        <f t="shared" si="17"/>
        <v>534.73285277603998</v>
      </c>
      <c r="DT45" s="62">
        <f ca="1">AVERAGE(OFFSET($DS$3,0,0,'Données projet'!$E$14+1,1))-AVERAGE(OFFSET($H$3,0,0,'Données projet'!$E$14+1,1))</f>
        <v>334.4692012109935</v>
      </c>
      <c r="DU45" s="62">
        <f t="shared" si="44"/>
        <v>316.360405424036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419</v>
      </c>
      <c r="EH45" s="13">
        <f>VLOOKUP(A45,'Données projet'!$A$191:$I$211,9,0)</f>
        <v>19.571428571428573</v>
      </c>
      <c r="EI45" s="13">
        <f t="array" ref="EI45">INDEX(EH:EH,MIN(IF(ISNUMBER(EH45:EH241),ROW(EH45:EH241),"")))</f>
        <v>19.571428571428573</v>
      </c>
      <c r="EJ45" s="13">
        <f>IF('Données projet'!$A$192&gt;35,EJ44+EI45-ER44,IF(A45&lt;'Données projet'!$A$192,$EG$205^A45,IF(A45='Données projet'!$A$192,'Données projet'!$B$192,EJ44+EI45-ER44)))</f>
        <v>418.99999999999977</v>
      </c>
      <c r="EK45" s="18">
        <f>EJ45*VLOOKUP('Données projet'!$B$15,Paramètres!$A$1:$I$89,3,0)*VLOOKUP('Données projet'!$B$15,Paramètres!$A$1:$I$89,5,0)</f>
        <v>234.22099999999989</v>
      </c>
      <c r="EL45" s="14">
        <f t="shared" si="45"/>
        <v>57.194392182630075</v>
      </c>
      <c r="EM45" s="22">
        <f t="shared" si="19"/>
        <v>507.54847471808051</v>
      </c>
      <c r="EN45" s="62">
        <f t="shared" si="20"/>
        <v>767.91580774688987</v>
      </c>
      <c r="EO45" s="62">
        <f ca="1">AVERAGE(OFFSET($EN$3,0,0,'Données projet'!$E$15+1,1))-AVERAGE(OFFSET($H$3,0,0,'Données projet'!$E$15+1,1))</f>
        <v>390.09289316045653</v>
      </c>
      <c r="EP45" s="62">
        <f t="shared" si="46"/>
        <v>364.34913542817617</v>
      </c>
      <c r="EQ45" s="16">
        <f>IF(ISNA(VLOOKUP(A45,'Données projet'!$A$191:$I$211,3,0)),0,VLOOKUP(A45,'Données projet'!$A$191:$I$211,3,0))</f>
        <v>4</v>
      </c>
      <c r="ER45" s="16">
        <f>IF(ISNA(VLOOKUP(A45,'Données projet'!$A$191:$I$211,4,0)),0,VLOOKUP(A45,'Données projet'!$A$191:$I$211,4,0))</f>
        <v>77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5.2907096300326613</v>
      </c>
      <c r="EX45" s="23">
        <f>EXP(-LN(2)/2)*EX44+(1-EXP(-LN(2)/2))/(LN(2)/2)*ER45*EU45*VLOOKUP('Données projet'!$B$15,Paramètres!$A$1:$I$89,3,0)*0.475*44/12</f>
        <v>0.14035068606046736</v>
      </c>
      <c r="EY45" s="24">
        <f t="shared" si="21"/>
        <v>5.431060316093129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17</v>
      </c>
      <c r="FE45" s="13">
        <f>IF('Données projet'!$A$218&gt;35,FE44+FD45-FM44,IF(A45&lt;'Données projet'!$A$218,$FB$205^A45,IF(A45='Données projet'!$A$218,'Données projet'!$B$218,FE44+FD45-FM44)))</f>
        <v>232</v>
      </c>
      <c r="FF45" s="18">
        <f>FE45*VLOOKUP('Données projet'!$B$16,Paramètres!$A$1:$I$89,3,0)*VLOOKUP('Données projet'!$B$16,Paramètres!$A$1:$I$89,5,0)</f>
        <v>108.57599999999999</v>
      </c>
      <c r="FG45" s="14">
        <f t="shared" si="47"/>
        <v>28.995225061228002</v>
      </c>
      <c r="FH45" s="22">
        <f t="shared" si="22"/>
        <v>239.60321698163875</v>
      </c>
      <c r="FI45" s="62">
        <f t="shared" si="23"/>
        <v>499.97055001044811</v>
      </c>
      <c r="FJ45" s="62">
        <f ca="1">AVERAGE(OFFSET($FI$3,0,0,'Données projet'!$E$16+1,1))-AVERAGE(OFFSET($H$3,0,0,'Données projet'!$E$16+1,1))</f>
        <v>344.55118007058775</v>
      </c>
      <c r="FK45" s="62">
        <f t="shared" si="48"/>
        <v>144.16931602355001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255</v>
      </c>
      <c r="FX45" s="13">
        <f>VLOOKUP(A45,'Données projet'!$A$243:$I$263,9,0)</f>
        <v>11.5</v>
      </c>
      <c r="FY45" s="13">
        <f t="array" ref="FY45">INDEX(FX:FX,MIN(IF(ISNUMBER(FX45:FX241),ROW(FX45:FX241),"")))</f>
        <v>11.5</v>
      </c>
      <c r="FZ45" s="13">
        <f>IF('Données projet'!$A$244&gt;35,FZ44+FY45-GH44,IF(A45&lt;'Données projet'!$A$244,$FW$205^A45,IF(A45='Données projet'!$A$244,'Données projet'!$B$244,FZ44+FY45-GH44)))</f>
        <v>255</v>
      </c>
      <c r="GA45" s="18">
        <f>FZ45*VLOOKUP('Données projet'!$B$17,Paramètres!$A$1:$I$89,3,0)*VLOOKUP('Données projet'!$B$17,Paramètres!$A$1:$I$89,5,0)</f>
        <v>159.12</v>
      </c>
      <c r="GB45" s="14">
        <f t="shared" si="49"/>
        <v>40.643965284387697</v>
      </c>
      <c r="GC45" s="22">
        <f t="shared" si="25"/>
        <v>347.92223953697521</v>
      </c>
      <c r="GD45" s="62">
        <f t="shared" si="26"/>
        <v>608.28957256578451</v>
      </c>
      <c r="GE45" s="62">
        <f ca="1">AVERAGE(OFFSET($GD$3,0,0,'Données projet'!$E$17+1,1))-AVERAGE(OFFSET($H$3,0,0,'Données projet'!$E$17+1,1))</f>
        <v>252.60122125520482</v>
      </c>
      <c r="GF45" s="62">
        <f t="shared" si="50"/>
        <v>357.56833754121317</v>
      </c>
      <c r="GG45" s="16">
        <f>IF(ISNA(VLOOKUP(A45,'Données projet'!$A$243:$I$263,3,0)),0,VLOOKUP(A45,'Données projet'!$A$243:$I$263,3,0))</f>
        <v>6</v>
      </c>
      <c r="GH45" s="16">
        <f>IF(ISNA(VLOOKUP(A45,'Données projet'!$A$243:$I$263,4,0)),0,VLOOKUP(A45,'Données projet'!$A$243:$I$263,4,0))</f>
        <v>67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7.3816245594500929</v>
      </c>
      <c r="GN45" s="23">
        <f>EXP(-LN(2)/2)*GN44+(1-EXP(-LN(2)/2))/(LN(2)/2)*GH45*GK45*VLOOKUP('Données projet'!$B$17,Paramètres!$A$1:$I$89,3,0)*0.475*44/12</f>
        <v>0.25810656064073123</v>
      </c>
      <c r="GO45" s="23">
        <f t="shared" si="27"/>
        <v>7.6397311200908238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7.6</v>
      </c>
      <c r="GU45" s="13">
        <f>IF('Données projet'!$A$270&gt;35,GU44+GT45-HC44,IF(A45&lt;'Données projet'!$A$270,$GR$205^A45,IF(A45='Données projet'!$A$270,'Données projet'!$B$270,GU44+GT45-HC44)))</f>
        <v>167.20000000000002</v>
      </c>
      <c r="GV45" s="18">
        <f>GU45*VLOOKUP('Données projet'!$B$18,Paramètres!$A$1:$I$89,3,0)*VLOOKUP('Données projet'!$B$18,Paramètres!$A$1:$I$89,5,0)</f>
        <v>135.63264000000004</v>
      </c>
      <c r="GW45" s="14">
        <f t="shared" si="51"/>
        <v>35.294666721954265</v>
      </c>
      <c r="GX45" s="22">
        <f t="shared" si="28"/>
        <v>297.69839254073707</v>
      </c>
      <c r="GY45" s="62">
        <f t="shared" si="29"/>
        <v>558.06572556954643</v>
      </c>
      <c r="GZ45" s="62">
        <f ca="1">AVERAGE(OFFSET($GY$3,0,0,'Données projet'!$E$18+1,1))-AVERAGE(OFFSET($H$3,0,0,'Données projet'!$E$18+1,1))</f>
        <v>268.57152522489537</v>
      </c>
      <c r="HA45" s="62">
        <f t="shared" si="52"/>
        <v>311.80303557283207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3.75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13.75</v>
      </c>
      <c r="H46" s="70">
        <f t="shared" si="1"/>
        <v>201.66666666666666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projet'!$B$9,Paramètres!$A$1:$I$89,3,0)*VLOOKUP('Données projet'!$B$9,Paramètres!$A$1:$I$89,5,0)</f>
        <v>146.75856000000002</v>
      </c>
      <c r="P46" s="14">
        <f t="shared" si="33"/>
        <v>37.841022770456242</v>
      </c>
      <c r="Q46" s="22">
        <f t="shared" si="53"/>
        <v>321.51093999187799</v>
      </c>
      <c r="R46" s="62">
        <f t="shared" si="0"/>
        <v>582.45015942503528</v>
      </c>
      <c r="S46" s="62">
        <f ca="1">AVERAGE(OFFSET($R$3,0,0,'Données projet'!$E$9+1,1))-AVERAGE(OFFSET($H$3,0,0,'Données projet'!$E$9+1,1))</f>
        <v>461.02780119093666</v>
      </c>
      <c r="T46" s="62">
        <f t="shared" si="34"/>
        <v>245.70016468438834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162.20000000000002</v>
      </c>
      <c r="AJ46" s="14">
        <f>AI46*VLOOKUP('Données projet'!$B$10,Paramètres!$A$1:$I$89,3,0)*VLOOKUP('Données projet'!$B$10,Paramètres!$A$1:$I$89,5,0)</f>
        <v>136.63728</v>
      </c>
      <c r="AK46" s="14">
        <f t="shared" si="35"/>
        <v>35.525566915250494</v>
      </c>
      <c r="AL46" s="22">
        <f t="shared" si="4"/>
        <v>299.85029171072796</v>
      </c>
      <c r="AM46" s="62">
        <f t="shared" si="5"/>
        <v>560.78951114388531</v>
      </c>
      <c r="AN46" s="62">
        <f ca="1">AVERAGE(OFFSET($AM$3,0,0,'Données projet'!$E$10+1,1))-AVERAGE(OFFSET($H$3,0,0,'Données projet'!$E$10+1,1))</f>
        <v>434.22500776975596</v>
      </c>
      <c r="AO46" s="62">
        <f t="shared" si="36"/>
        <v>232.59777933076705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5.7692307692307683</v>
      </c>
      <c r="BD46" s="13">
        <f>IF('Données projet'!$A$88&gt;35,BD45+BC46-BL45,IF(A46&lt;'Données projet'!$A$88,$BA$205^A46,IF(A46='Données projet'!$A$88,'Données projet'!$B$88,BD45+BC46-BL45)))</f>
        <v>141.02564102564111</v>
      </c>
      <c r="BE46" s="14">
        <f>BD46*VLOOKUP('Données projet'!$B$11,Paramètres!$A$1:$I$89,3,0)*VLOOKUP('Données projet'!$B$11,Paramètres!$A$1:$I$89,5,0)</f>
        <v>134.20000000000007</v>
      </c>
      <c r="BF46" s="14">
        <f t="shared" si="37"/>
        <v>34.965052756825415</v>
      </c>
      <c r="BG46" s="22">
        <f t="shared" si="7"/>
        <v>294.62913355147111</v>
      </c>
      <c r="BH46" s="62">
        <f t="shared" si="8"/>
        <v>555.56835298462852</v>
      </c>
      <c r="BI46" s="62">
        <f ca="1">AVERAGE(OFFSET($BH$3,0,0,'Données projet'!$E$11+1,1))-AVERAGE(OFFSET($H$3,0,0,'Données projet'!$E$11+1,1))</f>
        <v>393.3005580838161</v>
      </c>
      <c r="BJ46" s="62">
        <f t="shared" si="38"/>
        <v>295.86019897822757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9.8199999999999932</v>
      </c>
      <c r="BY46" s="13">
        <f>IF('Données projet'!$A$114&gt;35,BY45+BX46-CG45,IF(A46&lt;'Données projet'!$A$114,$BV$205^A46,IF(A46='Données projet'!$A$114,'Données projet'!$B$114,BY45+BX46-CG45)))</f>
        <v>222.55999999999989</v>
      </c>
      <c r="BZ46" s="14">
        <f>BY46*VLOOKUP('Données projet'!$B$12,Paramètres!$A$1:$I$89,3,0)*VLOOKUP('Données projet'!$B$12,Paramètres!$A$1:$I$89,5,0)</f>
        <v>177.06873599999992</v>
      </c>
      <c r="CA46" s="14">
        <f t="shared" si="39"/>
        <v>44.669412059753448</v>
      </c>
      <c r="CB46" s="22">
        <f t="shared" si="10"/>
        <v>386.19394120407043</v>
      </c>
      <c r="CC46" s="62">
        <f t="shared" si="11"/>
        <v>647.13316063722777</v>
      </c>
      <c r="CD46" s="62">
        <f ca="1">AVERAGE(OFFSET($CC$3,0,0,'Données projet'!$E$12+1,1))-AVERAGE(OFFSET($H$3,0,0,'Données projet'!$E$12+1,1))</f>
        <v>388.52230330563884</v>
      </c>
      <c r="CE46" s="62">
        <f t="shared" si="40"/>
        <v>418.94833960687333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9.8199999999999932</v>
      </c>
      <c r="CT46" s="13">
        <f>IF('Données projet'!$A$140&gt;35,CT45+CS46-DB45,IF(A46&lt;'Données projet'!$A$140,$CQ$205^A46,IF(A46='Données projet'!$A$140,'Données projet'!$B$140,CT45+CS46-DB45)))</f>
        <v>222.55999999999989</v>
      </c>
      <c r="CU46" s="18">
        <f>CT46*VLOOKUP('Données projet'!$B$13,Paramètres!$A$1:$I$89,3,0)*VLOOKUP('Données projet'!$B$13,Paramètres!$A$1:$I$89,5,0)</f>
        <v>163.18099199999992</v>
      </c>
      <c r="CV46" s="14">
        <f t="shared" si="41"/>
        <v>41.559172921966017</v>
      </c>
      <c r="CW46" s="22">
        <f t="shared" si="13"/>
        <v>356.58912057242401</v>
      </c>
      <c r="CX46" s="62">
        <f t="shared" si="14"/>
        <v>617.52834000558141</v>
      </c>
      <c r="CY46" s="62">
        <f ca="1">AVERAGE(OFFSET($CX$3,0,0,'Données projet'!$E$13+1,1))-AVERAGE(OFFSET($H$3,0,0,'Données projet'!$E$13+1,1))</f>
        <v>362.38131866207266</v>
      </c>
      <c r="CZ46" s="62">
        <f t="shared" si="42"/>
        <v>390.74498763200336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6.4</v>
      </c>
      <c r="DO46" s="13">
        <f>IF('Données projet'!$A$166&gt;35,DO45+DN46-DW45,IF(A46&lt;'Données projet'!$A$166,$DL$205^A46,IF(A46='Données projet'!$A$166,'Données projet'!$B$166,DO45+DN46-DW45)))</f>
        <v>149.20000000000002</v>
      </c>
      <c r="DP46" s="18">
        <f>DO46*VLOOKUP('Données projet'!$B$14,Paramètres!$A$1:$I$89,3,0)*VLOOKUP('Données projet'!$B$14,Paramètres!$A$1:$I$89,5,0)</f>
        <v>130.34112000000005</v>
      </c>
      <c r="DQ46" s="14">
        <f t="shared" si="43"/>
        <v>34.075170122989917</v>
      </c>
      <c r="DR46" s="22">
        <f t="shared" si="16"/>
        <v>286.35837196420749</v>
      </c>
      <c r="DS46" s="62">
        <f t="shared" si="17"/>
        <v>547.29759139736484</v>
      </c>
      <c r="DT46" s="62">
        <f ca="1">AVERAGE(OFFSET($DS$3,0,0,'Données projet'!$E$14+1,1))-AVERAGE(OFFSET($H$3,0,0,'Données projet'!$E$14+1,1))</f>
        <v>334.4692012109935</v>
      </c>
      <c r="DU46" s="62">
        <f t="shared" si="44"/>
        <v>316.360405424036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18.714285714285715</v>
      </c>
      <c r="EJ46" s="13">
        <f>IF('Données projet'!$A$192&gt;35,EJ45+EI46-ER45,IF(A46&lt;'Données projet'!$A$192,$EG$205^A46,IF(A46='Données projet'!$A$192,'Données projet'!$B$192,EJ45+EI46-ER45)))</f>
        <v>360.7142857142855</v>
      </c>
      <c r="EK46" s="18">
        <f>EJ46*VLOOKUP('Données projet'!$B$15,Paramètres!$A$1:$I$89,3,0)*VLOOKUP('Données projet'!$B$15,Paramètres!$A$1:$I$89,5,0)</f>
        <v>201.63928571428559</v>
      </c>
      <c r="EL46" s="14">
        <f t="shared" si="45"/>
        <v>50.104261772905943</v>
      </c>
      <c r="EM46" s="22">
        <f t="shared" si="19"/>
        <v>438.45334520685856</v>
      </c>
      <c r="EN46" s="62">
        <f t="shared" si="20"/>
        <v>699.39256464001596</v>
      </c>
      <c r="EO46" s="62">
        <f ca="1">AVERAGE(OFFSET($EN$3,0,0,'Données projet'!$E$15+1,1))-AVERAGE(OFFSET($H$3,0,0,'Données projet'!$E$15+1,1))</f>
        <v>390.09289316045653</v>
      </c>
      <c r="EP46" s="62">
        <f t="shared" si="46"/>
        <v>364.34913542817617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5.1460348969730907</v>
      </c>
      <c r="EX46" s="23">
        <f>EXP(-LN(2)/2)*EX45+(1-EXP(-LN(2)/2))/(LN(2)/2)*ER46*EU46*VLOOKUP('Données projet'!$B$15,Paramètres!$A$1:$I$89,3,0)*0.475*44/12</f>
        <v>9.9242921857540717E-2</v>
      </c>
      <c r="EY46" s="24">
        <f t="shared" si="21"/>
        <v>5.2452778188306315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17</v>
      </c>
      <c r="FE46" s="13">
        <f>IF('Données projet'!$A$218&gt;35,FE45+FD46-FM45,IF(A46&lt;'Données projet'!$A$218,$FB$205^A46,IF(A46='Données projet'!$A$218,'Données projet'!$B$218,FE45+FD46-FM45)))</f>
        <v>249</v>
      </c>
      <c r="FF46" s="18">
        <f>FE46*VLOOKUP('Données projet'!$B$16,Paramètres!$A$1:$I$89,3,0)*VLOOKUP('Données projet'!$B$16,Paramètres!$A$1:$I$89,5,0)</f>
        <v>116.53200000000001</v>
      </c>
      <c r="FG46" s="14">
        <f t="shared" si="47"/>
        <v>30.864769909522728</v>
      </c>
      <c r="FH46" s="22">
        <f t="shared" si="22"/>
        <v>256.71604092575211</v>
      </c>
      <c r="FI46" s="62">
        <f t="shared" si="23"/>
        <v>517.65526035890946</v>
      </c>
      <c r="FJ46" s="62">
        <f ca="1">AVERAGE(OFFSET($FI$3,0,0,'Données projet'!$E$16+1,1))-AVERAGE(OFFSET($H$3,0,0,'Données projet'!$E$16+1,1))</f>
        <v>344.55118007058775</v>
      </c>
      <c r="FK46" s="62">
        <f t="shared" si="48"/>
        <v>144.16931602355001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10.666666666666666</v>
      </c>
      <c r="FZ46" s="13">
        <f>IF('Données projet'!$A$244&gt;35,FZ45+FY46-GH45,IF(A46&lt;'Données projet'!$A$244,$FW$205^A46,IF(A46='Données projet'!$A$244,'Données projet'!$B$244,FZ45+FY46-GH45)))</f>
        <v>198.66666666666669</v>
      </c>
      <c r="GA46" s="18">
        <f>FZ46*VLOOKUP('Données projet'!$B$17,Paramètres!$A$1:$I$89,3,0)*VLOOKUP('Données projet'!$B$17,Paramètres!$A$1:$I$89,5,0)</f>
        <v>123.968</v>
      </c>
      <c r="GB46" s="14">
        <f t="shared" si="49"/>
        <v>32.598710622532096</v>
      </c>
      <c r="GC46" s="22">
        <f t="shared" si="25"/>
        <v>272.68702100091008</v>
      </c>
      <c r="GD46" s="62">
        <f t="shared" si="26"/>
        <v>533.62624043406743</v>
      </c>
      <c r="GE46" s="62">
        <f ca="1">AVERAGE(OFFSET($GD$3,0,0,'Données projet'!$E$17+1,1))-AVERAGE(OFFSET($H$3,0,0,'Données projet'!$E$17+1,1))</f>
        <v>252.60122125520482</v>
      </c>
      <c r="GF46" s="62">
        <f t="shared" si="50"/>
        <v>357.56833754121317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7.1797736476891654</v>
      </c>
      <c r="GN46" s="23">
        <f>EXP(-LN(2)/2)*GN45+(1-EXP(-LN(2)/2))/(LN(2)/2)*GH46*GK46*VLOOKUP('Données projet'!$B$17,Paramètres!$A$1:$I$89,3,0)*0.475*44/12</f>
        <v>0.1825088992977979</v>
      </c>
      <c r="GO46" s="23">
        <f t="shared" si="27"/>
        <v>7.3622825469869628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7.6</v>
      </c>
      <c r="GU46" s="13">
        <f>IF('Données projet'!$A$270&gt;35,GU45+GT46-HC45,IF(A46&lt;'Données projet'!$A$270,$GR$205^A46,IF(A46='Données projet'!$A$270,'Données projet'!$B$270,GU45+GT46-HC45)))</f>
        <v>174.8</v>
      </c>
      <c r="GV46" s="18">
        <f>GU46*VLOOKUP('Données projet'!$B$18,Paramètres!$A$1:$I$89,3,0)*VLOOKUP('Données projet'!$B$18,Paramètres!$A$1:$I$89,5,0)</f>
        <v>141.79776000000004</v>
      </c>
      <c r="GW46" s="14">
        <f t="shared" si="51"/>
        <v>36.708540735279854</v>
      </c>
      <c r="GX46" s="22">
        <f t="shared" si="28"/>
        <v>310.89847378061245</v>
      </c>
      <c r="GY46" s="62">
        <f t="shared" si="29"/>
        <v>571.83769321376985</v>
      </c>
      <c r="GZ46" s="62">
        <f ca="1">AVERAGE(OFFSET($GY$3,0,0,'Données projet'!$E$18+1,1))-AVERAGE(OFFSET($H$3,0,0,'Données projet'!$E$18+1,1))</f>
        <v>268.57152522489537</v>
      </c>
      <c r="HA46" s="62">
        <f t="shared" si="52"/>
        <v>311.80303557283207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3.75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13.75</v>
      </c>
      <c r="H47" s="70">
        <f t="shared" si="1"/>
        <v>201.66666666666666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599.25629547692938</v>
      </c>
      <c r="S47" s="62">
        <f ca="1">AVERAGE(OFFSET($R$3,0,0,'Données projet'!$E$9+1,1))-AVERAGE(OFFSET($H$3,0,0,'Données projet'!$E$9+1,1))</f>
        <v>461.02780119093666</v>
      </c>
      <c r="T47" s="62">
        <f t="shared" si="34"/>
        <v>245.70016468438834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170.60000000000002</v>
      </c>
      <c r="AJ47" s="14">
        <f>AI47*VLOOKUP('Données projet'!$B$10,Paramètres!$A$1:$I$89,3,0)*VLOOKUP('Données projet'!$B$10,Paramètres!$A$1:$I$89,5,0)</f>
        <v>143.71344000000005</v>
      </c>
      <c r="AK47" s="14">
        <f t="shared" si="35"/>
        <v>37.146401990372148</v>
      </c>
      <c r="AL47" s="22">
        <f t="shared" si="4"/>
        <v>314.99755813323156</v>
      </c>
      <c r="AM47" s="62">
        <f t="shared" si="5"/>
        <v>576.49874302016792</v>
      </c>
      <c r="AN47" s="62">
        <f ca="1">AVERAGE(OFFSET($AM$3,0,0,'Données projet'!$E$10+1,1))-AVERAGE(OFFSET($H$3,0,0,'Données projet'!$E$10+1,1))</f>
        <v>434.22500776975596</v>
      </c>
      <c r="AO47" s="62">
        <f t="shared" si="36"/>
        <v>232.59777933076705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5.7692307692307683</v>
      </c>
      <c r="BD47" s="13">
        <f>IF('Données projet'!$A$88&gt;35,BD46+BC47-BL46,IF(A47&lt;'Données projet'!$A$88,$BA$205^A47,IF(A47='Données projet'!$A$88,'Données projet'!$B$88,BD46+BC47-BL46)))</f>
        <v>146.79487179487188</v>
      </c>
      <c r="BE47" s="14">
        <f>BD47*VLOOKUP('Données projet'!$B$11,Paramètres!$A$1:$I$89,3,0)*VLOOKUP('Données projet'!$B$11,Paramètres!$A$1:$I$89,5,0)</f>
        <v>139.69000000000008</v>
      </c>
      <c r="BF47" s="14">
        <f t="shared" si="37"/>
        <v>36.225979688604163</v>
      </c>
      <c r="BG47" s="22">
        <f t="shared" si="7"/>
        <v>306.3869979576524</v>
      </c>
      <c r="BH47" s="62">
        <f t="shared" si="8"/>
        <v>567.88818284458875</v>
      </c>
      <c r="BI47" s="62">
        <f ca="1">AVERAGE(OFFSET($BH$3,0,0,'Données projet'!$E$11+1,1))-AVERAGE(OFFSET($H$3,0,0,'Données projet'!$E$11+1,1))</f>
        <v>393.3005580838161</v>
      </c>
      <c r="BJ47" s="62">
        <f t="shared" si="38"/>
        <v>295.86019897822757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9.8199999999999932</v>
      </c>
      <c r="BY47" s="13">
        <f>IF('Données projet'!$A$114&gt;35,BY46+BX47-CG46,IF(A47&lt;'Données projet'!$A$114,$BV$205^A47,IF(A47='Données projet'!$A$114,'Données projet'!$B$114,BY46+BX47-CG46)))</f>
        <v>232.37999999999988</v>
      </c>
      <c r="BZ47" s="14">
        <f>BY47*VLOOKUP('Données projet'!$B$12,Paramètres!$A$1:$I$89,3,0)*VLOOKUP('Données projet'!$B$12,Paramètres!$A$1:$I$89,5,0)</f>
        <v>184.88152799999992</v>
      </c>
      <c r="CA47" s="14">
        <f t="shared" si="39"/>
        <v>46.406539086581006</v>
      </c>
      <c r="CB47" s="22">
        <f t="shared" si="10"/>
        <v>402.82671684246179</v>
      </c>
      <c r="CC47" s="62">
        <f t="shared" si="11"/>
        <v>664.32790172939826</v>
      </c>
      <c r="CD47" s="62">
        <f ca="1">AVERAGE(OFFSET($CC$3,0,0,'Données projet'!$E$12+1,1))-AVERAGE(OFFSET($H$3,0,0,'Données projet'!$E$12+1,1))</f>
        <v>388.52230330563884</v>
      </c>
      <c r="CE47" s="62">
        <f t="shared" si="40"/>
        <v>418.94833960687333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9.8199999999999932</v>
      </c>
      <c r="CT47" s="13">
        <f>IF('Données projet'!$A$140&gt;35,CT46+CS47-DB46,IF(A47&lt;'Données projet'!$A$140,$CQ$205^A47,IF(A47='Données projet'!$A$140,'Données projet'!$B$140,CT46+CS47-DB46)))</f>
        <v>232.37999999999988</v>
      </c>
      <c r="CU47" s="18">
        <f>CT47*VLOOKUP('Données projet'!$B$13,Paramètres!$A$1:$I$89,3,0)*VLOOKUP('Données projet'!$B$13,Paramètres!$A$1:$I$89,5,0)</f>
        <v>170.3810159999999</v>
      </c>
      <c r="CV47" s="14">
        <f t="shared" si="41"/>
        <v>43.17534737258952</v>
      </c>
      <c r="CW47" s="22">
        <f t="shared" si="13"/>
        <v>371.94399954059327</v>
      </c>
      <c r="CX47" s="62">
        <f t="shared" si="14"/>
        <v>633.44518442752974</v>
      </c>
      <c r="CY47" s="62">
        <f ca="1">AVERAGE(OFFSET($CX$3,0,0,'Données projet'!$E$13+1,1))-AVERAGE(OFFSET($H$3,0,0,'Données projet'!$E$13+1,1))</f>
        <v>362.38131866207266</v>
      </c>
      <c r="CZ47" s="62">
        <f t="shared" si="42"/>
        <v>390.74498763200336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6.4</v>
      </c>
      <c r="DO47" s="13">
        <f>IF('Données projet'!$A$166&gt;35,DO46+DN47-DW46,IF(A47&lt;'Données projet'!$A$166,$DL$205^A47,IF(A47='Données projet'!$A$166,'Données projet'!$B$166,DO46+DN47-DW46)))</f>
        <v>155.60000000000002</v>
      </c>
      <c r="DP47" s="18">
        <f>DO47*VLOOKUP('Données projet'!$B$14,Paramètres!$A$1:$I$89,3,0)*VLOOKUP('Données projet'!$B$14,Paramètres!$A$1:$I$89,5,0)</f>
        <v>135.93216000000004</v>
      </c>
      <c r="DQ47" s="14">
        <f t="shared" si="43"/>
        <v>35.36352729450968</v>
      </c>
      <c r="DR47" s="22">
        <f t="shared" si="16"/>
        <v>298.33998870460442</v>
      </c>
      <c r="DS47" s="62">
        <f t="shared" si="17"/>
        <v>559.84117359154084</v>
      </c>
      <c r="DT47" s="62">
        <f ca="1">AVERAGE(OFFSET($DS$3,0,0,'Données projet'!$E$14+1,1))-AVERAGE(OFFSET($H$3,0,0,'Données projet'!$E$14+1,1))</f>
        <v>334.4692012109935</v>
      </c>
      <c r="DU47" s="62">
        <f t="shared" si="44"/>
        <v>316.360405424036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18.714285714285715</v>
      </c>
      <c r="EJ47" s="13">
        <f>IF('Données projet'!$A$192&gt;35,EJ46+EI47-ER46,IF(A47&lt;'Données projet'!$A$192,$EG$205^A47,IF(A47='Données projet'!$A$192,'Données projet'!$B$192,EJ46+EI47-ER46)))</f>
        <v>379.42857142857122</v>
      </c>
      <c r="EK47" s="18">
        <f>EJ47*VLOOKUP('Données projet'!$B$15,Paramètres!$A$1:$I$89,3,0)*VLOOKUP('Données projet'!$B$15,Paramètres!$A$1:$I$89,5,0)</f>
        <v>212.10057142857133</v>
      </c>
      <c r="EL47" s="14">
        <f t="shared" si="45"/>
        <v>52.394347167709434</v>
      </c>
      <c r="EM47" s="22">
        <f t="shared" si="19"/>
        <v>460.66198322185556</v>
      </c>
      <c r="EN47" s="62">
        <f t="shared" si="20"/>
        <v>722.16316810879198</v>
      </c>
      <c r="EO47" s="62">
        <f ca="1">AVERAGE(OFFSET($EN$3,0,0,'Données projet'!$E$15+1,1))-AVERAGE(OFFSET($H$3,0,0,'Données projet'!$E$15+1,1))</f>
        <v>390.09289316045653</v>
      </c>
      <c r="EP47" s="62">
        <f t="shared" si="46"/>
        <v>364.34913542817617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5.0053163020971478</v>
      </c>
      <c r="EX47" s="23">
        <f>EXP(-LN(2)/2)*EX46+(1-EXP(-LN(2)/2))/(LN(2)/2)*ER47*EU47*VLOOKUP('Données projet'!$B$15,Paramètres!$A$1:$I$89,3,0)*0.475*44/12</f>
        <v>7.0175343030233678E-2</v>
      </c>
      <c r="EY47" s="24">
        <f t="shared" si="21"/>
        <v>5.0754916451273813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17</v>
      </c>
      <c r="FE47" s="13">
        <f>IF('Données projet'!$A$218&gt;35,FE46+FD47-FM46,IF(A47&lt;'Données projet'!$A$218,$FB$205^A47,IF(A47='Données projet'!$A$218,'Données projet'!$B$218,FE46+FD47-FM46)))</f>
        <v>266</v>
      </c>
      <c r="FF47" s="18">
        <f>FE47*VLOOKUP('Données projet'!$B$16,Paramètres!$A$1:$I$89,3,0)*VLOOKUP('Données projet'!$B$16,Paramètres!$A$1:$I$89,5,0)</f>
        <v>124.48799999999999</v>
      </c>
      <c r="FG47" s="14">
        <f t="shared" si="47"/>
        <v>32.719504245667267</v>
      </c>
      <c r="FH47" s="22">
        <f t="shared" si="22"/>
        <v>273.80306989453715</v>
      </c>
      <c r="FI47" s="62">
        <f t="shared" si="23"/>
        <v>535.30425478147356</v>
      </c>
      <c r="FJ47" s="62">
        <f ca="1">AVERAGE(OFFSET($FI$3,0,0,'Données projet'!$E$16+1,1))-AVERAGE(OFFSET($H$3,0,0,'Données projet'!$E$16+1,1))</f>
        <v>344.55118007058775</v>
      </c>
      <c r="FK47" s="62">
        <f t="shared" si="48"/>
        <v>144.16931602355001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10.666666666666666</v>
      </c>
      <c r="FZ47" s="13">
        <f>IF('Données projet'!$A$244&gt;35,FZ46+FY47-GH46,IF(A47&lt;'Données projet'!$A$244,$FW$205^A47,IF(A47='Données projet'!$A$244,'Données projet'!$B$244,FZ46+FY47-GH46)))</f>
        <v>209.33333333333334</v>
      </c>
      <c r="GA47" s="18">
        <f>FZ47*VLOOKUP('Données projet'!$B$17,Paramètres!$A$1:$I$89,3,0)*VLOOKUP('Données projet'!$B$17,Paramètres!$A$1:$I$89,5,0)</f>
        <v>130.62400000000002</v>
      </c>
      <c r="GB47" s="14">
        <f t="shared" si="49"/>
        <v>34.140507202645395</v>
      </c>
      <c r="GC47" s="22">
        <f t="shared" si="25"/>
        <v>286.96485004460743</v>
      </c>
      <c r="GD47" s="62">
        <f t="shared" si="26"/>
        <v>548.46603493154385</v>
      </c>
      <c r="GE47" s="62">
        <f ca="1">AVERAGE(OFFSET($GD$3,0,0,'Données projet'!$E$17+1,1))-AVERAGE(OFFSET($H$3,0,0,'Données projet'!$E$17+1,1))</f>
        <v>252.60122125520482</v>
      </c>
      <c r="GF47" s="62">
        <f t="shared" si="50"/>
        <v>357.56833754121317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6.9834423597252187</v>
      </c>
      <c r="GN47" s="23">
        <f>EXP(-LN(2)/2)*GN46+(1-EXP(-LN(2)/2))/(LN(2)/2)*GH47*GK47*VLOOKUP('Données projet'!$B$17,Paramètres!$A$1:$I$89,3,0)*0.475*44/12</f>
        <v>0.12905328032036562</v>
      </c>
      <c r="GO47" s="23">
        <f t="shared" si="27"/>
        <v>7.1124956400455845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7.6</v>
      </c>
      <c r="GU47" s="13">
        <f>IF('Données projet'!$A$270&gt;35,GU46+GT47-HC46,IF(A47&lt;'Données projet'!$A$270,$GR$205^A47,IF(A47='Données projet'!$A$270,'Données projet'!$B$270,GU46+GT47-HC46)))</f>
        <v>182.4</v>
      </c>
      <c r="GV47" s="18">
        <f>GU47*VLOOKUP('Données projet'!$B$18,Paramètres!$A$1:$I$89,3,0)*VLOOKUP('Données projet'!$B$18,Paramètres!$A$1:$I$89,5,0)</f>
        <v>147.96288000000001</v>
      </c>
      <c r="GW47" s="14">
        <f t="shared" si="51"/>
        <v>38.115275017059226</v>
      </c>
      <c r="GX47" s="22">
        <f t="shared" si="28"/>
        <v>324.0861199880448</v>
      </c>
      <c r="GY47" s="62">
        <f t="shared" si="29"/>
        <v>585.58730487498121</v>
      </c>
      <c r="GZ47" s="62">
        <f ca="1">AVERAGE(OFFSET($GY$3,0,0,'Données projet'!$E$18+1,1))-AVERAGE(OFFSET($H$3,0,0,'Données projet'!$E$18+1,1))</f>
        <v>268.57152522489537</v>
      </c>
      <c r="HA47" s="62">
        <f t="shared" si="52"/>
        <v>311.80303557283207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3.75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13.75</v>
      </c>
      <c r="H48" s="70">
        <f t="shared" si="1"/>
        <v>201.66666666666666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projet'!$B$9,Paramètres!$A$1:$I$89,3,0)*VLOOKUP('Données projet'!$B$9,Paramètres!$A$1:$I$89,5,0)</f>
        <v>161.95920000000001</v>
      </c>
      <c r="P48" s="14">
        <f t="shared" si="33"/>
        <v>41.284104935125683</v>
      </c>
      <c r="Q48" s="22">
        <f t="shared" si="53"/>
        <v>353.98208942867723</v>
      </c>
      <c r="R48" s="62">
        <f t="shared" si="0"/>
        <v>616.03549092513617</v>
      </c>
      <c r="S48" s="62">
        <f ca="1">AVERAGE(OFFSET($R$3,0,0,'Données projet'!$E$9+1,1))-AVERAGE(OFFSET($H$3,0,0,'Données projet'!$E$9+1,1))</f>
        <v>461.02780119093666</v>
      </c>
      <c r="T48" s="62">
        <f t="shared" si="34"/>
        <v>245.70016468438834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179.00000000000003</v>
      </c>
      <c r="AJ48" s="14">
        <f>AI48*VLOOKUP('Données projet'!$B$10,Paramètres!$A$1:$I$89,3,0)*VLOOKUP('Données projet'!$B$10,Paramètres!$A$1:$I$89,5,0)</f>
        <v>150.78960000000004</v>
      </c>
      <c r="AK48" s="14">
        <f t="shared" si="35"/>
        <v>38.757970187689722</v>
      </c>
      <c r="AL48" s="22">
        <f t="shared" si="4"/>
        <v>330.12868474355963</v>
      </c>
      <c r="AM48" s="62">
        <f t="shared" si="5"/>
        <v>592.18208624001852</v>
      </c>
      <c r="AN48" s="62">
        <f ca="1">AVERAGE(OFFSET($AM$3,0,0,'Données projet'!$E$10+1,1))-AVERAGE(OFFSET($H$3,0,0,'Données projet'!$E$10+1,1))</f>
        <v>434.22500776975596</v>
      </c>
      <c r="AO48" s="62">
        <f t="shared" si="36"/>
        <v>232.59777933076705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152.56410256410257</v>
      </c>
      <c r="BB48" s="13">
        <f>VLOOKUP(A48,'Données projet'!$A$87:$I$107,9,0)</f>
        <v>5.7692307692307683</v>
      </c>
      <c r="BC48" s="13">
        <f t="array" ref="BC48">INDEX(BB:BB,MIN(IF(ISNUMBER(BB48:BB244),ROW(BB48:BB244),"")))</f>
        <v>5.7692307692307683</v>
      </c>
      <c r="BD48" s="13">
        <f>IF('Données projet'!$A$88&gt;35,BD47+BC48-BL47,IF(A48&lt;'Données projet'!$A$88,$BA$205^A48,IF(A48='Données projet'!$A$88,'Données projet'!$B$88,BD47+BC48-BL47)))</f>
        <v>152.56410256410265</v>
      </c>
      <c r="BE48" s="14">
        <f>BD48*VLOOKUP('Données projet'!$B$11,Paramètres!$A$1:$I$89,3,0)*VLOOKUP('Données projet'!$B$11,Paramètres!$A$1:$I$89,5,0)</f>
        <v>145.18000000000009</v>
      </c>
      <c r="BF48" s="14">
        <f t="shared" si="37"/>
        <v>37.481149901429063</v>
      </c>
      <c r="BG48" s="22">
        <f t="shared" si="7"/>
        <v>318.13483607832245</v>
      </c>
      <c r="BH48" s="62">
        <f t="shared" si="8"/>
        <v>580.1882375747814</v>
      </c>
      <c r="BI48" s="62">
        <f ca="1">AVERAGE(OFFSET($BH$3,0,0,'Données projet'!$E$11+1,1))-AVERAGE(OFFSET($H$3,0,0,'Données projet'!$E$11+1,1))</f>
        <v>393.3005580838161</v>
      </c>
      <c r="BJ48" s="62">
        <f t="shared" si="38"/>
        <v>295.86019897822757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242.2</v>
      </c>
      <c r="BW48" s="13">
        <f>VLOOKUP(A48,'Données projet'!$A$113:$I$133,9,0)</f>
        <v>9.8199999999999932</v>
      </c>
      <c r="BX48" s="13">
        <f t="array" ref="BX48">INDEX(BW:BW,MIN(IF(ISNUMBER(BW48:BW244),ROW(BW48:BW244),"")))</f>
        <v>9.8199999999999932</v>
      </c>
      <c r="BY48" s="13">
        <f>IF('Données projet'!$A$114&gt;35,BY47+BX48-CG47,IF(A48&lt;'Données projet'!$A$114,$BV$205^A48,IF(A48='Données projet'!$A$114,'Données projet'!$B$114,BY47+BX48-CG47)))</f>
        <v>242.19999999999987</v>
      </c>
      <c r="BZ48" s="14">
        <f>BY48*VLOOKUP('Données projet'!$B$12,Paramètres!$A$1:$I$89,3,0)*VLOOKUP('Données projet'!$B$12,Paramètres!$A$1:$I$89,5,0)</f>
        <v>192.69431999999989</v>
      </c>
      <c r="CA48" s="14">
        <f t="shared" si="39"/>
        <v>48.13513970479886</v>
      </c>
      <c r="CB48" s="22">
        <f t="shared" si="10"/>
        <v>419.44464231919113</v>
      </c>
      <c r="CC48" s="62">
        <f t="shared" si="11"/>
        <v>681.49804381565002</v>
      </c>
      <c r="CD48" s="62">
        <f ca="1">AVERAGE(OFFSET($CC$3,0,0,'Données projet'!$E$12+1,1))-AVERAGE(OFFSET($H$3,0,0,'Données projet'!$E$12+1,1))</f>
        <v>388.52230330563884</v>
      </c>
      <c r="CE48" s="62">
        <f t="shared" si="40"/>
        <v>418.94833960687333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242.2</v>
      </c>
      <c r="CR48" s="13">
        <f>VLOOKUP(A48,'Données projet'!$A$139:$I$159,9,0)</f>
        <v>9.8199999999999932</v>
      </c>
      <c r="CS48" s="13">
        <f t="array" ref="CS48">INDEX(CR:CR,MIN(IF(ISNUMBER(CR48:CR244),ROW(CR48:CR244),"")))</f>
        <v>9.8199999999999932</v>
      </c>
      <c r="CT48" s="13">
        <f>IF('Données projet'!$A$140&gt;35,CT47+CS48-DB47,IF(A48&lt;'Données projet'!$A$140,$CQ$205^A48,IF(A48='Données projet'!$A$140,'Données projet'!$B$140,CT47+CS48-DB47)))</f>
        <v>242.19999999999987</v>
      </c>
      <c r="CU48" s="18">
        <f>CT48*VLOOKUP('Données projet'!$B$13,Paramètres!$A$1:$I$89,3,0)*VLOOKUP('Données projet'!$B$13,Paramètres!$A$1:$I$89,5,0)</f>
        <v>177.58103999999989</v>
      </c>
      <c r="CV48" s="14">
        <f t="shared" si="41"/>
        <v>44.783589090869476</v>
      </c>
      <c r="CW48" s="22">
        <f t="shared" si="13"/>
        <v>387.28506233326408</v>
      </c>
      <c r="CX48" s="62">
        <f t="shared" si="14"/>
        <v>649.33846382972297</v>
      </c>
      <c r="CY48" s="62">
        <f ca="1">AVERAGE(OFFSET($CX$3,0,0,'Données projet'!$E$13+1,1))-AVERAGE(OFFSET($H$3,0,0,'Données projet'!$E$13+1,1))</f>
        <v>362.38131866207266</v>
      </c>
      <c r="CZ48" s="62">
        <f t="shared" si="42"/>
        <v>390.74498763200336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162</v>
      </c>
      <c r="DM48" s="13">
        <f>VLOOKUP(A48,'Données projet'!$A$165:$I$185,9,0)</f>
        <v>6.4</v>
      </c>
      <c r="DN48" s="13">
        <f t="array" ref="DN48">INDEX(DM:DM,MIN(IF(ISNUMBER(DM48:DM244),ROW(DM48:DM244),"")))</f>
        <v>6.4</v>
      </c>
      <c r="DO48" s="13">
        <f>IF('Données projet'!$A$166&gt;35,DO47+DN48-DW47,IF(A48&lt;'Données projet'!$A$166,$DL$205^A48,IF(A48='Données projet'!$A$166,'Données projet'!$B$166,DO47+DN48-DW47)))</f>
        <v>162.00000000000003</v>
      </c>
      <c r="DP48" s="18">
        <f>DO48*VLOOKUP('Données projet'!$B$14,Paramètres!$A$1:$I$89,3,0)*VLOOKUP('Données projet'!$B$14,Paramètres!$A$1:$I$89,5,0)</f>
        <v>141.52320000000006</v>
      </c>
      <c r="DQ48" s="14">
        <f t="shared" si="43"/>
        <v>36.645729158274158</v>
      </c>
      <c r="DR48" s="22">
        <f t="shared" si="16"/>
        <v>310.31088495066086</v>
      </c>
      <c r="DS48" s="62">
        <f t="shared" si="17"/>
        <v>572.36428644711975</v>
      </c>
      <c r="DT48" s="62">
        <f ca="1">AVERAGE(OFFSET($DS$3,0,0,'Données projet'!$E$14+1,1))-AVERAGE(OFFSET($H$3,0,0,'Données projet'!$E$14+1,1))</f>
        <v>334.4692012109935</v>
      </c>
      <c r="DU48" s="62">
        <f t="shared" si="44"/>
        <v>316.360405424036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18.714285714285715</v>
      </c>
      <c r="EJ48" s="13">
        <f>IF('Données projet'!$A$192&gt;35,EJ47+EI48-ER47,IF(A48&lt;'Données projet'!$A$192,$EG$205^A48,IF(A48='Données projet'!$A$192,'Données projet'!$B$192,EJ47+EI48-ER47)))</f>
        <v>398.14285714285694</v>
      </c>
      <c r="EK48" s="18">
        <f>EJ48*VLOOKUP('Données projet'!$B$15,Paramètres!$A$1:$I$89,3,0)*VLOOKUP('Données projet'!$B$15,Paramètres!$A$1:$I$89,5,0)</f>
        <v>222.56185714285704</v>
      </c>
      <c r="EL48" s="14">
        <f t="shared" si="45"/>
        <v>54.671316974727738</v>
      </c>
      <c r="EM48" s="22">
        <f t="shared" si="19"/>
        <v>482.84777825479341</v>
      </c>
      <c r="EN48" s="62">
        <f t="shared" si="20"/>
        <v>744.90117975125236</v>
      </c>
      <c r="EO48" s="62">
        <f ca="1">AVERAGE(OFFSET($EN$3,0,0,'Données projet'!$E$15+1,1))-AVERAGE(OFFSET($H$3,0,0,'Données projet'!$E$15+1,1))</f>
        <v>390.09289316045653</v>
      </c>
      <c r="EP48" s="62">
        <f t="shared" si="46"/>
        <v>364.34913542817617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4.8684456645981564</v>
      </c>
      <c r="EX48" s="23">
        <f>EXP(-LN(2)/2)*EX47+(1-EXP(-LN(2)/2))/(LN(2)/2)*ER48*EU48*VLOOKUP('Données projet'!$B$15,Paramètres!$A$1:$I$89,3,0)*0.475*44/12</f>
        <v>4.9621460928770358E-2</v>
      </c>
      <c r="EY48" s="24">
        <f t="shared" si="21"/>
        <v>4.9180671255269264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17</v>
      </c>
      <c r="FE48" s="13">
        <f>IF('Données projet'!$A$218&gt;35,FE47+FD48-FM47,IF(A48&lt;'Données projet'!$A$218,$FB$205^A48,IF(A48='Données projet'!$A$218,'Données projet'!$B$218,FE47+FD48-FM47)))</f>
        <v>283</v>
      </c>
      <c r="FF48" s="18">
        <f>FE48*VLOOKUP('Données projet'!$B$16,Paramètres!$A$1:$I$89,3,0)*VLOOKUP('Données projet'!$B$16,Paramètres!$A$1:$I$89,5,0)</f>
        <v>132.44399999999999</v>
      </c>
      <c r="FG48" s="14">
        <f t="shared" si="47"/>
        <v>34.560482342975533</v>
      </c>
      <c r="FH48" s="22">
        <f t="shared" si="22"/>
        <v>290.86614008068233</v>
      </c>
      <c r="FI48" s="62">
        <f t="shared" si="23"/>
        <v>552.91954157714122</v>
      </c>
      <c r="FJ48" s="62">
        <f ca="1">AVERAGE(OFFSET($FI$3,0,0,'Données projet'!$E$16+1,1))-AVERAGE(OFFSET($H$3,0,0,'Données projet'!$E$16+1,1))</f>
        <v>344.55118007058775</v>
      </c>
      <c r="FK48" s="62">
        <f t="shared" si="48"/>
        <v>144.16931602355001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10.666666666666666</v>
      </c>
      <c r="FZ48" s="13">
        <f>IF('Données projet'!$A$244&gt;35,FZ47+FY48-GH47,IF(A48&lt;'Données projet'!$A$244,$FW$205^A48,IF(A48='Données projet'!$A$244,'Données projet'!$B$244,FZ47+FY48-GH47)))</f>
        <v>220</v>
      </c>
      <c r="GA48" s="18">
        <f>FZ48*VLOOKUP('Données projet'!$B$17,Paramètres!$A$1:$I$89,3,0)*VLOOKUP('Données projet'!$B$17,Paramètres!$A$1:$I$89,5,0)</f>
        <v>137.28</v>
      </c>
      <c r="GB48" s="14">
        <f t="shared" si="49"/>
        <v>35.673181961873446</v>
      </c>
      <c r="GC48" s="22">
        <f t="shared" si="25"/>
        <v>301.22679191692959</v>
      </c>
      <c r="GD48" s="62">
        <f t="shared" si="26"/>
        <v>563.28019341338847</v>
      </c>
      <c r="GE48" s="62">
        <f ca="1">AVERAGE(OFFSET($GD$3,0,0,'Données projet'!$E$17+1,1))-AVERAGE(OFFSET($H$3,0,0,'Données projet'!$E$17+1,1))</f>
        <v>252.60122125520482</v>
      </c>
      <c r="GF48" s="62">
        <f t="shared" si="50"/>
        <v>357.56833754121317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6.7924797611552599</v>
      </c>
      <c r="GN48" s="23">
        <f>EXP(-LN(2)/2)*GN47+(1-EXP(-LN(2)/2))/(LN(2)/2)*GH48*GK48*VLOOKUP('Données projet'!$B$17,Paramètres!$A$1:$I$89,3,0)*0.475*44/12</f>
        <v>9.125444964889895E-2</v>
      </c>
      <c r="GO48" s="23">
        <f t="shared" si="27"/>
        <v>6.8837342108041586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</v>
      </c>
      <c r="GS48" s="13">
        <f>VLOOKUP(A48,'Données projet'!$A$269:$I$289,9,0)</f>
        <v>7.6</v>
      </c>
      <c r="GT48" s="13">
        <f t="array" ref="GT48">INDEX(GS:GS,MIN(IF(ISNUMBER(GS48:GS244),ROW(GS48:GS244),"")))</f>
        <v>7.6</v>
      </c>
      <c r="GU48" s="13">
        <f>IF('Données projet'!$A$270&gt;35,GU47+GT48-HC47,IF(A48&lt;'Données projet'!$A$270,$GR$205^A48,IF(A48='Données projet'!$A$270,'Données projet'!$B$270,GU47+GT48-HC47)))</f>
        <v>190</v>
      </c>
      <c r="GV48" s="18">
        <f>GU48*VLOOKUP('Données projet'!$B$18,Paramètres!$A$1:$I$89,3,0)*VLOOKUP('Données projet'!$B$18,Paramètres!$A$1:$I$89,5,0)</f>
        <v>154.12800000000001</v>
      </c>
      <c r="GW48" s="14">
        <f t="shared" si="51"/>
        <v>39.515201075361155</v>
      </c>
      <c r="GX48" s="22">
        <f t="shared" si="28"/>
        <v>337.26190853958735</v>
      </c>
      <c r="GY48" s="62">
        <f t="shared" si="29"/>
        <v>599.31531003604618</v>
      </c>
      <c r="GZ48" s="62">
        <f ca="1">AVERAGE(OFFSET($GY$3,0,0,'Données projet'!$E$18+1,1))-AVERAGE(OFFSET($H$3,0,0,'Données projet'!$E$18+1,1))</f>
        <v>268.57152522489537</v>
      </c>
      <c r="HA48" s="62">
        <f t="shared" si="52"/>
        <v>311.80303557283207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3.75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13.75</v>
      </c>
      <c r="H49" s="70">
        <f t="shared" si="1"/>
        <v>201.66666666666666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551.17505078686668</v>
      </c>
      <c r="S49" s="62">
        <f ca="1">AVERAGE(OFFSET($R$3,0,0,'Données projet'!$E$9+1,1))-AVERAGE(OFFSET($H$3,0,0,'Données projet'!$E$9+1,1))</f>
        <v>461.02780119093666</v>
      </c>
      <c r="T49" s="62">
        <f t="shared" si="34"/>
        <v>245.70016468438834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145.20000000000002</v>
      </c>
      <c r="AJ49" s="14">
        <f>AI49*VLOOKUP('Données projet'!$B$10,Paramètres!$A$1:$I$89,3,0)*VLOOKUP('Données projet'!$B$10,Paramètres!$A$1:$I$89,5,0)</f>
        <v>122.31648000000003</v>
      </c>
      <c r="AK49" s="14">
        <f t="shared" si="35"/>
        <v>32.214677527967339</v>
      </c>
      <c r="AL49" s="22">
        <f t="shared" si="4"/>
        <v>269.14176602787649</v>
      </c>
      <c r="AM49" s="62">
        <f t="shared" si="5"/>
        <v>531.73780441025406</v>
      </c>
      <c r="AN49" s="62">
        <f ca="1">AVERAGE(OFFSET($AM$3,0,0,'Données projet'!$E$10+1,1))-AVERAGE(OFFSET($H$3,0,0,'Données projet'!$E$10+1,1))</f>
        <v>434.22500776975596</v>
      </c>
      <c r="AO49" s="62">
        <f t="shared" si="36"/>
        <v>232.59777933076705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5.5128205128205083</v>
      </c>
      <c r="BD49" s="13">
        <f>IF('Données projet'!$A$88&gt;35,BD48+BC49-BL48,IF(A49&lt;'Données projet'!$A$88,$BA$205^A49,IF(A49='Données projet'!$A$88,'Données projet'!$B$88,BD48+BC49-BL48)))</f>
        <v>158.07692307692315</v>
      </c>
      <c r="BE49" s="14">
        <f>BD49*VLOOKUP('Données projet'!$B$11,Paramètres!$A$1:$I$89,3,0)*VLOOKUP('Données projet'!$B$11,Paramètres!$A$1:$I$89,5,0)</f>
        <v>150.42600000000007</v>
      </c>
      <c r="BF49" s="14">
        <f t="shared" si="37"/>
        <v>38.67537966484668</v>
      </c>
      <c r="BG49" s="22">
        <f t="shared" si="7"/>
        <v>329.35156958294141</v>
      </c>
      <c r="BH49" s="62">
        <f t="shared" si="8"/>
        <v>591.94760796531898</v>
      </c>
      <c r="BI49" s="62">
        <f ca="1">AVERAGE(OFFSET($BH$3,0,0,'Données projet'!$E$11+1,1))-AVERAGE(OFFSET($H$3,0,0,'Données projet'!$E$11+1,1))</f>
        <v>393.3005580838161</v>
      </c>
      <c r="BJ49" s="62">
        <f t="shared" si="38"/>
        <v>295.86019897822757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8.5399999999999974</v>
      </c>
      <c r="BY49" s="13">
        <f>IF('Données projet'!$A$114&gt;35,BY48+BX49-CG48,IF(A49&lt;'Données projet'!$A$114,$BV$205^A49,IF(A49='Données projet'!$A$114,'Données projet'!$B$114,BY48+BX49-CG48)))</f>
        <v>250.73999999999987</v>
      </c>
      <c r="BZ49" s="14">
        <f>BY49*VLOOKUP('Données projet'!$B$12,Paramètres!$A$1:$I$89,3,0)*VLOOKUP('Données projet'!$B$12,Paramètres!$A$1:$I$89,5,0)</f>
        <v>199.48874399999991</v>
      </c>
      <c r="CA49" s="14">
        <f t="shared" si="39"/>
        <v>49.631792398634111</v>
      </c>
      <c r="CB49" s="22">
        <f t="shared" si="10"/>
        <v>433.88493422762093</v>
      </c>
      <c r="CC49" s="62">
        <f t="shared" si="11"/>
        <v>696.4809726099985</v>
      </c>
      <c r="CD49" s="62">
        <f ca="1">AVERAGE(OFFSET($CC$3,0,0,'Données projet'!$E$12+1,1))-AVERAGE(OFFSET($H$3,0,0,'Données projet'!$E$12+1,1))</f>
        <v>388.52230330563884</v>
      </c>
      <c r="CE49" s="62">
        <f t="shared" si="40"/>
        <v>418.94833960687333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8.5399999999999974</v>
      </c>
      <c r="CT49" s="13">
        <f>IF('Données projet'!$A$140&gt;35,CT48+CS49-DB48,IF(A49&lt;'Données projet'!$A$140,$CQ$205^A49,IF(A49='Données projet'!$A$140,'Données projet'!$B$140,CT48+CS49-DB48)))</f>
        <v>250.73999999999987</v>
      </c>
      <c r="CU49" s="18">
        <f>CT49*VLOOKUP('Données projet'!$B$13,Paramètres!$A$1:$I$89,3,0)*VLOOKUP('Données projet'!$B$13,Paramètres!$A$1:$I$89,5,0)</f>
        <v>183.84256799999991</v>
      </c>
      <c r="CV49" s="14">
        <f t="shared" si="41"/>
        <v>46.176032940903148</v>
      </c>
      <c r="CW49" s="22">
        <f t="shared" si="13"/>
        <v>400.61572997207281</v>
      </c>
      <c r="CX49" s="62">
        <f t="shared" si="14"/>
        <v>663.21176835445044</v>
      </c>
      <c r="CY49" s="62">
        <f ca="1">AVERAGE(OFFSET($CX$3,0,0,'Données projet'!$E$13+1,1))-AVERAGE(OFFSET($H$3,0,0,'Données projet'!$E$13+1,1))</f>
        <v>362.38131866207266</v>
      </c>
      <c r="CZ49" s="62">
        <f t="shared" si="42"/>
        <v>390.74498763200336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</v>
      </c>
      <c r="DO49" s="13">
        <f>IF('Données projet'!$A$166&gt;35,DO48+DN49-DW48,IF(A49&lt;'Données projet'!$A$166,$DL$205^A49,IF(A49='Données projet'!$A$166,'Données projet'!$B$166,DO48+DN49-DW48)))</f>
        <v>168.00000000000003</v>
      </c>
      <c r="DP49" s="18">
        <f>DO49*VLOOKUP('Données projet'!$B$14,Paramètres!$A$1:$I$89,3,0)*VLOOKUP('Données projet'!$B$14,Paramètres!$A$1:$I$89,5,0)</f>
        <v>146.76480000000004</v>
      </c>
      <c r="DQ49" s="14">
        <f t="shared" si="43"/>
        <v>37.842444439956665</v>
      </c>
      <c r="DR49" s="22">
        <f t="shared" si="16"/>
        <v>321.52428406625791</v>
      </c>
      <c r="DS49" s="62">
        <f t="shared" si="17"/>
        <v>584.12032244863553</v>
      </c>
      <c r="DT49" s="62">
        <f ca="1">AVERAGE(OFFSET($DS$3,0,0,'Données projet'!$E$14+1,1))-AVERAGE(OFFSET($H$3,0,0,'Données projet'!$E$14+1,1))</f>
        <v>334.4692012109935</v>
      </c>
      <c r="DU49" s="62">
        <f t="shared" si="44"/>
        <v>316.360405424036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18.714285714285715</v>
      </c>
      <c r="EJ49" s="13">
        <f>IF('Données projet'!$A$192&gt;35,EJ48+EI49-ER48,IF(A49&lt;'Données projet'!$A$192,$EG$205^A49,IF(A49='Données projet'!$A$192,'Données projet'!$B$192,EJ48+EI49-ER48)))</f>
        <v>416.85714285714266</v>
      </c>
      <c r="EK49" s="18">
        <f>EJ49*VLOOKUP('Données projet'!$B$15,Paramètres!$A$1:$I$89,3,0)*VLOOKUP('Données projet'!$B$15,Paramètres!$A$1:$I$89,5,0)</f>
        <v>233.02314285714277</v>
      </c>
      <c r="EL49" s="14">
        <f t="shared" si="45"/>
        <v>56.935858075040223</v>
      </c>
      <c r="EM49" s="22">
        <f t="shared" si="19"/>
        <v>505.01192662355203</v>
      </c>
      <c r="EN49" s="62">
        <f t="shared" si="20"/>
        <v>767.6079650059296</v>
      </c>
      <c r="EO49" s="62">
        <f ca="1">AVERAGE(OFFSET($EN$3,0,0,'Données projet'!$E$15+1,1))-AVERAGE(OFFSET($H$3,0,0,'Données projet'!$E$15+1,1))</f>
        <v>390.09289316045653</v>
      </c>
      <c r="EP49" s="62">
        <f t="shared" si="46"/>
        <v>364.34913542817617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4.7353177618792897</v>
      </c>
      <c r="EX49" s="23">
        <f>EXP(-LN(2)/2)*EX48+(1-EXP(-LN(2)/2))/(LN(2)/2)*ER49*EU49*VLOOKUP('Données projet'!$B$15,Paramètres!$A$1:$I$89,3,0)*0.475*44/12</f>
        <v>3.5087671515116839E-2</v>
      </c>
      <c r="EY49" s="24">
        <f t="shared" si="21"/>
        <v>4.7704054333944068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>
        <f>VLOOKUP(A49,'Données projet'!$A$217:$I$237,2,0)</f>
        <v>300</v>
      </c>
      <c r="FC49" s="13">
        <f>VLOOKUP(A49,'Données projet'!$A$217:$I$237,9,0)</f>
        <v>17</v>
      </c>
      <c r="FD49" s="13">
        <f t="array" ref="FD49">INDEX(FC:FC,MIN(IF(ISNUMBER(FC49:FC245),ROW(FC49:FC245),"")))</f>
        <v>17</v>
      </c>
      <c r="FE49" s="13">
        <f>IF('Données projet'!$A$218&gt;35,FE48+FD49-FM48,IF(A49&lt;'Données projet'!$A$218,$FB$205^A49,IF(A49='Données projet'!$A$218,'Données projet'!$B$218,FE48+FD49-FM48)))</f>
        <v>300</v>
      </c>
      <c r="FF49" s="18">
        <f>FE49*VLOOKUP('Données projet'!$B$16,Paramètres!$A$1:$I$89,3,0)*VLOOKUP('Données projet'!$B$16,Paramètres!$A$1:$I$89,5,0)</f>
        <v>140.4</v>
      </c>
      <c r="FG49" s="14">
        <f t="shared" si="47"/>
        <v>36.388624656711201</v>
      </c>
      <c r="FH49" s="22">
        <f t="shared" si="22"/>
        <v>307.90685461043864</v>
      </c>
      <c r="FI49" s="62">
        <f t="shared" si="23"/>
        <v>570.50289299281621</v>
      </c>
      <c r="FJ49" s="62">
        <f ca="1">AVERAGE(OFFSET($FI$3,0,0,'Données projet'!$E$16+1,1))-AVERAGE(OFFSET($H$3,0,0,'Données projet'!$E$16+1,1))</f>
        <v>344.55118007058775</v>
      </c>
      <c r="FK49" s="62">
        <f t="shared" si="48"/>
        <v>144.16931602355001</v>
      </c>
      <c r="FL49" s="16">
        <f>IF(ISNA(VLOOKUP(A49,'Données projet'!$A$217:$I$237,3,0)),0,VLOOKUP(A49,'Données projet'!$A$217:$I$237,3,0))</f>
        <v>1</v>
      </c>
      <c r="FM49" s="16">
        <f>IF(ISNA(VLOOKUP(A49,'Données projet'!$A$217:$I$237,4,0)),0,VLOOKUP(A49,'Données projet'!$A$217:$I$237,4,0))</f>
        <v>102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10.666666666666666</v>
      </c>
      <c r="FZ49" s="13">
        <f>IF('Données projet'!$A$244&gt;35,FZ48+FY49-GH48,IF(A49&lt;'Données projet'!$A$244,$FW$205^A49,IF(A49='Données projet'!$A$244,'Données projet'!$B$244,FZ48+FY49-GH48)))</f>
        <v>230.66666666666666</v>
      </c>
      <c r="GA49" s="18">
        <f>FZ49*VLOOKUP('Données projet'!$B$17,Paramètres!$A$1:$I$89,3,0)*VLOOKUP('Données projet'!$B$17,Paramètres!$A$1:$I$89,5,0)</f>
        <v>143.93599999999998</v>
      </c>
      <c r="GB49" s="14">
        <f t="shared" si="49"/>
        <v>37.197227655019397</v>
      </c>
      <c r="GC49" s="22">
        <f t="shared" si="25"/>
        <v>315.47370483249205</v>
      </c>
      <c r="GD49" s="62">
        <f t="shared" si="26"/>
        <v>578.06974321486962</v>
      </c>
      <c r="GE49" s="62">
        <f ca="1">AVERAGE(OFFSET($GD$3,0,0,'Données projet'!$E$17+1,1))-AVERAGE(OFFSET($H$3,0,0,'Données projet'!$E$17+1,1))</f>
        <v>252.60122125520482</v>
      </c>
      <c r="GF49" s="62">
        <f t="shared" si="50"/>
        <v>357.56833754121317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6.606739044885483</v>
      </c>
      <c r="GN49" s="23">
        <f>EXP(-LN(2)/2)*GN48+(1-EXP(-LN(2)/2))/(LN(2)/2)*GH49*GK49*VLOOKUP('Données projet'!$B$17,Paramètres!$A$1:$I$89,3,0)*0.475*44/12</f>
        <v>6.4526640160182808E-2</v>
      </c>
      <c r="GO49" s="23">
        <f t="shared" si="27"/>
        <v>6.6712656850456655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7.6</v>
      </c>
      <c r="GU49" s="13">
        <f>IF('Données projet'!$A$270&gt;35,GU48+GT49-HC48,IF(A49&lt;'Données projet'!$A$270,$GR$205^A49,IF(A49='Données projet'!$A$270,'Données projet'!$B$270,GU48+GT49-HC48)))</f>
        <v>197.6</v>
      </c>
      <c r="GV49" s="18">
        <f>GU49*VLOOKUP('Données projet'!$B$18,Paramètres!$A$1:$I$89,3,0)*VLOOKUP('Données projet'!$B$18,Paramètres!$A$1:$I$89,5,0)</f>
        <v>160.29311999999999</v>
      </c>
      <c r="GW49" s="14">
        <f t="shared" si="51"/>
        <v>40.908622396455648</v>
      </c>
      <c r="GX49" s="22">
        <f t="shared" si="28"/>
        <v>350.42636800716019</v>
      </c>
      <c r="GY49" s="62">
        <f t="shared" si="29"/>
        <v>613.02240638953776</v>
      </c>
      <c r="GZ49" s="62">
        <f ca="1">AVERAGE(OFFSET($GY$3,0,0,'Données projet'!$E$18+1,1))-AVERAGE(OFFSET($H$3,0,0,'Données projet'!$E$18+1,1))</f>
        <v>268.57152522489537</v>
      </c>
      <c r="HA49" s="62">
        <f t="shared" si="52"/>
        <v>311.80303557283207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3.75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13.75</v>
      </c>
      <c r="H50" s="70">
        <f t="shared" si="1"/>
        <v>201.66666666666666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567.60297127521403</v>
      </c>
      <c r="S50" s="62">
        <f ca="1">AVERAGE(OFFSET($R$3,0,0,'Données projet'!$E$9+1,1))-AVERAGE(OFFSET($H$3,0,0,'Données projet'!$E$9+1,1))</f>
        <v>461.02780119093666</v>
      </c>
      <c r="T50" s="62">
        <f t="shared" si="34"/>
        <v>245.70016468438834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</v>
      </c>
      <c r="AJ50" s="14">
        <f>AI50*VLOOKUP('Données projet'!$B$10,Paramètres!$A$1:$I$89,3,0)*VLOOKUP('Données projet'!$B$10,Paramètres!$A$1:$I$89,5,0)</f>
        <v>129.22416000000001</v>
      </c>
      <c r="AK50" s="14">
        <f t="shared" si="35"/>
        <v>33.817023080295762</v>
      </c>
      <c r="AL50" s="22">
        <f t="shared" si="4"/>
        <v>283.96339386484846</v>
      </c>
      <c r="AM50" s="62">
        <f t="shared" si="5"/>
        <v>547.09265559632831</v>
      </c>
      <c r="AN50" s="62">
        <f ca="1">AVERAGE(OFFSET($AM$3,0,0,'Données projet'!$E$10+1,1))-AVERAGE(OFFSET($H$3,0,0,'Données projet'!$E$10+1,1))</f>
        <v>434.22500776975596</v>
      </c>
      <c r="AO50" s="62">
        <f t="shared" si="36"/>
        <v>232.59777933076705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5.5128205128205083</v>
      </c>
      <c r="BD50" s="13">
        <f>IF('Données projet'!$A$88&gt;35,BD49+BC50-BL49,IF(A50&lt;'Données projet'!$A$88,$BA$205^A50,IF(A50='Données projet'!$A$88,'Données projet'!$B$88,BD49+BC50-BL49)))</f>
        <v>163.58974358974365</v>
      </c>
      <c r="BE50" s="14">
        <f>BD50*VLOOKUP('Données projet'!$B$11,Paramètres!$A$1:$I$89,3,0)*VLOOKUP('Données projet'!$B$11,Paramètres!$A$1:$I$89,5,0)</f>
        <v>155.67200000000005</v>
      </c>
      <c r="BF50" s="14">
        <f t="shared" si="37"/>
        <v>39.86477040096252</v>
      </c>
      <c r="BG50" s="22">
        <f t="shared" si="7"/>
        <v>340.55987511500985</v>
      </c>
      <c r="BH50" s="62">
        <f t="shared" si="8"/>
        <v>603.68913684648965</v>
      </c>
      <c r="BI50" s="62">
        <f ca="1">AVERAGE(OFFSET($BH$3,0,0,'Données projet'!$E$11+1,1))-AVERAGE(OFFSET($H$3,0,0,'Données projet'!$E$11+1,1))</f>
        <v>393.3005580838161</v>
      </c>
      <c r="BJ50" s="62">
        <f t="shared" si="38"/>
        <v>295.86019897822757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8.5399999999999974</v>
      </c>
      <c r="BY50" s="13">
        <f>IF('Données projet'!$A$114&gt;35,BY49+BX50-CG49,IF(A50&lt;'Données projet'!$A$114,$BV$205^A50,IF(A50='Données projet'!$A$114,'Données projet'!$B$114,BY49+BX50-CG49)))</f>
        <v>259.27999999999986</v>
      </c>
      <c r="BZ50" s="14">
        <f>BY50*VLOOKUP('Données projet'!$B$12,Paramètres!$A$1:$I$89,3,0)*VLOOKUP('Données projet'!$B$12,Paramètres!$A$1:$I$89,5,0)</f>
        <v>206.2831679999999</v>
      </c>
      <c r="CA50" s="14">
        <f t="shared" si="39"/>
        <v>51.122522165494573</v>
      </c>
      <c r="CB50" s="22">
        <f t="shared" si="10"/>
        <v>448.31491037156951</v>
      </c>
      <c r="CC50" s="62">
        <f t="shared" si="11"/>
        <v>711.44417210304937</v>
      </c>
      <c r="CD50" s="62">
        <f ca="1">AVERAGE(OFFSET($CC$3,0,0,'Données projet'!$E$12+1,1))-AVERAGE(OFFSET($H$3,0,0,'Données projet'!$E$12+1,1))</f>
        <v>388.52230330563884</v>
      </c>
      <c r="CE50" s="62">
        <f t="shared" si="40"/>
        <v>418.94833960687333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8.5399999999999974</v>
      </c>
      <c r="CT50" s="13">
        <f>IF('Données projet'!$A$140&gt;35,CT49+CS50-DB49,IF(A50&lt;'Données projet'!$A$140,$CQ$205^A50,IF(A50='Données projet'!$A$140,'Données projet'!$B$140,CT49+CS50-DB49)))</f>
        <v>259.27999999999986</v>
      </c>
      <c r="CU50" s="18">
        <f>CT50*VLOOKUP('Données projet'!$B$13,Paramètres!$A$1:$I$89,3,0)*VLOOKUP('Données projet'!$B$13,Paramètres!$A$1:$I$89,5,0)</f>
        <v>190.10409599999988</v>
      </c>
      <c r="CV50" s="14">
        <f t="shared" si="41"/>
        <v>47.562966265165443</v>
      </c>
      <c r="CW50" s="22">
        <f t="shared" si="13"/>
        <v>413.9368001118296</v>
      </c>
      <c r="CX50" s="62">
        <f t="shared" si="14"/>
        <v>677.0660618433094</v>
      </c>
      <c r="CY50" s="62">
        <f ca="1">AVERAGE(OFFSET($CX$3,0,0,'Données projet'!$E$13+1,1))-AVERAGE(OFFSET($H$3,0,0,'Données projet'!$E$13+1,1))</f>
        <v>362.38131866207266</v>
      </c>
      <c r="CZ50" s="62">
        <f t="shared" si="42"/>
        <v>390.74498763200336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</v>
      </c>
      <c r="DO50" s="13">
        <f>IF('Données projet'!$A$166&gt;35,DO49+DN50-DW49,IF(A50&lt;'Données projet'!$A$166,$DL$205^A50,IF(A50='Données projet'!$A$166,'Données projet'!$B$166,DO49+DN50-DW49)))</f>
        <v>174.00000000000003</v>
      </c>
      <c r="DP50" s="18">
        <f>DO50*VLOOKUP('Données projet'!$B$14,Paramètres!$A$1:$I$89,3,0)*VLOOKUP('Données projet'!$B$14,Paramètres!$A$1:$I$89,5,0)</f>
        <v>152.00640000000004</v>
      </c>
      <c r="DQ50" s="14">
        <f t="shared" si="43"/>
        <v>39.034194016561486</v>
      </c>
      <c r="DR50" s="22">
        <f t="shared" si="16"/>
        <v>332.72903457884462</v>
      </c>
      <c r="DS50" s="62">
        <f t="shared" si="17"/>
        <v>595.85829631032448</v>
      </c>
      <c r="DT50" s="62">
        <f ca="1">AVERAGE(OFFSET($DS$3,0,0,'Données projet'!$E$14+1,1))-AVERAGE(OFFSET($H$3,0,0,'Données projet'!$E$14+1,1))</f>
        <v>334.4692012109935</v>
      </c>
      <c r="DU50" s="62">
        <f t="shared" si="44"/>
        <v>316.360405424036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18.714285714285715</v>
      </c>
      <c r="EJ50" s="13">
        <f>IF('Données projet'!$A$192&gt;35,EJ49+EI50-ER49,IF(A50&lt;'Données projet'!$A$192,$EG$205^A50,IF(A50='Données projet'!$A$192,'Données projet'!$B$192,EJ49+EI50-ER49)))</f>
        <v>435.57142857142838</v>
      </c>
      <c r="EK50" s="18">
        <f>EJ50*VLOOKUP('Données projet'!$B$15,Paramètres!$A$1:$I$89,3,0)*VLOOKUP('Données projet'!$B$15,Paramètres!$A$1:$I$89,5,0)</f>
        <v>243.48442857142848</v>
      </c>
      <c r="EL50" s="14">
        <f t="shared" si="45"/>
        <v>59.188592189821975</v>
      </c>
      <c r="EM50" s="22">
        <f t="shared" si="19"/>
        <v>527.15551115917788</v>
      </c>
      <c r="EN50" s="62">
        <f t="shared" si="20"/>
        <v>790.28477289065768</v>
      </c>
      <c r="EO50" s="62">
        <f ca="1">AVERAGE(OFFSET($EN$3,0,0,'Données projet'!$E$15+1,1))-AVERAGE(OFFSET($H$3,0,0,'Données projet'!$E$15+1,1))</f>
        <v>390.09289316045653</v>
      </c>
      <c r="EP50" s="62">
        <f t="shared" si="46"/>
        <v>364.34913542817617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4.605830248661162</v>
      </c>
      <c r="EX50" s="23">
        <f>EXP(-LN(2)/2)*EX49+(1-EXP(-LN(2)/2))/(LN(2)/2)*ER50*EU50*VLOOKUP('Données projet'!$B$15,Paramètres!$A$1:$I$89,3,0)*0.475*44/12</f>
        <v>2.4810730464385179E-2</v>
      </c>
      <c r="EY50" s="24">
        <f t="shared" si="21"/>
        <v>4.6306409791255474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18.100000000000001</v>
      </c>
      <c r="FE50" s="13">
        <f>IF('Données projet'!$A$218&gt;35,FE49+FD50-FM49,IF(A50&lt;'Données projet'!$A$218,$FB$205^A50,IF(A50='Données projet'!$A$218,'Données projet'!$B$218,FE49+FD50-FM49)))</f>
        <v>216.10000000000002</v>
      </c>
      <c r="FF50" s="18">
        <f>FE50*VLOOKUP('Données projet'!$B$16,Paramètres!$A$1:$I$89,3,0)*VLOOKUP('Données projet'!$B$16,Paramètres!$A$1:$I$89,5,0)</f>
        <v>101.13480000000001</v>
      </c>
      <c r="FG50" s="14">
        <f t="shared" si="47"/>
        <v>27.232170195444869</v>
      </c>
      <c r="FH50" s="22">
        <f t="shared" si="22"/>
        <v>223.57247309039982</v>
      </c>
      <c r="FI50" s="62">
        <f t="shared" si="23"/>
        <v>486.70173482187965</v>
      </c>
      <c r="FJ50" s="62">
        <f ca="1">AVERAGE(OFFSET($FI$3,0,0,'Données projet'!$E$16+1,1))-AVERAGE(OFFSET($H$3,0,0,'Données projet'!$E$16+1,1))</f>
        <v>344.55118007058775</v>
      </c>
      <c r="FK50" s="62">
        <f t="shared" si="48"/>
        <v>144.16931602355001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10.666666666666666</v>
      </c>
      <c r="FZ50" s="13">
        <f>IF('Données projet'!$A$244&gt;35,FZ49+FY50-GH49,IF(A50&lt;'Données projet'!$A$244,$FW$205^A50,IF(A50='Données projet'!$A$244,'Données projet'!$B$244,FZ49+FY50-GH49)))</f>
        <v>241.33333333333331</v>
      </c>
      <c r="GA50" s="18">
        <f>FZ50*VLOOKUP('Données projet'!$B$17,Paramètres!$A$1:$I$89,3,0)*VLOOKUP('Données projet'!$B$17,Paramètres!$A$1:$I$89,5,0)</f>
        <v>150.59199999999998</v>
      </c>
      <c r="GB50" s="14">
        <f t="shared" si="49"/>
        <v>38.713088888505631</v>
      </c>
      <c r="GC50" s="22">
        <f t="shared" si="25"/>
        <v>329.70636314748066</v>
      </c>
      <c r="GD50" s="62">
        <f t="shared" si="26"/>
        <v>592.83562487896052</v>
      </c>
      <c r="GE50" s="62">
        <f ca="1">AVERAGE(OFFSET($GD$3,0,0,'Données projet'!$E$17+1,1))-AVERAGE(OFFSET($H$3,0,0,'Données projet'!$E$17+1,1))</f>
        <v>252.60122125520482</v>
      </c>
      <c r="GF50" s="62">
        <f t="shared" si="50"/>
        <v>357.56833754121317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6.4260774182697826</v>
      </c>
      <c r="GN50" s="23">
        <f>EXP(-LN(2)/2)*GN49+(1-EXP(-LN(2)/2))/(LN(2)/2)*GH50*GK50*VLOOKUP('Données projet'!$B$17,Paramètres!$A$1:$I$89,3,0)*0.475*44/12</f>
        <v>4.5627224824449475E-2</v>
      </c>
      <c r="GO50" s="23">
        <f t="shared" si="27"/>
        <v>6.471704643094232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7.6</v>
      </c>
      <c r="GU50" s="13">
        <f>IF('Données projet'!$A$270&gt;35,GU49+GT50-HC49,IF(A50&lt;'Données projet'!$A$270,$GR$205^A50,IF(A50='Données projet'!$A$270,'Données projet'!$B$270,GU49+GT50-HC49)))</f>
        <v>205.2</v>
      </c>
      <c r="GV50" s="18">
        <f>GU50*VLOOKUP('Données projet'!$B$18,Paramètres!$A$1:$I$89,3,0)*VLOOKUP('Données projet'!$B$18,Paramètres!$A$1:$I$89,5,0)</f>
        <v>166.45823999999999</v>
      </c>
      <c r="GW50" s="14">
        <f t="shared" si="51"/>
        <v>42.295817799452642</v>
      </c>
      <c r="GX50" s="22">
        <f t="shared" si="28"/>
        <v>363.5799840007133</v>
      </c>
      <c r="GY50" s="62">
        <f t="shared" si="29"/>
        <v>626.70924573219315</v>
      </c>
      <c r="GZ50" s="62">
        <f ca="1">AVERAGE(OFFSET($GY$3,0,0,'Données projet'!$E$18+1,1))-AVERAGE(OFFSET($H$3,0,0,'Données projet'!$E$18+1,1))</f>
        <v>268.57152522489537</v>
      </c>
      <c r="HA50" s="62">
        <f t="shared" si="52"/>
        <v>311.80303557283207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3.75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13.75</v>
      </c>
      <c r="H51" s="70">
        <f t="shared" si="1"/>
        <v>201.66666666666666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projet'!$B$9,Paramètres!$A$1:$I$89,3,0)*VLOOKUP('Données projet'!$B$9,Paramètres!$A$1:$I$89,5,0)</f>
        <v>146.21567999999999</v>
      </c>
      <c r="P51" s="14">
        <f t="shared" si="33"/>
        <v>37.717310552893402</v>
      </c>
      <c r="Q51" s="22">
        <f t="shared" si="53"/>
        <v>320.34995854628932</v>
      </c>
      <c r="R51" s="62">
        <f t="shared" si="0"/>
        <v>584.0031933938734</v>
      </c>
      <c r="S51" s="62">
        <f ca="1">AVERAGE(OFFSET($R$3,0,0,'Données projet'!$E$9+1,1))-AVERAGE(OFFSET($H$3,0,0,'Données projet'!$E$9+1,1))</f>
        <v>461.02780119093666</v>
      </c>
      <c r="T51" s="62">
        <f t="shared" si="34"/>
        <v>245.70016468438834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</v>
      </c>
      <c r="AJ51" s="14">
        <f>AI51*VLOOKUP('Données projet'!$B$10,Paramètres!$A$1:$I$89,3,0)*VLOOKUP('Données projet'!$B$10,Paramètres!$A$1:$I$89,5,0)</f>
        <v>136.13184000000001</v>
      </c>
      <c r="AK51" s="14">
        <f t="shared" si="35"/>
        <v>35.409424529514162</v>
      </c>
      <c r="AL51" s="22">
        <f t="shared" si="4"/>
        <v>298.76770238890379</v>
      </c>
      <c r="AM51" s="62">
        <f t="shared" si="5"/>
        <v>562.42093723648782</v>
      </c>
      <c r="AN51" s="62">
        <f ca="1">AVERAGE(OFFSET($AM$3,0,0,'Données projet'!$E$10+1,1))-AVERAGE(OFFSET($H$3,0,0,'Données projet'!$E$10+1,1))</f>
        <v>434.22500776975596</v>
      </c>
      <c r="AO51" s="62">
        <f t="shared" si="36"/>
        <v>232.59777933076705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5.5128205128205083</v>
      </c>
      <c r="BD51" s="13">
        <f>IF('Données projet'!$A$88&gt;35,BD50+BC51-BL50,IF(A51&lt;'Données projet'!$A$88,$BA$205^A51,IF(A51='Données projet'!$A$88,'Données projet'!$B$88,BD50+BC51-BL50)))</f>
        <v>169.10256410256414</v>
      </c>
      <c r="BE51" s="14">
        <f>BD51*VLOOKUP('Données projet'!$B$11,Paramètres!$A$1:$I$89,3,0)*VLOOKUP('Données projet'!$B$11,Paramètres!$A$1:$I$89,5,0)</f>
        <v>160.91800000000003</v>
      </c>
      <c r="BF51" s="14">
        <f t="shared" si="37"/>
        <v>41.049503875172206</v>
      </c>
      <c r="BG51" s="22">
        <f t="shared" si="7"/>
        <v>351.76006924925832</v>
      </c>
      <c r="BH51" s="62">
        <f t="shared" si="8"/>
        <v>615.41330409684247</v>
      </c>
      <c r="BI51" s="62">
        <f ca="1">AVERAGE(OFFSET($BH$3,0,0,'Données projet'!$E$11+1,1))-AVERAGE(OFFSET($H$3,0,0,'Données projet'!$E$11+1,1))</f>
        <v>393.3005580838161</v>
      </c>
      <c r="BJ51" s="62">
        <f t="shared" si="38"/>
        <v>295.86019897822757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8.5399999999999974</v>
      </c>
      <c r="BY51" s="13">
        <f>IF('Données projet'!$A$114&gt;35,BY50+BX51-CG50,IF(A51&lt;'Données projet'!$A$114,$BV$205^A51,IF(A51='Données projet'!$A$114,'Données projet'!$B$114,BY50+BX51-CG50)))</f>
        <v>267.81999999999988</v>
      </c>
      <c r="BZ51" s="14">
        <f>BY51*VLOOKUP('Données projet'!$B$12,Paramètres!$A$1:$I$89,3,0)*VLOOKUP('Données projet'!$B$12,Paramètres!$A$1:$I$89,5,0)</f>
        <v>213.07759199999992</v>
      </c>
      <c r="CA51" s="14">
        <f t="shared" si="39"/>
        <v>52.607546461832449</v>
      </c>
      <c r="CB51" s="22">
        <f t="shared" si="10"/>
        <v>462.73494948769138</v>
      </c>
      <c r="CC51" s="62">
        <f t="shared" si="11"/>
        <v>726.38818433527547</v>
      </c>
      <c r="CD51" s="62">
        <f ca="1">AVERAGE(OFFSET($CC$3,0,0,'Données projet'!$E$12+1,1))-AVERAGE(OFFSET($H$3,0,0,'Données projet'!$E$12+1,1))</f>
        <v>388.52230330563884</v>
      </c>
      <c r="CE51" s="62">
        <f t="shared" si="40"/>
        <v>418.94833960687333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8.5399999999999974</v>
      </c>
      <c r="CT51" s="13">
        <f>IF('Données projet'!$A$140&gt;35,CT50+CS51-DB50,IF(A51&lt;'Données projet'!$A$140,$CQ$205^A51,IF(A51='Données projet'!$A$140,'Données projet'!$B$140,CT50+CS51-DB50)))</f>
        <v>267.81999999999988</v>
      </c>
      <c r="CU51" s="18">
        <f>CT51*VLOOKUP('Données projet'!$B$13,Paramètres!$A$1:$I$89,3,0)*VLOOKUP('Données projet'!$B$13,Paramètres!$A$1:$I$89,5,0)</f>
        <v>196.36562399999991</v>
      </c>
      <c r="CV51" s="14">
        <f t="shared" si="41"/>
        <v>48.944591379063773</v>
      </c>
      <c r="CW51" s="22">
        <f t="shared" si="13"/>
        <v>427.24862511853593</v>
      </c>
      <c r="CX51" s="62">
        <f t="shared" si="14"/>
        <v>690.90185996612001</v>
      </c>
      <c r="CY51" s="62">
        <f ca="1">AVERAGE(OFFSET($CX$3,0,0,'Données projet'!$E$13+1,1))-AVERAGE(OFFSET($H$3,0,0,'Données projet'!$E$13+1,1))</f>
        <v>362.38131866207266</v>
      </c>
      <c r="CZ51" s="62">
        <f t="shared" si="42"/>
        <v>390.74498763200336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</v>
      </c>
      <c r="DO51" s="13">
        <f>IF('Données projet'!$A$166&gt;35,DO50+DN51-DW50,IF(A51&lt;'Données projet'!$A$166,$DL$205^A51,IF(A51='Données projet'!$A$166,'Données projet'!$B$166,DO50+DN51-DW50)))</f>
        <v>180.00000000000003</v>
      </c>
      <c r="DP51" s="18">
        <f>DO51*VLOOKUP('Données projet'!$B$14,Paramètres!$A$1:$I$89,3,0)*VLOOKUP('Données projet'!$B$14,Paramètres!$A$1:$I$89,5,0)</f>
        <v>157.24800000000005</v>
      </c>
      <c r="DQ51" s="14">
        <f t="shared" si="43"/>
        <v>40.221168744348645</v>
      </c>
      <c r="DR51" s="22">
        <f t="shared" si="16"/>
        <v>343.92546889640727</v>
      </c>
      <c r="DS51" s="62">
        <f t="shared" si="17"/>
        <v>607.57870374399135</v>
      </c>
      <c r="DT51" s="62">
        <f ca="1">AVERAGE(OFFSET($DS$3,0,0,'Données projet'!$E$14+1,1))-AVERAGE(OFFSET($H$3,0,0,'Données projet'!$E$14+1,1))</f>
        <v>334.4692012109935</v>
      </c>
      <c r="DU51" s="62">
        <f t="shared" si="44"/>
        <v>316.360405424036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18.714285714285715</v>
      </c>
      <c r="EJ51" s="13">
        <f>IF('Données projet'!$A$192&gt;35,EJ50+EI51-ER50,IF(A51&lt;'Données projet'!$A$192,$EG$205^A51,IF(A51='Données projet'!$A$192,'Données projet'!$B$192,EJ50+EI51-ER50)))</f>
        <v>454.28571428571411</v>
      </c>
      <c r="EK51" s="18">
        <f>EJ51*VLOOKUP('Données projet'!$B$15,Paramètres!$A$1:$I$89,3,0)*VLOOKUP('Données projet'!$B$15,Paramètres!$A$1:$I$89,5,0)</f>
        <v>253.94571428571419</v>
      </c>
      <c r="EL51" s="14">
        <f t="shared" si="45"/>
        <v>61.430084594341928</v>
      </c>
      <c r="EM51" s="22">
        <f t="shared" si="19"/>
        <v>549.27951638276431</v>
      </c>
      <c r="EN51" s="62">
        <f t="shared" si="20"/>
        <v>812.93275123034846</v>
      </c>
      <c r="EO51" s="62">
        <f ca="1">AVERAGE(OFFSET($EN$3,0,0,'Données projet'!$E$15+1,1))-AVERAGE(OFFSET($H$3,0,0,'Données projet'!$E$15+1,1))</f>
        <v>390.09289316045653</v>
      </c>
      <c r="EP51" s="62">
        <f t="shared" si="46"/>
        <v>364.34913542817617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4.4798835783014361</v>
      </c>
      <c r="EX51" s="23">
        <f>EXP(-LN(2)/2)*EX50+(1-EXP(-LN(2)/2))/(LN(2)/2)*ER51*EU51*VLOOKUP('Données projet'!$B$15,Paramètres!$A$1:$I$89,3,0)*0.475*44/12</f>
        <v>1.7543835757558419E-2</v>
      </c>
      <c r="EY51" s="24">
        <f t="shared" si="21"/>
        <v>4.4974274140589943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18.100000000000001</v>
      </c>
      <c r="FE51" s="13">
        <f>IF('Données projet'!$A$218&gt;35,FE50+FD51-FM50,IF(A51&lt;'Données projet'!$A$218,$FB$205^A51,IF(A51='Données projet'!$A$218,'Données projet'!$B$218,FE50+FD51-FM50)))</f>
        <v>234.20000000000002</v>
      </c>
      <c r="FF51" s="18">
        <f>FE51*VLOOKUP('Données projet'!$B$16,Paramètres!$A$1:$I$89,3,0)*VLOOKUP('Données projet'!$B$16,Paramètres!$A$1:$I$89,5,0)</f>
        <v>109.6056</v>
      </c>
      <c r="FG51" s="14">
        <f t="shared" si="47"/>
        <v>29.238041439718209</v>
      </c>
      <c r="FH51" s="22">
        <f t="shared" si="22"/>
        <v>241.81934217417586</v>
      </c>
      <c r="FI51" s="62">
        <f t="shared" si="23"/>
        <v>505.47257702175995</v>
      </c>
      <c r="FJ51" s="62">
        <f ca="1">AVERAGE(OFFSET($FI$3,0,0,'Données projet'!$E$16+1,1))-AVERAGE(OFFSET($H$3,0,0,'Données projet'!$E$16+1,1))</f>
        <v>344.55118007058775</v>
      </c>
      <c r="FK51" s="62">
        <f t="shared" si="48"/>
        <v>144.16931602355001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>
        <f>VLOOKUP(A51,'Données projet'!$A$243:$I$263,2,0)</f>
        <v>252</v>
      </c>
      <c r="FX51" s="13">
        <f>VLOOKUP(A51,'Données projet'!$A$243:$I$263,9,0)</f>
        <v>10.666666666666666</v>
      </c>
      <c r="FY51" s="13">
        <f t="array" ref="FY51">INDEX(FX:FX,MIN(IF(ISNUMBER(FX51:FX247),ROW(FX51:FX247),"")))</f>
        <v>10.666666666666666</v>
      </c>
      <c r="FZ51" s="13">
        <f>IF('Données projet'!$A$244&gt;35,FZ50+FY51-GH50,IF(A51&lt;'Données projet'!$A$244,$FW$205^A51,IF(A51='Données projet'!$A$244,'Données projet'!$B$244,FZ50+FY51-GH50)))</f>
        <v>251.99999999999997</v>
      </c>
      <c r="GA51" s="18">
        <f>FZ51*VLOOKUP('Données projet'!$B$17,Paramètres!$A$1:$I$89,3,0)*VLOOKUP('Données projet'!$B$17,Paramètres!$A$1:$I$89,5,0)</f>
        <v>157.24799999999999</v>
      </c>
      <c r="GB51" s="14">
        <f t="shared" si="49"/>
        <v>40.22116874434861</v>
      </c>
      <c r="GC51" s="22">
        <f t="shared" si="25"/>
        <v>343.92546889640715</v>
      </c>
      <c r="GD51" s="62">
        <f t="shared" si="26"/>
        <v>607.57870374399124</v>
      </c>
      <c r="GE51" s="62">
        <f ca="1">AVERAGE(OFFSET($GD$3,0,0,'Données projet'!$E$17+1,1))-AVERAGE(OFFSET($H$3,0,0,'Données projet'!$E$17+1,1))</f>
        <v>252.60122125520482</v>
      </c>
      <c r="GF51" s="62">
        <f t="shared" si="50"/>
        <v>357.56833754121317</v>
      </c>
      <c r="GG51" s="16">
        <f>IF(ISNA(VLOOKUP(A51,'Données projet'!$A$243:$I$263,3,0)),0,VLOOKUP(A51,'Données projet'!$A$243:$I$263,3,0))</f>
        <v>7</v>
      </c>
      <c r="GH51" s="16">
        <f>IF(ISNA(VLOOKUP(A51,'Données projet'!$A$243:$I$263,4,0)),0,VLOOKUP(A51,'Données projet'!$A$243:$I$263,4,0))</f>
        <v>65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6.2503559933344706</v>
      </c>
      <c r="GN51" s="23">
        <f>EXP(-LN(2)/2)*GN50+(1-EXP(-LN(2)/2))/(LN(2)/2)*GH51*GK51*VLOOKUP('Données projet'!$B$17,Paramètres!$A$1:$I$89,3,0)*0.475*44/12</f>
        <v>3.2263320080091404E-2</v>
      </c>
      <c r="GO51" s="23">
        <f t="shared" si="27"/>
        <v>6.2826193134145623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7.6</v>
      </c>
      <c r="GU51" s="13">
        <f>IF('Données projet'!$A$270&gt;35,GU50+GT51-HC50,IF(A51&lt;'Données projet'!$A$270,$GR$205^A51,IF(A51='Données projet'!$A$270,'Données projet'!$B$270,GU50+GT51-HC50)))</f>
        <v>212.79999999999998</v>
      </c>
      <c r="GV51" s="18">
        <f>GU51*VLOOKUP('Données projet'!$B$18,Paramètres!$A$1:$I$89,3,0)*VLOOKUP('Données projet'!$B$18,Paramètres!$A$1:$I$89,5,0)</f>
        <v>172.62335999999999</v>
      </c>
      <c r="GW51" s="14">
        <f t="shared" si="51"/>
        <v>43.67704427998607</v>
      </c>
      <c r="GX51" s="22">
        <f t="shared" si="28"/>
        <v>376.72320412097571</v>
      </c>
      <c r="GY51" s="62">
        <f t="shared" si="29"/>
        <v>640.3764389685598</v>
      </c>
      <c r="GZ51" s="62">
        <f ca="1">AVERAGE(OFFSET($GY$3,0,0,'Données projet'!$E$18+1,1))-AVERAGE(OFFSET($H$3,0,0,'Données projet'!$E$18+1,1))</f>
        <v>268.57152522489537</v>
      </c>
      <c r="HA51" s="62">
        <f t="shared" si="52"/>
        <v>311.80303557283207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3.75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13.75</v>
      </c>
      <c r="H52" s="70">
        <f t="shared" si="1"/>
        <v>201.66666666666666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projet'!$B$9,Paramètres!$A$1:$I$89,3,0)*VLOOKUP('Données projet'!$B$9,Paramètres!$A$1:$I$89,5,0)</f>
        <v>153.63503999999998</v>
      </c>
      <c r="P52" s="14">
        <f t="shared" si="33"/>
        <v>39.403506785222667</v>
      </c>
      <c r="Q52" s="22">
        <f t="shared" si="53"/>
        <v>336.20880231759611</v>
      </c>
      <c r="R52" s="62">
        <f t="shared" si="0"/>
        <v>600.37692051914837</v>
      </c>
      <c r="S52" s="62">
        <f ca="1">AVERAGE(OFFSET($R$3,0,0,'Données projet'!$E$9+1,1))-AVERAGE(OFFSET($H$3,0,0,'Données projet'!$E$9+1,1))</f>
        <v>461.02780119093666</v>
      </c>
      <c r="T52" s="62">
        <f t="shared" si="34"/>
        <v>245.70016468438834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169.79999999999998</v>
      </c>
      <c r="AJ52" s="14">
        <f>AI52*VLOOKUP('Données projet'!$B$10,Paramètres!$A$1:$I$89,3,0)*VLOOKUP('Données projet'!$B$10,Paramètres!$A$1:$I$89,5,0)</f>
        <v>143.03951999999998</v>
      </c>
      <c r="AK52" s="14">
        <f t="shared" si="35"/>
        <v>36.992444033168404</v>
      </c>
      <c r="AL52" s="22">
        <f t="shared" si="4"/>
        <v>313.55567069110157</v>
      </c>
      <c r="AM52" s="62">
        <f t="shared" si="5"/>
        <v>577.72378889265383</v>
      </c>
      <c r="AN52" s="62">
        <f ca="1">AVERAGE(OFFSET($AM$3,0,0,'Données projet'!$E$10+1,1))-AVERAGE(OFFSET($H$3,0,0,'Données projet'!$E$10+1,1))</f>
        <v>434.22500776975596</v>
      </c>
      <c r="AO52" s="62">
        <f t="shared" si="36"/>
        <v>232.59777933076705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5.5128205128205083</v>
      </c>
      <c r="BD52" s="13">
        <f>IF('Données projet'!$A$88&gt;35,BD51+BC52-BL51,IF(A52&lt;'Données projet'!$A$88,$BA$205^A52,IF(A52='Données projet'!$A$88,'Données projet'!$B$88,BD51+BC52-BL51)))</f>
        <v>174.61538461538464</v>
      </c>
      <c r="BE52" s="14">
        <f>BD52*VLOOKUP('Données projet'!$B$11,Paramètres!$A$1:$I$89,3,0)*VLOOKUP('Données projet'!$B$11,Paramètres!$A$1:$I$89,5,0)</f>
        <v>166.16400000000004</v>
      </c>
      <c r="BF52" s="14">
        <f t="shared" si="37"/>
        <v>42.229749328882683</v>
      </c>
      <c r="BG52" s="22">
        <f t="shared" si="7"/>
        <v>362.95244674780406</v>
      </c>
      <c r="BH52" s="62">
        <f t="shared" si="8"/>
        <v>627.12056494935632</v>
      </c>
      <c r="BI52" s="62">
        <f ca="1">AVERAGE(OFFSET($BH$3,0,0,'Données projet'!$E$11+1,1))-AVERAGE(OFFSET($H$3,0,0,'Données projet'!$E$11+1,1))</f>
        <v>393.3005580838161</v>
      </c>
      <c r="BJ52" s="62">
        <f t="shared" si="38"/>
        <v>295.86019897822757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8.5399999999999974</v>
      </c>
      <c r="BY52" s="13">
        <f>IF('Données projet'!$A$114&gt;35,BY51+BX52-CG51,IF(A52&lt;'Données projet'!$A$114,$BV$205^A52,IF(A52='Données projet'!$A$114,'Données projet'!$B$114,BY51+BX52-CG51)))</f>
        <v>276.3599999999999</v>
      </c>
      <c r="BZ52" s="14">
        <f>BY52*VLOOKUP('Données projet'!$B$12,Paramètres!$A$1:$I$89,3,0)*VLOOKUP('Données projet'!$B$12,Paramètres!$A$1:$I$89,5,0)</f>
        <v>219.87201599999992</v>
      </c>
      <c r="CA52" s="14">
        <f t="shared" si="39"/>
        <v>54.087068088530145</v>
      </c>
      <c r="CB52" s="22">
        <f t="shared" si="10"/>
        <v>477.14540478752315</v>
      </c>
      <c r="CC52" s="62">
        <f t="shared" si="11"/>
        <v>741.31352298907541</v>
      </c>
      <c r="CD52" s="62">
        <f ca="1">AVERAGE(OFFSET($CC$3,0,0,'Données projet'!$E$12+1,1))-AVERAGE(OFFSET($H$3,0,0,'Données projet'!$E$12+1,1))</f>
        <v>388.52230330563884</v>
      </c>
      <c r="CE52" s="62">
        <f t="shared" si="40"/>
        <v>418.94833960687333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8.5399999999999974</v>
      </c>
      <c r="CT52" s="13">
        <f>IF('Données projet'!$A$140&gt;35,CT51+CS52-DB51,IF(A52&lt;'Données projet'!$A$140,$CQ$205^A52,IF(A52='Données projet'!$A$140,'Données projet'!$B$140,CT51+CS52-DB51)))</f>
        <v>276.3599999999999</v>
      </c>
      <c r="CU52" s="18">
        <f>CT52*VLOOKUP('Données projet'!$B$13,Paramètres!$A$1:$I$89,3,0)*VLOOKUP('Données projet'!$B$13,Paramètres!$A$1:$I$89,5,0)</f>
        <v>202.62715199999994</v>
      </c>
      <c r="CV52" s="14">
        <f t="shared" si="41"/>
        <v>50.321096962872829</v>
      </c>
      <c r="CW52" s="22">
        <f t="shared" si="13"/>
        <v>440.55153361033672</v>
      </c>
      <c r="CX52" s="62">
        <f t="shared" si="14"/>
        <v>704.71965181188898</v>
      </c>
      <c r="CY52" s="62">
        <f ca="1">AVERAGE(OFFSET($CX$3,0,0,'Données projet'!$E$13+1,1))-AVERAGE(OFFSET($H$3,0,0,'Données projet'!$E$13+1,1))</f>
        <v>362.38131866207266</v>
      </c>
      <c r="CZ52" s="62">
        <f t="shared" si="42"/>
        <v>390.74498763200336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</v>
      </c>
      <c r="DO52" s="13">
        <f>IF('Données projet'!$A$166&gt;35,DO51+DN52-DW51,IF(A52&lt;'Données projet'!$A$166,$DL$205^A52,IF(A52='Données projet'!$A$166,'Données projet'!$B$166,DO51+DN52-DW51)))</f>
        <v>186.00000000000003</v>
      </c>
      <c r="DP52" s="18">
        <f>DO52*VLOOKUP('Données projet'!$B$14,Paramètres!$A$1:$I$89,3,0)*VLOOKUP('Données projet'!$B$14,Paramètres!$A$1:$I$89,5,0)</f>
        <v>162.48960000000005</v>
      </c>
      <c r="DQ52" s="14">
        <f t="shared" si="43"/>
        <v>41.403546033820696</v>
      </c>
      <c r="DR52" s="22">
        <f t="shared" si="16"/>
        <v>355.11389600890448</v>
      </c>
      <c r="DS52" s="62">
        <f t="shared" si="17"/>
        <v>619.28201421045674</v>
      </c>
      <c r="DT52" s="62">
        <f ca="1">AVERAGE(OFFSET($DS$3,0,0,'Données projet'!$E$14+1,1))-AVERAGE(OFFSET($H$3,0,0,'Données projet'!$E$14+1,1))</f>
        <v>334.4692012109935</v>
      </c>
      <c r="DU52" s="62">
        <f t="shared" si="44"/>
        <v>316.360405424036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>
        <f>VLOOKUP(A52,'Données projet'!$A$191:$I$211,2,0)</f>
        <v>473</v>
      </c>
      <c r="EH52" s="13">
        <f>VLOOKUP(A52,'Données projet'!$A$191:$I$211,9,0)</f>
        <v>18.714285714285715</v>
      </c>
      <c r="EI52" s="13">
        <f t="array" ref="EI52">INDEX(EH:EH,MIN(IF(ISNUMBER(EH52:EH248),ROW(EH52:EH248),"")))</f>
        <v>18.714285714285715</v>
      </c>
      <c r="EJ52" s="13">
        <f>IF('Données projet'!$A$192&gt;35,EJ51+EI52-ER51,IF(A52&lt;'Données projet'!$A$192,$EG$205^A52,IF(A52='Données projet'!$A$192,'Données projet'!$B$192,EJ51+EI52-ER51)))</f>
        <v>472.99999999999983</v>
      </c>
      <c r="EK52" s="18">
        <f>EJ52*VLOOKUP('Données projet'!$B$15,Paramètres!$A$1:$I$89,3,0)*VLOOKUP('Données projet'!$B$15,Paramètres!$A$1:$I$89,5,0)</f>
        <v>264.40699999999993</v>
      </c>
      <c r="EL52" s="14">
        <f t="shared" si="45"/>
        <v>63.660851355620842</v>
      </c>
      <c r="EM52" s="22">
        <f t="shared" si="19"/>
        <v>571.38484111103946</v>
      </c>
      <c r="EN52" s="62">
        <f t="shared" si="20"/>
        <v>835.55295931259184</v>
      </c>
      <c r="EO52" s="62">
        <f ca="1">AVERAGE(OFFSET($EN$3,0,0,'Données projet'!$E$15+1,1))-AVERAGE(OFFSET($H$3,0,0,'Données projet'!$E$15+1,1))</f>
        <v>390.09289316045653</v>
      </c>
      <c r="EP52" s="62">
        <f t="shared" si="46"/>
        <v>364.34913542817617</v>
      </c>
      <c r="EQ52" s="16">
        <f>IF(ISNA(VLOOKUP(A52,'Données projet'!$A$191:$I$211,3,0)),0,VLOOKUP(A52,'Données projet'!$A$191:$I$211,3,0))</f>
        <v>5</v>
      </c>
      <c r="ER52" s="16">
        <f>IF(ISNA(VLOOKUP(A52,'Données projet'!$A$191:$I$211,4,0)),0,VLOOKUP(A52,'Données projet'!$A$191:$I$211,4,0))</f>
        <v>80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4.3573809262659449</v>
      </c>
      <c r="EX52" s="23">
        <f>EXP(-LN(2)/2)*EX51+(1-EXP(-LN(2)/2))/(LN(2)/2)*ER52*EU52*VLOOKUP('Données projet'!$B$15,Paramètres!$A$1:$I$89,3,0)*0.475*44/12</f>
        <v>1.240536523219259E-2</v>
      </c>
      <c r="EY52" s="24">
        <f t="shared" si="21"/>
        <v>4.3697862914981371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18.100000000000001</v>
      </c>
      <c r="FE52" s="13">
        <f>IF('Données projet'!$A$218&gt;35,FE51+FD52-FM51,IF(A52&lt;'Données projet'!$A$218,$FB$205^A52,IF(A52='Données projet'!$A$218,'Données projet'!$B$218,FE51+FD52-FM51)))</f>
        <v>252.3</v>
      </c>
      <c r="FF52" s="18">
        <f>FE52*VLOOKUP('Données projet'!$B$16,Paramètres!$A$1:$I$89,3,0)*VLOOKUP('Données projet'!$B$16,Paramètres!$A$1:$I$89,5,0)</f>
        <v>118.07640000000001</v>
      </c>
      <c r="FG52" s="14">
        <f t="shared" si="47"/>
        <v>31.225930100508233</v>
      </c>
      <c r="FH52" s="22">
        <f t="shared" si="22"/>
        <v>260.03489159171852</v>
      </c>
      <c r="FI52" s="62">
        <f t="shared" si="23"/>
        <v>524.20300979327089</v>
      </c>
      <c r="FJ52" s="62">
        <f ca="1">AVERAGE(OFFSET($FI$3,0,0,'Données projet'!$E$16+1,1))-AVERAGE(OFFSET($H$3,0,0,'Données projet'!$E$16+1,1))</f>
        <v>344.55118007058775</v>
      </c>
      <c r="FK52" s="62">
        <f t="shared" si="48"/>
        <v>144.16931602355001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9.75</v>
      </c>
      <c r="FZ52" s="13">
        <f>IF('Données projet'!$A$244&gt;35,FZ51+FY52-GH51,IF(A52&lt;'Données projet'!$A$244,$FW$205^A52,IF(A52='Données projet'!$A$244,'Données projet'!$B$244,FZ51+FY52-GH51)))</f>
        <v>196.75</v>
      </c>
      <c r="GA52" s="18">
        <f>FZ52*VLOOKUP('Données projet'!$B$17,Paramètres!$A$1:$I$89,3,0)*VLOOKUP('Données projet'!$B$17,Paramètres!$A$1:$I$89,5,0)</f>
        <v>122.77200000000001</v>
      </c>
      <c r="GB52" s="14">
        <f t="shared" si="49"/>
        <v>32.320660955470466</v>
      </c>
      <c r="GC52" s="22">
        <f t="shared" si="25"/>
        <v>270.11971783077774</v>
      </c>
      <c r="GD52" s="62">
        <f t="shared" si="26"/>
        <v>534.28783603233001</v>
      </c>
      <c r="GE52" s="62">
        <f ca="1">AVERAGE(OFFSET($GD$3,0,0,'Données projet'!$E$17+1,1))-AVERAGE(OFFSET($H$3,0,0,'Données projet'!$E$17+1,1))</f>
        <v>252.60122125520482</v>
      </c>
      <c r="GF52" s="62">
        <f t="shared" si="50"/>
        <v>357.56833754121317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6.0794396800048034</v>
      </c>
      <c r="GN52" s="23">
        <f>EXP(-LN(2)/2)*GN51+(1-EXP(-LN(2)/2))/(LN(2)/2)*GH52*GK52*VLOOKUP('Données projet'!$B$17,Paramètres!$A$1:$I$89,3,0)*0.475*44/12</f>
        <v>2.2813612412224737E-2</v>
      </c>
      <c r="GO52" s="23">
        <f t="shared" si="27"/>
        <v>6.1022532924170285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7.6</v>
      </c>
      <c r="GU52" s="13">
        <f>IF('Données projet'!$A$270&gt;35,GU51+GT52-HC51,IF(A52&lt;'Données projet'!$A$270,$GR$205^A52,IF(A52='Données projet'!$A$270,'Données projet'!$B$270,GU51+GT52-HC51)))</f>
        <v>220.39999999999998</v>
      </c>
      <c r="GV52" s="18">
        <f>GU52*VLOOKUP('Données projet'!$B$18,Paramètres!$A$1:$I$89,3,0)*VLOOKUP('Données projet'!$B$18,Paramètres!$A$1:$I$89,5,0)</f>
        <v>178.78847999999999</v>
      </c>
      <c r="GW52" s="14">
        <f t="shared" si="51"/>
        <v>45.052539436241446</v>
      </c>
      <c r="GX52" s="22">
        <f t="shared" si="28"/>
        <v>389.85644218478711</v>
      </c>
      <c r="GY52" s="62">
        <f t="shared" si="29"/>
        <v>654.02456038633943</v>
      </c>
      <c r="GZ52" s="62">
        <f ca="1">AVERAGE(OFFSET($GY$3,0,0,'Données projet'!$E$18+1,1))-AVERAGE(OFFSET($H$3,0,0,'Données projet'!$E$18+1,1))</f>
        <v>268.57152522489537</v>
      </c>
      <c r="HA52" s="62">
        <f t="shared" si="52"/>
        <v>311.80303557283207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3.75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13.75</v>
      </c>
      <c r="H53" s="70">
        <f t="shared" si="1"/>
        <v>201.66666666666666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616.72524682414644</v>
      </c>
      <c r="S53" s="62">
        <f ca="1">AVERAGE(OFFSET($R$3,0,0,'Données projet'!$E$9+1,1))-AVERAGE(OFFSET($H$3,0,0,'Données projet'!$E$9+1,1))</f>
        <v>461.02780119093666</v>
      </c>
      <c r="T53" s="62">
        <f t="shared" si="34"/>
        <v>245.70016468438834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177.99999999999997</v>
      </c>
      <c r="AJ53" s="14">
        <f>AI53*VLOOKUP('Données projet'!$B$10,Paramètres!$A$1:$I$89,3,0)*VLOOKUP('Données projet'!$B$10,Paramètres!$A$1:$I$89,5,0)</f>
        <v>149.94719999999998</v>
      </c>
      <c r="AK53" s="14">
        <f t="shared" si="35"/>
        <v>38.566586385539779</v>
      </c>
      <c r="AL53" s="22">
        <f t="shared" si="4"/>
        <v>328.32817795481509</v>
      </c>
      <c r="AM53" s="62">
        <f t="shared" si="5"/>
        <v>593.00224743525098</v>
      </c>
      <c r="AN53" s="62">
        <f ca="1">AVERAGE(OFFSET($AM$3,0,0,'Données projet'!$E$10+1,1))-AVERAGE(OFFSET($H$3,0,0,'Données projet'!$E$10+1,1))</f>
        <v>434.22500776975596</v>
      </c>
      <c r="AO53" s="62">
        <f t="shared" si="36"/>
        <v>232.59777933076705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180.12820512820511</v>
      </c>
      <c r="BB53" s="13">
        <f>VLOOKUP(A53,'Données projet'!$A$87:$I$107,9,0)</f>
        <v>5.5128205128205083</v>
      </c>
      <c r="BC53" s="13">
        <f t="array" ref="BC53">INDEX(BB:BB,MIN(IF(ISNUMBER(BB53:BB249),ROW(BB53:BB249),"")))</f>
        <v>5.5128205128205083</v>
      </c>
      <c r="BD53" s="13">
        <f>IF('Données projet'!$A$88&gt;35,BD52+BC53-BL52,IF(A53&lt;'Données projet'!$A$88,$BA$205^A53,IF(A53='Données projet'!$A$88,'Données projet'!$B$88,BD52+BC53-BL52)))</f>
        <v>180.12820512820514</v>
      </c>
      <c r="BE53" s="14">
        <f>BD53*VLOOKUP('Données projet'!$B$11,Paramètres!$A$1:$I$89,3,0)*VLOOKUP('Données projet'!$B$11,Paramètres!$A$1:$I$89,5,0)</f>
        <v>171.41000000000003</v>
      </c>
      <c r="BF53" s="14">
        <f t="shared" si="37"/>
        <v>43.405664710300847</v>
      </c>
      <c r="BG53" s="22">
        <f t="shared" si="7"/>
        <v>374.13728270377402</v>
      </c>
      <c r="BH53" s="62">
        <f t="shared" si="8"/>
        <v>638.81135218420991</v>
      </c>
      <c r="BI53" s="62">
        <f ca="1">AVERAGE(OFFSET($BH$3,0,0,'Données projet'!$E$11+1,1))-AVERAGE(OFFSET($H$3,0,0,'Données projet'!$E$11+1,1))</f>
        <v>393.3005580838161</v>
      </c>
      <c r="BJ53" s="62">
        <f t="shared" si="38"/>
        <v>295.86019897822757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30.769230769230766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284.89999999999998</v>
      </c>
      <c r="BW53" s="13">
        <f>VLOOKUP(A53,'Données projet'!$A$113:$I$133,9,0)</f>
        <v>8.5399999999999974</v>
      </c>
      <c r="BX53" s="13">
        <f t="array" ref="BX53">INDEX(BW:BW,MIN(IF(ISNUMBER(BW53:BW249),ROW(BW53:BW249),"")))</f>
        <v>8.5399999999999974</v>
      </c>
      <c r="BY53" s="13">
        <f>IF('Données projet'!$A$114&gt;35,BY52+BX53-CG52,IF(A53&lt;'Données projet'!$A$114,$BV$205^A53,IF(A53='Données projet'!$A$114,'Données projet'!$B$114,BY52+BX53-CG52)))</f>
        <v>284.89999999999992</v>
      </c>
      <c r="BZ53" s="14">
        <f>BY53*VLOOKUP('Données projet'!$B$12,Paramètres!$A$1:$I$89,3,0)*VLOOKUP('Données projet'!$B$12,Paramètres!$A$1:$I$89,5,0)</f>
        <v>226.66643999999994</v>
      </c>
      <c r="CA53" s="14">
        <f t="shared" si="39"/>
        <v>55.561276600641385</v>
      </c>
      <c r="CB53" s="22">
        <f t="shared" si="10"/>
        <v>491.5466064127836</v>
      </c>
      <c r="CC53" s="62">
        <f t="shared" si="11"/>
        <v>756.22067589321955</v>
      </c>
      <c r="CD53" s="62">
        <f ca="1">AVERAGE(OFFSET($CC$3,0,0,'Données projet'!$E$12+1,1))-AVERAGE(OFFSET($H$3,0,0,'Données projet'!$E$12+1,1))</f>
        <v>388.52230330563884</v>
      </c>
      <c r="CE53" s="62">
        <f t="shared" si="40"/>
        <v>418.94833960687333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43.099999999999994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284.89999999999998</v>
      </c>
      <c r="CR53" s="13">
        <f>VLOOKUP(A53,'Données projet'!$A$139:$I$159,9,0)</f>
        <v>8.5399999999999974</v>
      </c>
      <c r="CS53" s="13">
        <f t="array" ref="CS53">INDEX(CR:CR,MIN(IF(ISNUMBER(CR53:CR249),ROW(CR53:CR249),"")))</f>
        <v>8.5399999999999974</v>
      </c>
      <c r="CT53" s="13">
        <f>IF('Données projet'!$A$140&gt;35,CT52+CS53-DB52,IF(A53&lt;'Données projet'!$A$140,$CQ$205^A53,IF(A53='Données projet'!$A$140,'Données projet'!$B$140,CT52+CS53-DB52)))</f>
        <v>284.89999999999992</v>
      </c>
      <c r="CU53" s="18">
        <f>CT53*VLOOKUP('Données projet'!$B$13,Paramètres!$A$1:$I$89,3,0)*VLOOKUP('Données projet'!$B$13,Paramètres!$A$1:$I$89,5,0)</f>
        <v>208.88867999999994</v>
      </c>
      <c r="CV53" s="14">
        <f t="shared" si="41"/>
        <v>51.692659373318428</v>
      </c>
      <c r="CW53" s="22">
        <f t="shared" si="13"/>
        <v>453.84583274186275</v>
      </c>
      <c r="CX53" s="62">
        <f t="shared" si="14"/>
        <v>718.5199022222987</v>
      </c>
      <c r="CY53" s="62">
        <f ca="1">AVERAGE(OFFSET($CX$3,0,0,'Données projet'!$E$13+1,1))-AVERAGE(OFFSET($H$3,0,0,'Données projet'!$E$13+1,1))</f>
        <v>362.38131866207266</v>
      </c>
      <c r="CZ53" s="62">
        <f t="shared" si="42"/>
        <v>390.74498763200336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43.099999999999994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192</v>
      </c>
      <c r="DM53" s="13">
        <f>VLOOKUP(A53,'Données projet'!$A$165:$I$185,9,0)</f>
        <v>6</v>
      </c>
      <c r="DN53" s="13">
        <f t="array" ref="DN53">INDEX(DM:DM,MIN(IF(ISNUMBER(DM53:DM249),ROW(DM53:DM249),"")))</f>
        <v>6</v>
      </c>
      <c r="DO53" s="13">
        <f>IF('Données projet'!$A$166&gt;35,DO52+DN53-DW52,IF(A53&lt;'Données projet'!$A$166,$DL$205^A53,IF(A53='Données projet'!$A$166,'Données projet'!$B$166,DO52+DN53-DW52)))</f>
        <v>192.00000000000003</v>
      </c>
      <c r="DP53" s="18">
        <f>DO53*VLOOKUP('Données projet'!$B$14,Paramètres!$A$1:$I$89,3,0)*VLOOKUP('Données projet'!$B$14,Paramètres!$A$1:$I$89,5,0)</f>
        <v>167.73120000000006</v>
      </c>
      <c r="DQ53" s="14">
        <f t="shared" si="43"/>
        <v>42.581491199832655</v>
      </c>
      <c r="DR53" s="22">
        <f t="shared" si="16"/>
        <v>366.29460383970871</v>
      </c>
      <c r="DS53" s="62">
        <f t="shared" si="17"/>
        <v>630.9686733201446</v>
      </c>
      <c r="DT53" s="62">
        <f ca="1">AVERAGE(OFFSET($DS$3,0,0,'Données projet'!$E$14+1,1))-AVERAGE(OFFSET($H$3,0,0,'Données projet'!$E$14+1,1))</f>
        <v>334.4692012109935</v>
      </c>
      <c r="DU53" s="62">
        <f t="shared" si="44"/>
        <v>316.360405424036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17.285714285714285</v>
      </c>
      <c r="EJ53" s="13">
        <f>IF('Données projet'!$A$192&gt;35,EJ52+EI53-ER52,IF(A53&lt;'Données projet'!$A$192,$EG$205^A53,IF(A53='Données projet'!$A$192,'Données projet'!$B$192,EJ52+EI53-ER52)))</f>
        <v>410.28571428571411</v>
      </c>
      <c r="EK53" s="18">
        <f>EJ53*VLOOKUP('Données projet'!$B$15,Paramètres!$A$1:$I$89,3,0)*VLOOKUP('Données projet'!$B$15,Paramètres!$A$1:$I$89,5,0)</f>
        <v>229.34971428571419</v>
      </c>
      <c r="EL53" s="14">
        <f t="shared" si="45"/>
        <v>56.142051394693567</v>
      </c>
      <c r="EM53" s="22">
        <f t="shared" si="19"/>
        <v>497.23149189337681</v>
      </c>
      <c r="EN53" s="62">
        <f t="shared" si="20"/>
        <v>761.9055613738127</v>
      </c>
      <c r="EO53" s="62">
        <f ca="1">AVERAGE(OFFSET($EN$3,0,0,'Données projet'!$E$15+1,1))-AVERAGE(OFFSET($H$3,0,0,'Données projet'!$E$15+1,1))</f>
        <v>390.09289316045653</v>
      </c>
      <c r="EP53" s="62">
        <f t="shared" si="46"/>
        <v>364.34913542817617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4.2382281156924986</v>
      </c>
      <c r="EX53" s="23">
        <f>EXP(-LN(2)/2)*EX52+(1-EXP(-LN(2)/2))/(LN(2)/2)*ER53*EU53*VLOOKUP('Données projet'!$B$15,Paramètres!$A$1:$I$89,3,0)*0.475*44/12</f>
        <v>8.7719178787792097E-3</v>
      </c>
      <c r="EY53" s="24">
        <f t="shared" si="21"/>
        <v>4.2470000335712781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18.100000000000001</v>
      </c>
      <c r="FE53" s="13">
        <f>IF('Données projet'!$A$218&gt;35,FE52+FD53-FM52,IF(A53&lt;'Données projet'!$A$218,$FB$205^A53,IF(A53='Données projet'!$A$218,'Données projet'!$B$218,FE52+FD53-FM52)))</f>
        <v>270.40000000000003</v>
      </c>
      <c r="FF53" s="18">
        <f>FE53*VLOOKUP('Données projet'!$B$16,Paramètres!$A$1:$I$89,3,0)*VLOOKUP('Données projet'!$B$16,Paramètres!$A$1:$I$89,5,0)</f>
        <v>126.54720000000002</v>
      </c>
      <c r="FG53" s="14">
        <f t="shared" si="47"/>
        <v>33.19727296936243</v>
      </c>
      <c r="FH53" s="22">
        <f t="shared" si="22"/>
        <v>278.22162375497288</v>
      </c>
      <c r="FI53" s="62">
        <f t="shared" si="23"/>
        <v>542.89569323540877</v>
      </c>
      <c r="FJ53" s="62">
        <f ca="1">AVERAGE(OFFSET($FI$3,0,0,'Données projet'!$E$16+1,1))-AVERAGE(OFFSET($H$3,0,0,'Données projet'!$E$16+1,1))</f>
        <v>344.55118007058775</v>
      </c>
      <c r="FK53" s="62">
        <f t="shared" si="48"/>
        <v>144.16931602355001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9.75</v>
      </c>
      <c r="FZ53" s="13">
        <f>IF('Données projet'!$A$244&gt;35,FZ52+FY53-GH52,IF(A53&lt;'Données projet'!$A$244,$FW$205^A53,IF(A53='Données projet'!$A$244,'Données projet'!$B$244,FZ52+FY53-GH52)))</f>
        <v>206.5</v>
      </c>
      <c r="GA53" s="18">
        <f>FZ53*VLOOKUP('Données projet'!$B$17,Paramètres!$A$1:$I$89,3,0)*VLOOKUP('Données projet'!$B$17,Paramètres!$A$1:$I$89,5,0)</f>
        <v>128.85599999999999</v>
      </c>
      <c r="GB53" s="14">
        <f t="shared" si="49"/>
        <v>33.731878688740906</v>
      </c>
      <c r="GC53" s="22">
        <f t="shared" si="25"/>
        <v>283.1738887162237</v>
      </c>
      <c r="GD53" s="62">
        <f t="shared" si="26"/>
        <v>547.84795819665965</v>
      </c>
      <c r="GE53" s="62">
        <f ca="1">AVERAGE(OFFSET($GD$3,0,0,'Données projet'!$E$17+1,1))-AVERAGE(OFFSET($H$3,0,0,'Données projet'!$E$17+1,1))</f>
        <v>252.60122125520482</v>
      </c>
      <c r="GF53" s="62">
        <f t="shared" si="50"/>
        <v>357.56833754121317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5.9131970822512336</v>
      </c>
      <c r="GN53" s="23">
        <f>EXP(-LN(2)/2)*GN52+(1-EXP(-LN(2)/2))/(LN(2)/2)*GH53*GK53*VLOOKUP('Données projet'!$B$17,Paramètres!$A$1:$I$89,3,0)*0.475*44/12</f>
        <v>1.6131660040045702E-2</v>
      </c>
      <c r="GO53" s="23">
        <f t="shared" si="27"/>
        <v>5.929328742291279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228</v>
      </c>
      <c r="GS53" s="13">
        <f>VLOOKUP(A53,'Données projet'!$A$269:$I$289,9,0)</f>
        <v>7.6</v>
      </c>
      <c r="GT53" s="13">
        <f t="array" ref="GT53">INDEX(GS:GS,MIN(IF(ISNUMBER(GS53:GS249),ROW(GS53:GS249),"")))</f>
        <v>7.6</v>
      </c>
      <c r="GU53" s="13">
        <f>IF('Données projet'!$A$270&gt;35,GU52+GT53-HC52,IF(A53&lt;'Données projet'!$A$270,$GR$205^A53,IF(A53='Données projet'!$A$270,'Données projet'!$B$270,GU52+GT53-HC52)))</f>
        <v>227.99999999999997</v>
      </c>
      <c r="GV53" s="18">
        <f>GU53*VLOOKUP('Données projet'!$B$18,Paramètres!$A$1:$I$89,3,0)*VLOOKUP('Données projet'!$B$18,Paramètres!$A$1:$I$89,5,0)</f>
        <v>184.95359999999999</v>
      </c>
      <c r="GW53" s="14">
        <f t="shared" si="51"/>
        <v>46.42252355095799</v>
      </c>
      <c r="GX53" s="22">
        <f t="shared" si="28"/>
        <v>402.98008185125178</v>
      </c>
      <c r="GY53" s="62">
        <f t="shared" si="29"/>
        <v>667.65415133168767</v>
      </c>
      <c r="GZ53" s="62">
        <f ca="1">AVERAGE(OFFSET($GY$3,0,0,'Données projet'!$E$18+1,1))-AVERAGE(OFFSET($H$3,0,0,'Données projet'!$E$18+1,1))</f>
        <v>268.57152522489537</v>
      </c>
      <c r="HA53" s="62">
        <f t="shared" si="52"/>
        <v>311.80303557283207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3.75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13.75</v>
      </c>
      <c r="H54" s="70">
        <f t="shared" si="1"/>
        <v>201.66666666666666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projet'!$B$9,Paramètres!$A$1:$I$89,3,0)*VLOOKUP('Données projet'!$B$9,Paramètres!$A$1:$I$89,5,0)</f>
        <v>168.29279999999997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632.66333398572874</v>
      </c>
      <c r="S54" s="62">
        <f ca="1">AVERAGE(OFFSET($R$3,0,0,'Données projet'!$E$9+1,1))-AVERAGE(OFFSET($H$3,0,0,'Données projet'!$E$9+1,1))</f>
        <v>461.02780119093666</v>
      </c>
      <c r="T54" s="62">
        <f t="shared" si="34"/>
        <v>245.70016468438834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185.99999999999997</v>
      </c>
      <c r="AJ54" s="14">
        <f>AI54*VLOOKUP('Données projet'!$B$10,Paramètres!$A$1:$I$89,3,0)*VLOOKUP('Données projet'!$B$10,Paramètres!$A$1:$I$89,5,0)</f>
        <v>156.68639999999999</v>
      </c>
      <c r="AK54" s="14">
        <f t="shared" si="35"/>
        <v>40.094215809840712</v>
      </c>
      <c r="AL54" s="22">
        <f t="shared" si="4"/>
        <v>342.7262392021392</v>
      </c>
      <c r="AM54" s="62">
        <f t="shared" si="5"/>
        <v>607.89748283790766</v>
      </c>
      <c r="AN54" s="62">
        <f ca="1">AVERAGE(OFFSET($AM$3,0,0,'Données projet'!$E$10+1,1))-AVERAGE(OFFSET($H$3,0,0,'Données projet'!$E$10+1,1))</f>
        <v>434.22500776975596</v>
      </c>
      <c r="AO54" s="62">
        <f t="shared" si="36"/>
        <v>232.59777933076705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5.2564102564102599</v>
      </c>
      <c r="BD54" s="13">
        <f>IF('Données projet'!$A$88&gt;35,BD53+BC54-BL53,IF(A54&lt;'Données projet'!$A$88,$BA$205^A54,IF(A54='Données projet'!$A$88,'Données projet'!$B$88,BD53+BC54-BL53)))</f>
        <v>154.61538461538461</v>
      </c>
      <c r="BE54" s="14">
        <f>BD54*VLOOKUP('Données projet'!$B$11,Paramètres!$A$1:$I$89,3,0)*VLOOKUP('Données projet'!$B$11,Paramètres!$A$1:$I$89,5,0)</f>
        <v>147.13200000000001</v>
      </c>
      <c r="BF54" s="14">
        <f t="shared" si="37"/>
        <v>37.926091844382093</v>
      </c>
      <c r="BG54" s="22">
        <f t="shared" si="7"/>
        <v>322.30950996229876</v>
      </c>
      <c r="BH54" s="62">
        <f t="shared" si="8"/>
        <v>587.48075359806717</v>
      </c>
      <c r="BI54" s="62">
        <f ca="1">AVERAGE(OFFSET($BH$3,0,0,'Données projet'!$E$11+1,1))-AVERAGE(OFFSET($H$3,0,0,'Données projet'!$E$11+1,1))</f>
        <v>393.3005580838161</v>
      </c>
      <c r="BJ54" s="62">
        <f t="shared" si="38"/>
        <v>295.86019897822757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7.3600000000000083</v>
      </c>
      <c r="BY54" s="13">
        <f>IF('Données projet'!$A$114&gt;35,BY53+BX54-CG53,IF(A54&lt;'Données projet'!$A$114,$BV$205^A54,IF(A54='Données projet'!$A$114,'Données projet'!$B$114,BY53+BX54-CG53)))</f>
        <v>249.15999999999994</v>
      </c>
      <c r="BZ54" s="14">
        <f>BY54*VLOOKUP('Données projet'!$B$12,Paramètres!$A$1:$I$89,3,0)*VLOOKUP('Données projet'!$B$12,Paramètres!$A$1:$I$89,5,0)</f>
        <v>198.23169599999997</v>
      </c>
      <c r="CA54" s="14">
        <f t="shared" si="39"/>
        <v>49.355347391815158</v>
      </c>
      <c r="CB54" s="22">
        <f t="shared" si="10"/>
        <v>431.21410057407803</v>
      </c>
      <c r="CC54" s="62">
        <f t="shared" si="11"/>
        <v>696.38534420984649</v>
      </c>
      <c r="CD54" s="62">
        <f ca="1">AVERAGE(OFFSET($CC$3,0,0,'Données projet'!$E$12+1,1))-AVERAGE(OFFSET($H$3,0,0,'Données projet'!$E$12+1,1))</f>
        <v>388.52230330563884</v>
      </c>
      <c r="CE54" s="62">
        <f t="shared" si="40"/>
        <v>418.94833960687333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7.3600000000000083</v>
      </c>
      <c r="CT54" s="13">
        <f>IF('Données projet'!$A$140&gt;35,CT53+CS54-DB53,IF(A54&lt;'Données projet'!$A$140,$CQ$205^A54,IF(A54='Données projet'!$A$140,'Données projet'!$B$140,CT53+CS54-DB53)))</f>
        <v>249.15999999999994</v>
      </c>
      <c r="CU54" s="18">
        <f>CT54*VLOOKUP('Données projet'!$B$13,Paramètres!$A$1:$I$89,3,0)*VLOOKUP('Données projet'!$B$13,Paramètres!$A$1:$I$89,5,0)</f>
        <v>182.68411199999994</v>
      </c>
      <c r="CV54" s="14">
        <f t="shared" si="41"/>
        <v>45.91883623040173</v>
      </c>
      <c r="CW54" s="22">
        <f t="shared" si="13"/>
        <v>398.15013483461621</v>
      </c>
      <c r="CX54" s="62">
        <f t="shared" si="14"/>
        <v>663.32137847038462</v>
      </c>
      <c r="CY54" s="62">
        <f ca="1">AVERAGE(OFFSET($CX$3,0,0,'Données projet'!$E$13+1,1))-AVERAGE(OFFSET($H$3,0,0,'Données projet'!$E$13+1,1))</f>
        <v>362.38131866207266</v>
      </c>
      <c r="CZ54" s="62">
        <f t="shared" si="42"/>
        <v>390.74498763200336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</v>
      </c>
      <c r="DO54" s="13">
        <f>IF('Données projet'!$A$166&gt;35,DO53+DN54-DW53,IF(A54&lt;'Données projet'!$A$166,$DL$205^A54,IF(A54='Données projet'!$A$166,'Données projet'!$B$166,DO53+DN54-DW53)))</f>
        <v>160.20000000000002</v>
      </c>
      <c r="DP54" s="18">
        <f>DO54*VLOOKUP('Données projet'!$B$14,Paramètres!$A$1:$I$89,3,0)*VLOOKUP('Données projet'!$B$14,Paramètres!$A$1:$I$89,5,0)</f>
        <v>139.95072000000002</v>
      </c>
      <c r="DQ54" s="14">
        <f t="shared" si="43"/>
        <v>36.285715907711918</v>
      </c>
      <c r="DR54" s="22">
        <f t="shared" si="16"/>
        <v>306.94512587259828</v>
      </c>
      <c r="DS54" s="62">
        <f t="shared" si="17"/>
        <v>572.11636950836669</v>
      </c>
      <c r="DT54" s="62">
        <f ca="1">AVERAGE(OFFSET($DS$3,0,0,'Données projet'!$E$14+1,1))-AVERAGE(OFFSET($H$3,0,0,'Données projet'!$E$14+1,1))</f>
        <v>334.4692012109935</v>
      </c>
      <c r="DU54" s="62">
        <f t="shared" si="44"/>
        <v>316.360405424036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17.285714285714285</v>
      </c>
      <c r="EJ54" s="13">
        <f>IF('Données projet'!$A$192&gt;35,EJ53+EI54-ER53,IF(A54&lt;'Données projet'!$A$192,$EG$205^A54,IF(A54='Données projet'!$A$192,'Données projet'!$B$192,EJ53+EI54-ER53)))</f>
        <v>427.57142857142838</v>
      </c>
      <c r="EK54" s="18">
        <f>EJ54*VLOOKUP('Données projet'!$B$15,Paramètres!$A$1:$I$89,3,0)*VLOOKUP('Données projet'!$B$15,Paramètres!$A$1:$I$89,5,0)</f>
        <v>239.01242857142847</v>
      </c>
      <c r="EL54" s="14">
        <f t="shared" si="45"/>
        <v>58.226998714225545</v>
      </c>
      <c r="EM54" s="22">
        <f t="shared" si="19"/>
        <v>517.69200252251403</v>
      </c>
      <c r="EN54" s="62">
        <f t="shared" si="20"/>
        <v>782.86324615828244</v>
      </c>
      <c r="EO54" s="62">
        <f ca="1">AVERAGE(OFFSET($EN$3,0,0,'Données projet'!$E$15+1,1))-AVERAGE(OFFSET($H$3,0,0,'Données projet'!$E$15+1,1))</f>
        <v>390.09289316045653</v>
      </c>
      <c r="EP54" s="62">
        <f t="shared" si="46"/>
        <v>364.34913542817617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4.1223335449901573</v>
      </c>
      <c r="EX54" s="23">
        <f>EXP(-LN(2)/2)*EX53+(1-EXP(-LN(2)/2))/(LN(2)/2)*ER54*EU54*VLOOKUP('Données projet'!$B$15,Paramètres!$A$1:$I$89,3,0)*0.475*44/12</f>
        <v>6.2026826160962948E-3</v>
      </c>
      <c r="EY54" s="24">
        <f t="shared" si="21"/>
        <v>4.1285362276062534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18.100000000000001</v>
      </c>
      <c r="FE54" s="13">
        <f>IF('Données projet'!$A$218&gt;35,FE53+FD54-FM53,IF(A54&lt;'Données projet'!$A$218,$FB$205^A54,IF(A54='Données projet'!$A$218,'Données projet'!$B$218,FE53+FD54-FM53)))</f>
        <v>288.50000000000006</v>
      </c>
      <c r="FF54" s="18">
        <f>FE54*VLOOKUP('Données projet'!$B$16,Paramètres!$A$1:$I$89,3,0)*VLOOKUP('Données projet'!$B$16,Paramètres!$A$1:$I$89,5,0)</f>
        <v>135.01800000000003</v>
      </c>
      <c r="FG54" s="14">
        <f t="shared" si="47"/>
        <v>35.153303603250578</v>
      </c>
      <c r="FH54" s="22">
        <f t="shared" si="22"/>
        <v>296.38168710899475</v>
      </c>
      <c r="FI54" s="62">
        <f t="shared" si="23"/>
        <v>561.55293074476322</v>
      </c>
      <c r="FJ54" s="62">
        <f ca="1">AVERAGE(OFFSET($FI$3,0,0,'Données projet'!$E$16+1,1))-AVERAGE(OFFSET($H$3,0,0,'Données projet'!$E$16+1,1))</f>
        <v>344.55118007058775</v>
      </c>
      <c r="FK54" s="62">
        <f t="shared" si="48"/>
        <v>144.16931602355001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9.75</v>
      </c>
      <c r="FZ54" s="13">
        <f>IF('Données projet'!$A$244&gt;35,FZ53+FY54-GH53,IF(A54&lt;'Données projet'!$A$244,$FW$205^A54,IF(A54='Données projet'!$A$244,'Données projet'!$B$244,FZ53+FY54-GH53)))</f>
        <v>216.25</v>
      </c>
      <c r="GA54" s="18">
        <f>FZ54*VLOOKUP('Données projet'!$B$17,Paramètres!$A$1:$I$89,3,0)*VLOOKUP('Données projet'!$B$17,Paramètres!$A$1:$I$89,5,0)</f>
        <v>134.94</v>
      </c>
      <c r="GB54" s="14">
        <f t="shared" si="49"/>
        <v>35.135358771568036</v>
      </c>
      <c r="GC54" s="22">
        <f t="shared" si="25"/>
        <v>296.21458319381429</v>
      </c>
      <c r="GD54" s="62">
        <f t="shared" si="26"/>
        <v>561.38582682958281</v>
      </c>
      <c r="GE54" s="62">
        <f ca="1">AVERAGE(OFFSET($GD$3,0,0,'Données projet'!$E$17+1,1))-AVERAGE(OFFSET($H$3,0,0,'Données projet'!$E$17+1,1))</f>
        <v>252.60122125520482</v>
      </c>
      <c r="GF54" s="62">
        <f t="shared" si="50"/>
        <v>357.56833754121317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5.7515003970755538</v>
      </c>
      <c r="GN54" s="23">
        <f>EXP(-LN(2)/2)*GN53+(1-EXP(-LN(2)/2))/(LN(2)/2)*GH54*GK54*VLOOKUP('Données projet'!$B$17,Paramètres!$A$1:$I$89,3,0)*0.475*44/12</f>
        <v>1.1406806206112369E-2</v>
      </c>
      <c r="GO54" s="23">
        <f t="shared" si="27"/>
        <v>5.7629072032816664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7.6</v>
      </c>
      <c r="GU54" s="13">
        <f>IF('Données projet'!$A$270&gt;35,GU53+GT54-HC53,IF(A54&lt;'Données projet'!$A$270,$GR$205^A54,IF(A54='Données projet'!$A$270,'Données projet'!$B$270,GU53+GT54-HC53)))</f>
        <v>235.59999999999997</v>
      </c>
      <c r="GV54" s="18">
        <f>GU54*VLOOKUP('Données projet'!$B$18,Paramètres!$A$1:$I$89,3,0)*VLOOKUP('Données projet'!$B$18,Paramètres!$A$1:$I$89,5,0)</f>
        <v>191.11872</v>
      </c>
      <c r="GW54" s="14">
        <f t="shared" si="51"/>
        <v>47.787201388032145</v>
      </c>
      <c r="GX54" s="22">
        <f t="shared" si="28"/>
        <v>416.09447975082259</v>
      </c>
      <c r="GY54" s="62">
        <f t="shared" si="29"/>
        <v>681.26572338659105</v>
      </c>
      <c r="GZ54" s="62">
        <f ca="1">AVERAGE(OFFSET($GY$3,0,0,'Données projet'!$E$18+1,1))-AVERAGE(OFFSET($H$3,0,0,'Données projet'!$E$18+1,1))</f>
        <v>268.57152522489537</v>
      </c>
      <c r="HA54" s="62">
        <f t="shared" si="52"/>
        <v>311.80303557283207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3.75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13.75</v>
      </c>
      <c r="H55" s="70">
        <f t="shared" si="1"/>
        <v>201.66666666666666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projet'!$B$9,Paramètres!$A$1:$I$89,3,0)*VLOOKUP('Données projet'!$B$9,Paramètres!$A$1:$I$89,5,0)</f>
        <v>175.53119999999998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648.57863868616505</v>
      </c>
      <c r="S55" s="62">
        <f ca="1">AVERAGE(OFFSET($R$3,0,0,'Données projet'!$E$9+1,1))-AVERAGE(OFFSET($H$3,0,0,'Données projet'!$E$9+1,1))</f>
        <v>461.02780119093666</v>
      </c>
      <c r="T55" s="62">
        <f t="shared" si="34"/>
        <v>245.70016468438834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193.99999999999997</v>
      </c>
      <c r="AJ55" s="14">
        <f>AI55*VLOOKUP('Données projet'!$B$10,Paramètres!$A$1:$I$89,3,0)*VLOOKUP('Données projet'!$B$10,Paramètres!$A$1:$I$89,5,0)</f>
        <v>163.4256</v>
      </c>
      <c r="AK55" s="14">
        <f t="shared" si="35"/>
        <v>41.614213859377173</v>
      </c>
      <c r="AL55" s="22">
        <f t="shared" si="4"/>
        <v>357.11100913841528</v>
      </c>
      <c r="AM55" s="62">
        <f t="shared" si="5"/>
        <v>622.77080206943617</v>
      </c>
      <c r="AN55" s="62">
        <f ca="1">AVERAGE(OFFSET($AM$3,0,0,'Données projet'!$E$10+1,1))-AVERAGE(OFFSET($H$3,0,0,'Données projet'!$E$10+1,1))</f>
        <v>434.22500776975596</v>
      </c>
      <c r="AO55" s="62">
        <f t="shared" si="36"/>
        <v>232.59777933076705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5.2564102564102599</v>
      </c>
      <c r="BD55" s="13">
        <f>IF('Données projet'!$A$88&gt;35,BD54+BC55-BL54,IF(A55&lt;'Données projet'!$A$88,$BA$205^A55,IF(A55='Données projet'!$A$88,'Données projet'!$B$88,BD54+BC55-BL54)))</f>
        <v>159.87179487179486</v>
      </c>
      <c r="BE55" s="14">
        <f>BD55*VLOOKUP('Données projet'!$B$11,Paramètres!$A$1:$I$89,3,0)*VLOOKUP('Données projet'!$B$11,Paramètres!$A$1:$I$89,5,0)</f>
        <v>152.13399999999999</v>
      </c>
      <c r="BF55" s="14">
        <f t="shared" si="37"/>
        <v>39.063145346110034</v>
      </c>
      <c r="BG55" s="22">
        <f t="shared" si="7"/>
        <v>333.00169481114159</v>
      </c>
      <c r="BH55" s="62">
        <f t="shared" si="8"/>
        <v>598.66148774216254</v>
      </c>
      <c r="BI55" s="62">
        <f ca="1">AVERAGE(OFFSET($BH$3,0,0,'Données projet'!$E$11+1,1))-AVERAGE(OFFSET($H$3,0,0,'Données projet'!$E$11+1,1))</f>
        <v>393.3005580838161</v>
      </c>
      <c r="BJ55" s="62">
        <f t="shared" si="38"/>
        <v>295.86019897822757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7.3600000000000083</v>
      </c>
      <c r="BY55" s="13">
        <f>IF('Données projet'!$A$114&gt;35,BY54+BX55-CG54,IF(A55&lt;'Données projet'!$A$114,$BV$205^A55,IF(A55='Données projet'!$A$114,'Données projet'!$B$114,BY54+BX55-CG54)))</f>
        <v>256.51999999999992</v>
      </c>
      <c r="BZ55" s="14">
        <f>BY55*VLOOKUP('Données projet'!$B$12,Paramètres!$A$1:$I$89,3,0)*VLOOKUP('Données projet'!$B$12,Paramètres!$A$1:$I$89,5,0)</f>
        <v>204.08731199999997</v>
      </c>
      <c r="CA55" s="14">
        <f t="shared" si="39"/>
        <v>50.641374824638383</v>
      </c>
      <c r="CB55" s="22">
        <f t="shared" si="10"/>
        <v>443.65246288624508</v>
      </c>
      <c r="CC55" s="62">
        <f t="shared" si="11"/>
        <v>709.31225581726596</v>
      </c>
      <c r="CD55" s="62">
        <f ca="1">AVERAGE(OFFSET($CC$3,0,0,'Données projet'!$E$12+1,1))-AVERAGE(OFFSET($H$3,0,0,'Données projet'!$E$12+1,1))</f>
        <v>388.52230330563884</v>
      </c>
      <c r="CE55" s="62">
        <f t="shared" si="40"/>
        <v>418.94833960687333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7.3600000000000083</v>
      </c>
      <c r="CT55" s="13">
        <f>IF('Données projet'!$A$140&gt;35,CT54+CS55-DB54,IF(A55&lt;'Données projet'!$A$140,$CQ$205^A55,IF(A55='Données projet'!$A$140,'Données projet'!$B$140,CT54+CS55-DB54)))</f>
        <v>256.51999999999992</v>
      </c>
      <c r="CU55" s="18">
        <f>CT55*VLOOKUP('Données projet'!$B$13,Paramètres!$A$1:$I$89,3,0)*VLOOKUP('Données projet'!$B$13,Paramètres!$A$1:$I$89,5,0)</f>
        <v>188.08046399999995</v>
      </c>
      <c r="CV55" s="14">
        <f t="shared" si="41"/>
        <v>47.115320222436289</v>
      </c>
      <c r="CW55" s="22">
        <f t="shared" si="13"/>
        <v>409.63265752074312</v>
      </c>
      <c r="CX55" s="62">
        <f t="shared" si="14"/>
        <v>675.29245045176401</v>
      </c>
      <c r="CY55" s="62">
        <f ca="1">AVERAGE(OFFSET($CX$3,0,0,'Données projet'!$E$13+1,1))-AVERAGE(OFFSET($H$3,0,0,'Données projet'!$E$13+1,1))</f>
        <v>362.38131866207266</v>
      </c>
      <c r="CZ55" s="62">
        <f t="shared" si="42"/>
        <v>390.74498763200336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</v>
      </c>
      <c r="DO55" s="13">
        <f>IF('Données projet'!$A$166&gt;35,DO54+DN55-DW54,IF(A55&lt;'Données projet'!$A$166,$DL$205^A55,IF(A55='Données projet'!$A$166,'Données projet'!$B$166,DO54+DN55-DW54)))</f>
        <v>165.4</v>
      </c>
      <c r="DP55" s="18">
        <f>DO55*VLOOKUP('Données projet'!$B$14,Paramètres!$A$1:$I$89,3,0)*VLOOKUP('Données projet'!$B$14,Paramètres!$A$1:$I$89,5,0)</f>
        <v>144.49344000000002</v>
      </c>
      <c r="DQ55" s="14">
        <f t="shared" si="43"/>
        <v>37.324489208332842</v>
      </c>
      <c r="DR55" s="22">
        <f t="shared" si="16"/>
        <v>316.66622670451306</v>
      </c>
      <c r="DS55" s="62">
        <f t="shared" si="17"/>
        <v>582.32601963553395</v>
      </c>
      <c r="DT55" s="62">
        <f ca="1">AVERAGE(OFFSET($DS$3,0,0,'Données projet'!$E$14+1,1))-AVERAGE(OFFSET($H$3,0,0,'Données projet'!$E$14+1,1))</f>
        <v>334.4692012109935</v>
      </c>
      <c r="DU55" s="62">
        <f t="shared" si="44"/>
        <v>316.360405424036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17.285714285714285</v>
      </c>
      <c r="EJ55" s="13">
        <f>IF('Données projet'!$A$192&gt;35,EJ54+EI55-ER54,IF(A55&lt;'Données projet'!$A$192,$EG$205^A55,IF(A55='Données projet'!$A$192,'Données projet'!$B$192,EJ54+EI55-ER54)))</f>
        <v>444.85714285714266</v>
      </c>
      <c r="EK55" s="18">
        <f>EJ55*VLOOKUP('Données projet'!$B$15,Paramètres!$A$1:$I$89,3,0)*VLOOKUP('Données projet'!$B$15,Paramètres!$A$1:$I$89,5,0)</f>
        <v>248.67514285714276</v>
      </c>
      <c r="EL55" s="14">
        <f t="shared" si="45"/>
        <v>60.30215496200401</v>
      </c>
      <c r="EM55" s="22">
        <f t="shared" si="19"/>
        <v>538.13546036834725</v>
      </c>
      <c r="EN55" s="62">
        <f t="shared" si="20"/>
        <v>803.79525329936814</v>
      </c>
      <c r="EO55" s="62">
        <f ca="1">AVERAGE(OFFSET($EN$3,0,0,'Données projet'!$E$15+1,1))-AVERAGE(OFFSET($H$3,0,0,'Données projet'!$E$15+1,1))</f>
        <v>390.09289316045653</v>
      </c>
      <c r="EP55" s="62">
        <f t="shared" si="46"/>
        <v>364.34913542817617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4.0096081174183018</v>
      </c>
      <c r="EX55" s="23">
        <f>EXP(-LN(2)/2)*EX54+(1-EXP(-LN(2)/2))/(LN(2)/2)*ER55*EU55*VLOOKUP('Données projet'!$B$15,Paramètres!$A$1:$I$89,3,0)*0.475*44/12</f>
        <v>4.3859589393896049E-3</v>
      </c>
      <c r="EY55" s="24">
        <f t="shared" si="21"/>
        <v>4.0139940763576911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18.100000000000001</v>
      </c>
      <c r="FE55" s="13">
        <f>IF('Données projet'!$A$218&gt;35,FE54+FD55-FM54,IF(A55&lt;'Données projet'!$A$218,$FB$205^A55,IF(A55='Données projet'!$A$218,'Données projet'!$B$218,FE54+FD55-FM54)))</f>
        <v>306.60000000000008</v>
      </c>
      <c r="FF55" s="18">
        <f>FE55*VLOOKUP('Données projet'!$B$16,Paramètres!$A$1:$I$89,3,0)*VLOOKUP('Données projet'!$B$16,Paramètres!$A$1:$I$89,5,0)</f>
        <v>143.48880000000003</v>
      </c>
      <c r="FG55" s="14">
        <f t="shared" si="47"/>
        <v>37.095092027878884</v>
      </c>
      <c r="FH55" s="22">
        <f t="shared" si="22"/>
        <v>314.51694528188909</v>
      </c>
      <c r="FI55" s="62">
        <f t="shared" si="23"/>
        <v>580.17673821290998</v>
      </c>
      <c r="FJ55" s="62">
        <f ca="1">AVERAGE(OFFSET($FI$3,0,0,'Données projet'!$E$16+1,1))-AVERAGE(OFFSET($H$3,0,0,'Données projet'!$E$16+1,1))</f>
        <v>344.55118007058775</v>
      </c>
      <c r="FK55" s="62">
        <f t="shared" si="48"/>
        <v>144.16931602355001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9.75</v>
      </c>
      <c r="FZ55" s="13">
        <f>IF('Données projet'!$A$244&gt;35,FZ54+FY55-GH54,IF(A55&lt;'Données projet'!$A$244,$FW$205^A55,IF(A55='Données projet'!$A$244,'Données projet'!$B$244,FZ54+FY55-GH54)))</f>
        <v>226</v>
      </c>
      <c r="GA55" s="18">
        <f>FZ55*VLOOKUP('Données projet'!$B$17,Paramètres!$A$1:$I$89,3,0)*VLOOKUP('Données projet'!$B$17,Paramètres!$A$1:$I$89,5,0)</f>
        <v>141.024</v>
      </c>
      <c r="GB55" s="14">
        <f t="shared" si="49"/>
        <v>36.531489925882461</v>
      </c>
      <c r="GC55" s="22">
        <f t="shared" si="25"/>
        <v>309.24247828757859</v>
      </c>
      <c r="GD55" s="62">
        <f t="shared" si="26"/>
        <v>574.90227121859948</v>
      </c>
      <c r="GE55" s="62">
        <f ca="1">AVERAGE(OFFSET($GD$3,0,0,'Données projet'!$E$17+1,1))-AVERAGE(OFFSET($H$3,0,0,'Données projet'!$E$17+1,1))</f>
        <v>252.60122125520482</v>
      </c>
      <c r="GF55" s="62">
        <f t="shared" si="50"/>
        <v>357.56833754121317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5.5942253162592621</v>
      </c>
      <c r="GN55" s="23">
        <f>EXP(-LN(2)/2)*GN54+(1-EXP(-LN(2)/2))/(LN(2)/2)*GH55*GK55*VLOOKUP('Données projet'!$B$17,Paramètres!$A$1:$I$89,3,0)*0.475*44/12</f>
        <v>8.065830020022851E-3</v>
      </c>
      <c r="GO55" s="23">
        <f t="shared" si="27"/>
        <v>5.6022911462792848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7.6</v>
      </c>
      <c r="GU55" s="13">
        <f>IF('Données projet'!$A$270&gt;35,GU54+GT55-HC54,IF(A55&lt;'Données projet'!$A$270,$GR$205^A55,IF(A55='Données projet'!$A$270,'Données projet'!$B$270,GU54+GT55-HC54)))</f>
        <v>243.19999999999996</v>
      </c>
      <c r="GV55" s="18">
        <f>GU55*VLOOKUP('Données projet'!$B$18,Paramètres!$A$1:$I$89,3,0)*VLOOKUP('Données projet'!$B$18,Paramètres!$A$1:$I$89,5,0)</f>
        <v>197.28383999999997</v>
      </c>
      <c r="GW55" s="14">
        <f t="shared" si="51"/>
        <v>49.146763750789503</v>
      </c>
      <c r="GX55" s="22">
        <f t="shared" si="28"/>
        <v>429.19996819929173</v>
      </c>
      <c r="GY55" s="62">
        <f t="shared" si="29"/>
        <v>694.85976113031256</v>
      </c>
      <c r="GZ55" s="62">
        <f ca="1">AVERAGE(OFFSET($GY$3,0,0,'Données projet'!$E$18+1,1))-AVERAGE(OFFSET($H$3,0,0,'Données projet'!$E$18+1,1))</f>
        <v>268.57152522489537</v>
      </c>
      <c r="HA55" s="62">
        <f t="shared" si="52"/>
        <v>311.80303557283207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3.75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13.75</v>
      </c>
      <c r="H56" s="70">
        <f t="shared" si="1"/>
        <v>201.66666666666666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projet'!$B$9,Paramètres!$A$1:$I$89,3,0)*VLOOKUP('Données projet'!$B$9,Paramètres!$A$1:$I$89,5,0)</f>
        <v>182.76959999999997</v>
      </c>
      <c r="P56" s="14">
        <f t="shared" si="33"/>
        <v>45.937822477650357</v>
      </c>
      <c r="Q56" s="22">
        <f t="shared" si="53"/>
        <v>398.33209414857424</v>
      </c>
      <c r="R56" s="62">
        <f t="shared" si="0"/>
        <v>664.47196113680752</v>
      </c>
      <c r="S56" s="62">
        <f ca="1">AVERAGE(OFFSET($R$3,0,0,'Données projet'!$E$9+1,1))-AVERAGE(OFFSET($H$3,0,0,'Données projet'!$E$9+1,1))</f>
        <v>461.02780119093666</v>
      </c>
      <c r="T56" s="62">
        <f t="shared" si="34"/>
        <v>245.70016468438834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201.99999999999997</v>
      </c>
      <c r="AJ56" s="14">
        <f>AI56*VLOOKUP('Données projet'!$B$10,Paramètres!$A$1:$I$89,3,0)*VLOOKUP('Données projet'!$B$10,Paramètres!$A$1:$I$89,5,0)</f>
        <v>170.16480000000001</v>
      </c>
      <c r="AK56" s="14">
        <f t="shared" si="35"/>
        <v>43.126931221446739</v>
      </c>
      <c r="AL56" s="22">
        <f t="shared" si="4"/>
        <v>371.4830985440197</v>
      </c>
      <c r="AM56" s="62">
        <f t="shared" si="5"/>
        <v>637.62296553225292</v>
      </c>
      <c r="AN56" s="62">
        <f ca="1">AVERAGE(OFFSET($AM$3,0,0,'Données projet'!$E$10+1,1))-AVERAGE(OFFSET($H$3,0,0,'Données projet'!$E$10+1,1))</f>
        <v>434.22500776975596</v>
      </c>
      <c r="AO56" s="62">
        <f t="shared" si="36"/>
        <v>232.59777933076705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5.2564102564102599</v>
      </c>
      <c r="BD56" s="13">
        <f>IF('Données projet'!$A$88&gt;35,BD55+BC56-BL55,IF(A56&lt;'Données projet'!$A$88,$BA$205^A56,IF(A56='Données projet'!$A$88,'Données projet'!$B$88,BD55+BC56-BL55)))</f>
        <v>165.12820512820511</v>
      </c>
      <c r="BE56" s="14">
        <f>BD56*VLOOKUP('Données projet'!$B$11,Paramètres!$A$1:$I$89,3,0)*VLOOKUP('Données projet'!$B$11,Paramètres!$A$1:$I$89,5,0)</f>
        <v>157.136</v>
      </c>
      <c r="BF56" s="14">
        <f t="shared" si="37"/>
        <v>40.195854714214285</v>
      </c>
      <c r="BG56" s="22">
        <f t="shared" si="7"/>
        <v>343.68631362725654</v>
      </c>
      <c r="BH56" s="62">
        <f t="shared" si="8"/>
        <v>609.82618061548976</v>
      </c>
      <c r="BI56" s="62">
        <f ca="1">AVERAGE(OFFSET($BH$3,0,0,'Données projet'!$E$11+1,1))-AVERAGE(OFFSET($H$3,0,0,'Données projet'!$E$11+1,1))</f>
        <v>393.3005580838161</v>
      </c>
      <c r="BJ56" s="62">
        <f t="shared" si="38"/>
        <v>295.86019897822757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7.3600000000000083</v>
      </c>
      <c r="BY56" s="13">
        <f>IF('Données projet'!$A$114&gt;35,BY55+BX56-CG55,IF(A56&lt;'Données projet'!$A$114,$BV$205^A56,IF(A56='Données projet'!$A$114,'Données projet'!$B$114,BY55+BX56-CG55)))</f>
        <v>263.87999999999994</v>
      </c>
      <c r="BZ56" s="14">
        <f>BY56*VLOOKUP('Données projet'!$B$12,Paramètres!$A$1:$I$89,3,0)*VLOOKUP('Données projet'!$B$12,Paramètres!$A$1:$I$89,5,0)</f>
        <v>209.94292799999997</v>
      </c>
      <c r="CA56" s="14">
        <f t="shared" si="39"/>
        <v>51.9231138331048</v>
      </c>
      <c r="CB56" s="22">
        <f t="shared" si="10"/>
        <v>456.08335619265745</v>
      </c>
      <c r="CC56" s="62">
        <f t="shared" si="11"/>
        <v>722.22322318089073</v>
      </c>
      <c r="CD56" s="62">
        <f ca="1">AVERAGE(OFFSET($CC$3,0,0,'Données projet'!$E$12+1,1))-AVERAGE(OFFSET($H$3,0,0,'Données projet'!$E$12+1,1))</f>
        <v>388.52230330563884</v>
      </c>
      <c r="CE56" s="62">
        <f t="shared" si="40"/>
        <v>418.94833960687333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7.3600000000000083</v>
      </c>
      <c r="CT56" s="13">
        <f>IF('Données projet'!$A$140&gt;35,CT55+CS56-DB55,IF(A56&lt;'Données projet'!$A$140,$CQ$205^A56,IF(A56='Données projet'!$A$140,'Données projet'!$B$140,CT55+CS56-DB55)))</f>
        <v>263.87999999999994</v>
      </c>
      <c r="CU56" s="18">
        <f>CT56*VLOOKUP('Données projet'!$B$13,Paramètres!$A$1:$I$89,3,0)*VLOOKUP('Données projet'!$B$13,Paramètres!$A$1:$I$89,5,0)</f>
        <v>193.47681599999996</v>
      </c>
      <c r="CV56" s="14">
        <f t="shared" si="41"/>
        <v>48.307814384267459</v>
      </c>
      <c r="CW56" s="22">
        <f t="shared" si="13"/>
        <v>421.10823125259907</v>
      </c>
      <c r="CX56" s="62">
        <f t="shared" si="14"/>
        <v>687.24809824083229</v>
      </c>
      <c r="CY56" s="62">
        <f ca="1">AVERAGE(OFFSET($CX$3,0,0,'Données projet'!$E$13+1,1))-AVERAGE(OFFSET($H$3,0,0,'Données projet'!$E$13+1,1))</f>
        <v>362.38131866207266</v>
      </c>
      <c r="CZ56" s="62">
        <f t="shared" si="42"/>
        <v>390.74498763200336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</v>
      </c>
      <c r="DO56" s="13">
        <f>IF('Données projet'!$A$166&gt;35,DO55+DN56-DW55,IF(A56&lt;'Données projet'!$A$166,$DL$205^A56,IF(A56='Données projet'!$A$166,'Données projet'!$B$166,DO55+DN56-DW55)))</f>
        <v>170.6</v>
      </c>
      <c r="DP56" s="18">
        <f>DO56*VLOOKUP('Données projet'!$B$14,Paramètres!$A$1:$I$89,3,0)*VLOOKUP('Données projet'!$B$14,Paramètres!$A$1:$I$89,5,0)</f>
        <v>149.03616</v>
      </c>
      <c r="DQ56" s="14">
        <f t="shared" si="43"/>
        <v>38.35946741279561</v>
      </c>
      <c r="DR56" s="22">
        <f t="shared" si="16"/>
        <v>326.38071774395229</v>
      </c>
      <c r="DS56" s="62">
        <f t="shared" si="17"/>
        <v>592.52058473218551</v>
      </c>
      <c r="DT56" s="62">
        <f ca="1">AVERAGE(OFFSET($DS$3,0,0,'Données projet'!$E$14+1,1))-AVERAGE(OFFSET($H$3,0,0,'Données projet'!$E$14+1,1))</f>
        <v>334.4692012109935</v>
      </c>
      <c r="DU56" s="62">
        <f t="shared" si="44"/>
        <v>316.360405424036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17.285714285714285</v>
      </c>
      <c r="EJ56" s="13">
        <f>IF('Données projet'!$A$192&gt;35,EJ55+EI56-ER55,IF(A56&lt;'Données projet'!$A$192,$EG$205^A56,IF(A56='Données projet'!$A$192,'Données projet'!$B$192,EJ55+EI56-ER55)))</f>
        <v>462.14285714285694</v>
      </c>
      <c r="EK56" s="18">
        <f>EJ56*VLOOKUP('Données projet'!$B$15,Paramètres!$A$1:$I$89,3,0)*VLOOKUP('Données projet'!$B$15,Paramètres!$A$1:$I$89,5,0)</f>
        <v>258.33785714285705</v>
      </c>
      <c r="EL56" s="14">
        <f t="shared" si="45"/>
        <v>62.367944130057822</v>
      </c>
      <c r="EM56" s="22">
        <f t="shared" si="19"/>
        <v>558.56260388366002</v>
      </c>
      <c r="EN56" s="62">
        <f t="shared" si="20"/>
        <v>824.70247087189318</v>
      </c>
      <c r="EO56" s="62">
        <f ca="1">AVERAGE(OFFSET($EN$3,0,0,'Données projet'!$E$15+1,1))-AVERAGE(OFFSET($H$3,0,0,'Données projet'!$E$15+1,1))</f>
        <v>390.09289316045653</v>
      </c>
      <c r="EP56" s="62">
        <f t="shared" si="46"/>
        <v>364.34913542817617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3.8999651725913713</v>
      </c>
      <c r="EX56" s="23">
        <f>EXP(-LN(2)/2)*EX55+(1-EXP(-LN(2)/2))/(LN(2)/2)*ER56*EU56*VLOOKUP('Données projet'!$B$15,Paramètres!$A$1:$I$89,3,0)*0.475*44/12</f>
        <v>3.1013413080481474E-3</v>
      </c>
      <c r="EY56" s="24">
        <f t="shared" si="21"/>
        <v>3.9030665138994194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18.100000000000001</v>
      </c>
      <c r="FE56" s="13">
        <f>IF('Données projet'!$A$218&gt;35,FE55+FD56-FM55,IF(A56&lt;'Données projet'!$A$218,$FB$205^A56,IF(A56='Données projet'!$A$218,'Données projet'!$B$218,FE55+FD56-FM55)))</f>
        <v>324.7000000000001</v>
      </c>
      <c r="FF56" s="18">
        <f>FE56*VLOOKUP('Données projet'!$B$16,Paramètres!$A$1:$I$89,3,0)*VLOOKUP('Données projet'!$B$16,Paramètres!$A$1:$I$89,5,0)</f>
        <v>151.95960000000005</v>
      </c>
      <c r="FG56" s="14">
        <f t="shared" si="47"/>
        <v>39.023574794907688</v>
      </c>
      <c r="FH56" s="22">
        <f t="shared" si="22"/>
        <v>332.62902943446431</v>
      </c>
      <c r="FI56" s="62">
        <f t="shared" si="23"/>
        <v>598.76889642269748</v>
      </c>
      <c r="FJ56" s="62">
        <f ca="1">AVERAGE(OFFSET($FI$3,0,0,'Données projet'!$E$16+1,1))-AVERAGE(OFFSET($H$3,0,0,'Données projet'!$E$16+1,1))</f>
        <v>344.55118007058775</v>
      </c>
      <c r="FK56" s="62">
        <f t="shared" si="48"/>
        <v>144.16931602355001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9.75</v>
      </c>
      <c r="FZ56" s="13">
        <f>IF('Données projet'!$A$244&gt;35,FZ55+FY56-GH55,IF(A56&lt;'Données projet'!$A$244,$FW$205^A56,IF(A56='Données projet'!$A$244,'Données projet'!$B$244,FZ55+FY56-GH55)))</f>
        <v>235.75</v>
      </c>
      <c r="GA56" s="18">
        <f>FZ56*VLOOKUP('Données projet'!$B$17,Paramètres!$A$1:$I$89,3,0)*VLOOKUP('Données projet'!$B$17,Paramètres!$A$1:$I$89,5,0)</f>
        <v>147.108</v>
      </c>
      <c r="GB56" s="14">
        <f t="shared" si="49"/>
        <v>37.920625436598897</v>
      </c>
      <c r="GC56" s="22">
        <f t="shared" si="25"/>
        <v>322.25818930207646</v>
      </c>
      <c r="GD56" s="62">
        <f t="shared" si="26"/>
        <v>588.39805629030968</v>
      </c>
      <c r="GE56" s="62">
        <f ca="1">AVERAGE(OFFSET($GD$3,0,0,'Données projet'!$E$17+1,1))-AVERAGE(OFFSET($H$3,0,0,'Données projet'!$E$17+1,1))</f>
        <v>252.60122125520482</v>
      </c>
      <c r="GF56" s="62">
        <f t="shared" si="50"/>
        <v>357.56833754121317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5.4412509307986294</v>
      </c>
      <c r="GN56" s="23">
        <f>EXP(-LN(2)/2)*GN55+(1-EXP(-LN(2)/2))/(LN(2)/2)*GH56*GK56*VLOOKUP('Données projet'!$B$17,Paramètres!$A$1:$I$89,3,0)*0.475*44/12</f>
        <v>5.7034031030561844E-3</v>
      </c>
      <c r="GO56" s="23">
        <f t="shared" si="27"/>
        <v>5.4469543339016857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7.6</v>
      </c>
      <c r="GU56" s="13">
        <f>IF('Données projet'!$A$270&gt;35,GU55+GT56-HC55,IF(A56&lt;'Données projet'!$A$270,$GR$205^A56,IF(A56='Données projet'!$A$270,'Données projet'!$B$270,GU55+GT56-HC55)))</f>
        <v>250.79999999999995</v>
      </c>
      <c r="GV56" s="18">
        <f>GU56*VLOOKUP('Données projet'!$B$18,Paramètres!$A$1:$I$89,3,0)*VLOOKUP('Données projet'!$B$18,Paramètres!$A$1:$I$89,5,0)</f>
        <v>203.44895999999997</v>
      </c>
      <c r="GW56" s="14">
        <f t="shared" si="51"/>
        <v>50.501388840000267</v>
      </c>
      <c r="GX56" s="22">
        <f t="shared" si="28"/>
        <v>442.2968575630004</v>
      </c>
      <c r="GY56" s="62">
        <f t="shared" si="29"/>
        <v>708.43672455123362</v>
      </c>
      <c r="GZ56" s="62">
        <f ca="1">AVERAGE(OFFSET($GY$3,0,0,'Données projet'!$E$18+1,1))-AVERAGE(OFFSET($H$3,0,0,'Données projet'!$E$18+1,1))</f>
        <v>268.57152522489537</v>
      </c>
      <c r="HA56" s="62">
        <f t="shared" si="52"/>
        <v>311.80303557283207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3.75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13.75</v>
      </c>
      <c r="H57" s="70">
        <f t="shared" si="1"/>
        <v>201.66666666666666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projet'!$B$9,Paramètres!$A$1:$I$89,3,0)*VLOOKUP('Données projet'!$B$9,Paramètres!$A$1:$I$89,5,0)</f>
        <v>190.00799999999995</v>
      </c>
      <c r="P57" s="14">
        <f t="shared" si="33"/>
        <v>47.541721533308163</v>
      </c>
      <c r="Q57" s="22">
        <f t="shared" si="53"/>
        <v>413.73243167051163</v>
      </c>
      <c r="R57" s="62">
        <f t="shared" si="0"/>
        <v>680.34404450434954</v>
      </c>
      <c r="S57" s="62">
        <f ca="1">AVERAGE(OFFSET($R$3,0,0,'Données projet'!$E$9+1,1))-AVERAGE(OFFSET($H$3,0,0,'Données projet'!$E$9+1,1))</f>
        <v>461.02780119093666</v>
      </c>
      <c r="T57" s="62">
        <f t="shared" si="34"/>
        <v>245.70016468438834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209.99999999999997</v>
      </c>
      <c r="AJ57" s="14">
        <f>AI57*VLOOKUP('Données projet'!$B$10,Paramètres!$A$1:$I$89,3,0)*VLOOKUP('Données projet'!$B$10,Paramètres!$A$1:$I$89,5,0)</f>
        <v>176.904</v>
      </c>
      <c r="AK57" s="14">
        <f t="shared" si="35"/>
        <v>44.632689233663157</v>
      </c>
      <c r="AL57" s="22">
        <f t="shared" si="4"/>
        <v>385.84306708196328</v>
      </c>
      <c r="AM57" s="62">
        <f t="shared" si="5"/>
        <v>652.45467991580108</v>
      </c>
      <c r="AN57" s="62">
        <f ca="1">AVERAGE(OFFSET($AM$3,0,0,'Données projet'!$E$10+1,1))-AVERAGE(OFFSET($H$3,0,0,'Données projet'!$E$10+1,1))</f>
        <v>434.22500776975596</v>
      </c>
      <c r="AO57" s="62">
        <f t="shared" si="36"/>
        <v>232.59777933076705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5.2564102564102599</v>
      </c>
      <c r="BD57" s="13">
        <f>IF('Données projet'!$A$88&gt;35,BD56+BC57-BL56,IF(A57&lt;'Données projet'!$A$88,$BA$205^A57,IF(A57='Données projet'!$A$88,'Données projet'!$B$88,BD56+BC57-BL56)))</f>
        <v>170.38461538461536</v>
      </c>
      <c r="BE57" s="14">
        <f>BD57*VLOOKUP('Données projet'!$B$11,Paramètres!$A$1:$I$89,3,0)*VLOOKUP('Données projet'!$B$11,Paramètres!$A$1:$I$89,5,0)</f>
        <v>162.13799999999998</v>
      </c>
      <c r="BF57" s="14">
        <f t="shared" si="37"/>
        <v>41.324374095861224</v>
      </c>
      <c r="BG57" s="22">
        <f t="shared" si="7"/>
        <v>354.36363488362491</v>
      </c>
      <c r="BH57" s="62">
        <f t="shared" si="8"/>
        <v>620.97524771746271</v>
      </c>
      <c r="BI57" s="62">
        <f ca="1">AVERAGE(OFFSET($BH$3,0,0,'Données projet'!$E$11+1,1))-AVERAGE(OFFSET($H$3,0,0,'Données projet'!$E$11+1,1))</f>
        <v>393.3005580838161</v>
      </c>
      <c r="BJ57" s="62">
        <f t="shared" si="38"/>
        <v>295.86019897822757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7.3600000000000083</v>
      </c>
      <c r="BY57" s="13">
        <f>IF('Données projet'!$A$114&gt;35,BY56+BX57-CG56,IF(A57&lt;'Données projet'!$A$114,$BV$205^A57,IF(A57='Données projet'!$A$114,'Données projet'!$B$114,BY56+BX57-CG56)))</f>
        <v>271.23999999999995</v>
      </c>
      <c r="BZ57" s="14">
        <f>BY57*VLOOKUP('Données projet'!$B$12,Paramètres!$A$1:$I$89,3,0)*VLOOKUP('Données projet'!$B$12,Paramètres!$A$1:$I$89,5,0)</f>
        <v>215.79854399999996</v>
      </c>
      <c r="CA57" s="14">
        <f t="shared" si="39"/>
        <v>53.200697768809484</v>
      </c>
      <c r="CB57" s="22">
        <f t="shared" si="10"/>
        <v>468.50701274734303</v>
      </c>
      <c r="CC57" s="62">
        <f t="shared" si="11"/>
        <v>735.11862558118082</v>
      </c>
      <c r="CD57" s="62">
        <f ca="1">AVERAGE(OFFSET($CC$3,0,0,'Données projet'!$E$12+1,1))-AVERAGE(OFFSET($H$3,0,0,'Données projet'!$E$12+1,1))</f>
        <v>388.52230330563884</v>
      </c>
      <c r="CE57" s="62">
        <f t="shared" si="40"/>
        <v>418.94833960687333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7.3600000000000083</v>
      </c>
      <c r="CT57" s="13">
        <f>IF('Données projet'!$A$140&gt;35,CT56+CS57-DB56,IF(A57&lt;'Données projet'!$A$140,$CQ$205^A57,IF(A57='Données projet'!$A$140,'Données projet'!$B$140,CT56+CS57-DB56)))</f>
        <v>271.23999999999995</v>
      </c>
      <c r="CU57" s="18">
        <f>CT57*VLOOKUP('Données projet'!$B$13,Paramètres!$A$1:$I$89,3,0)*VLOOKUP('Données projet'!$B$13,Paramètres!$A$1:$I$89,5,0)</f>
        <v>198.87316799999996</v>
      </c>
      <c r="CV57" s="14">
        <f t="shared" si="41"/>
        <v>49.496442782493347</v>
      </c>
      <c r="CW57" s="22">
        <f t="shared" si="13"/>
        <v>432.57707211284247</v>
      </c>
      <c r="CX57" s="62">
        <f t="shared" si="14"/>
        <v>699.18868494668027</v>
      </c>
      <c r="CY57" s="62">
        <f ca="1">AVERAGE(OFFSET($CX$3,0,0,'Données projet'!$E$13+1,1))-AVERAGE(OFFSET($H$3,0,0,'Données projet'!$E$13+1,1))</f>
        <v>362.38131866207266</v>
      </c>
      <c r="CZ57" s="62">
        <f t="shared" si="42"/>
        <v>390.74498763200336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</v>
      </c>
      <c r="DO57" s="13">
        <f>IF('Données projet'!$A$166&gt;35,DO56+DN57-DW56,IF(A57&lt;'Données projet'!$A$166,$DL$205^A57,IF(A57='Données projet'!$A$166,'Données projet'!$B$166,DO56+DN57-DW56)))</f>
        <v>175.79999999999998</v>
      </c>
      <c r="DP57" s="18">
        <f>DO57*VLOOKUP('Données projet'!$B$14,Paramètres!$A$1:$I$89,3,0)*VLOOKUP('Données projet'!$B$14,Paramètres!$A$1:$I$89,5,0)</f>
        <v>153.57888</v>
      </c>
      <c r="DQ57" s="14">
        <f t="shared" si="43"/>
        <v>39.390779474606148</v>
      </c>
      <c r="DR57" s="22">
        <f t="shared" si="16"/>
        <v>336.08882358493901</v>
      </c>
      <c r="DS57" s="62">
        <f t="shared" si="17"/>
        <v>602.70043641877692</v>
      </c>
      <c r="DT57" s="62">
        <f ca="1">AVERAGE(OFFSET($DS$3,0,0,'Données projet'!$E$14+1,1))-AVERAGE(OFFSET($H$3,0,0,'Données projet'!$E$14+1,1))</f>
        <v>334.4692012109935</v>
      </c>
      <c r="DU57" s="62">
        <f t="shared" si="44"/>
        <v>316.360405424036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17.285714285714285</v>
      </c>
      <c r="EJ57" s="13">
        <f>IF('Données projet'!$A$192&gt;35,EJ56+EI57-ER56,IF(A57&lt;'Données projet'!$A$192,$EG$205^A57,IF(A57='Données projet'!$A$192,'Données projet'!$B$192,EJ56+EI57-ER56)))</f>
        <v>479.42857142857122</v>
      </c>
      <c r="EK57" s="18">
        <f>EJ57*VLOOKUP('Données projet'!$B$15,Paramètres!$A$1:$I$89,3,0)*VLOOKUP('Données projet'!$B$15,Paramètres!$A$1:$I$89,5,0)</f>
        <v>268.00057142857128</v>
      </c>
      <c r="EL57" s="14">
        <f t="shared" si="45"/>
        <v>64.42475669606354</v>
      </c>
      <c r="EM57" s="22">
        <f t="shared" si="19"/>
        <v>578.97411315040551</v>
      </c>
      <c r="EN57" s="62">
        <f t="shared" si="20"/>
        <v>845.58572598424337</v>
      </c>
      <c r="EO57" s="62">
        <f ca="1">AVERAGE(OFFSET($EN$3,0,0,'Données projet'!$E$15+1,1))-AVERAGE(OFFSET($H$3,0,0,'Données projet'!$E$15+1,1))</f>
        <v>390.09289316045653</v>
      </c>
      <c r="EP57" s="62">
        <f t="shared" si="46"/>
        <v>364.34913542817617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3.7933204198566055</v>
      </c>
      <c r="EX57" s="23">
        <f>EXP(-LN(2)/2)*EX56+(1-EXP(-LN(2)/2))/(LN(2)/2)*ER57*EU57*VLOOKUP('Données projet'!$B$15,Paramètres!$A$1:$I$89,3,0)*0.475*44/12</f>
        <v>2.1929794696948024E-3</v>
      </c>
      <c r="EY57" s="24">
        <f t="shared" si="21"/>
        <v>3.7955133993263002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18.100000000000001</v>
      </c>
      <c r="FE57" s="13">
        <f>IF('Données projet'!$A$218&gt;35,FE56+FD57-FM56,IF(A57&lt;'Données projet'!$A$218,$FB$205^A57,IF(A57='Données projet'!$A$218,'Données projet'!$B$218,FE56+FD57-FM56)))</f>
        <v>342.80000000000013</v>
      </c>
      <c r="FF57" s="18">
        <f>FE57*VLOOKUP('Données projet'!$B$16,Paramètres!$A$1:$I$89,3,0)*VLOOKUP('Données projet'!$B$16,Paramètres!$A$1:$I$89,5,0)</f>
        <v>160.43040000000005</v>
      </c>
      <c r="FG57" s="14">
        <f t="shared" si="47"/>
        <v>40.939578144953074</v>
      </c>
      <c r="FH57" s="22">
        <f t="shared" si="22"/>
        <v>350.71937860245998</v>
      </c>
      <c r="FI57" s="62">
        <f t="shared" si="23"/>
        <v>617.33099143629784</v>
      </c>
      <c r="FJ57" s="62">
        <f ca="1">AVERAGE(OFFSET($FI$3,0,0,'Données projet'!$E$16+1,1))-AVERAGE(OFFSET($H$3,0,0,'Données projet'!$E$16+1,1))</f>
        <v>344.55118007058775</v>
      </c>
      <c r="FK57" s="62">
        <f t="shared" si="48"/>
        <v>144.16931602355001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9.75</v>
      </c>
      <c r="FZ57" s="13">
        <f>IF('Données projet'!$A$244&gt;35,FZ56+FY57-GH56,IF(A57&lt;'Données projet'!$A$244,$FW$205^A57,IF(A57='Données projet'!$A$244,'Données projet'!$B$244,FZ56+FY57-GH56)))</f>
        <v>245.5</v>
      </c>
      <c r="GA57" s="18">
        <f>FZ57*VLOOKUP('Données projet'!$B$17,Paramètres!$A$1:$I$89,3,0)*VLOOKUP('Données projet'!$B$17,Paramètres!$A$1:$I$89,5,0)</f>
        <v>153.19199999999998</v>
      </c>
      <c r="GB57" s="14">
        <f t="shared" si="49"/>
        <v>39.303087713366921</v>
      </c>
      <c r="GC57" s="22">
        <f t="shared" si="25"/>
        <v>335.2622777674473</v>
      </c>
      <c r="GD57" s="62">
        <f t="shared" si="26"/>
        <v>601.87389060128521</v>
      </c>
      <c r="GE57" s="62">
        <f ca="1">AVERAGE(OFFSET($GD$3,0,0,'Données projet'!$E$17+1,1))-AVERAGE(OFFSET($H$3,0,0,'Données projet'!$E$17+1,1))</f>
        <v>252.60122125520482</v>
      </c>
      <c r="GF57" s="62">
        <f t="shared" si="50"/>
        <v>357.56833754121317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5.2924596379529909</v>
      </c>
      <c r="GN57" s="23">
        <f>EXP(-LN(2)/2)*GN56+(1-EXP(-LN(2)/2))/(LN(2)/2)*GH57*GK57*VLOOKUP('Données projet'!$B$17,Paramètres!$A$1:$I$89,3,0)*0.475*44/12</f>
        <v>4.0329150100114255E-3</v>
      </c>
      <c r="GO57" s="23">
        <f t="shared" si="27"/>
        <v>5.2964925529630023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7.6</v>
      </c>
      <c r="GU57" s="13">
        <f>IF('Données projet'!$A$270&gt;35,GU56+GT57-HC56,IF(A57&lt;'Données projet'!$A$270,$GR$205^A57,IF(A57='Données projet'!$A$270,'Données projet'!$B$270,GU56+GT57-HC56)))</f>
        <v>258.39999999999998</v>
      </c>
      <c r="GV57" s="18">
        <f>GU57*VLOOKUP('Données projet'!$B$18,Paramètres!$A$1:$I$89,3,0)*VLOOKUP('Données projet'!$B$18,Paramètres!$A$1:$I$89,5,0)</f>
        <v>209.61408</v>
      </c>
      <c r="GW57" s="14">
        <f t="shared" si="51"/>
        <v>51.851243442662593</v>
      </c>
      <c r="GX57" s="22">
        <f t="shared" si="28"/>
        <v>455.38543832930395</v>
      </c>
      <c r="GY57" s="62">
        <f t="shared" si="29"/>
        <v>721.9970511631418</v>
      </c>
      <c r="GZ57" s="62">
        <f ca="1">AVERAGE(OFFSET($GY$3,0,0,'Données projet'!$E$18+1,1))-AVERAGE(OFFSET($H$3,0,0,'Données projet'!$E$18+1,1))</f>
        <v>268.57152522489537</v>
      </c>
      <c r="HA57" s="62">
        <f t="shared" si="52"/>
        <v>311.80303557283207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3.75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13.75</v>
      </c>
      <c r="H58" s="70">
        <f t="shared" si="1"/>
        <v>201.66666666666666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projet'!$B$9,Paramètres!$A$1:$I$89,3,0)*VLOOKUP('Données projet'!$B$9,Paramètres!$A$1:$I$89,5,0)</f>
        <v>197.24639999999997</v>
      </c>
      <c r="P58" s="14">
        <f t="shared" si="33"/>
        <v>49.138522374247202</v>
      </c>
      <c r="Q58" s="22">
        <f t="shared" si="53"/>
        <v>429.1204064684805</v>
      </c>
      <c r="R58" s="62">
        <f t="shared" si="0"/>
        <v>696.19558141216726</v>
      </c>
      <c r="S58" s="62">
        <f ca="1">AVERAGE(OFFSET($R$3,0,0,'Données projet'!$E$9+1,1))-AVERAGE(OFFSET($H$3,0,0,'Données projet'!$E$9+1,1))</f>
        <v>461.02780119093666</v>
      </c>
      <c r="T58" s="62">
        <f t="shared" si="34"/>
        <v>245.70016468438834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217.99999999999997</v>
      </c>
      <c r="AJ58" s="14">
        <f>AI58*VLOOKUP('Données projet'!$B$10,Paramètres!$A$1:$I$89,3,0)*VLOOKUP('Données projet'!$B$10,Paramètres!$A$1:$I$89,5,0)</f>
        <v>183.64320000000001</v>
      </c>
      <c r="AK58" s="14">
        <f t="shared" si="35"/>
        <v>46.131783364105026</v>
      </c>
      <c r="AL58" s="22">
        <f t="shared" si="4"/>
        <v>400.19142935914959</v>
      </c>
      <c r="AM58" s="62">
        <f t="shared" si="5"/>
        <v>667.26660430283641</v>
      </c>
      <c r="AN58" s="62">
        <f ca="1">AVERAGE(OFFSET($AM$3,0,0,'Données projet'!$E$10+1,1))-AVERAGE(OFFSET($H$3,0,0,'Données projet'!$E$10+1,1))</f>
        <v>434.22500776975596</v>
      </c>
      <c r="AO58" s="62">
        <f t="shared" si="36"/>
        <v>232.59777933076705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175.64102564102564</v>
      </c>
      <c r="BB58" s="13">
        <f>VLOOKUP(A58,'Données projet'!$A$87:$I$107,9,0)</f>
        <v>5.2564102564102599</v>
      </c>
      <c r="BC58" s="13">
        <f t="array" ref="BC58">INDEX(BB:BB,MIN(IF(ISNUMBER(BB58:BB254),ROW(BB58:BB254),"")))</f>
        <v>5.2564102564102599</v>
      </c>
      <c r="BD58" s="13">
        <f>IF('Données projet'!$A$88&gt;35,BD57+BC58-BL57,IF(A58&lt;'Données projet'!$A$88,$BA$205^A58,IF(A58='Données projet'!$A$88,'Données projet'!$B$88,BD57+BC58-BL57)))</f>
        <v>175.64102564102561</v>
      </c>
      <c r="BE58" s="14">
        <f>BD58*VLOOKUP('Données projet'!$B$11,Paramètres!$A$1:$I$89,3,0)*VLOOKUP('Données projet'!$B$11,Paramètres!$A$1:$I$89,5,0)</f>
        <v>167.14</v>
      </c>
      <c r="BF58" s="14">
        <f t="shared" si="37"/>
        <v>42.448847586931429</v>
      </c>
      <c r="BG58" s="22">
        <f t="shared" si="7"/>
        <v>365.03390954723886</v>
      </c>
      <c r="BH58" s="62">
        <f t="shared" si="8"/>
        <v>632.10908449092562</v>
      </c>
      <c r="BI58" s="62">
        <f ca="1">AVERAGE(OFFSET($BH$3,0,0,'Données projet'!$E$11+1,1))-AVERAGE(OFFSET($H$3,0,0,'Données projet'!$E$11+1,1))</f>
        <v>393.3005580838161</v>
      </c>
      <c r="BJ58" s="62">
        <f t="shared" si="38"/>
        <v>295.86019897822757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278.60000000000002</v>
      </c>
      <c r="BW58" s="13">
        <f>VLOOKUP(A58,'Données projet'!$A$113:$I$133,9,0)</f>
        <v>7.3600000000000083</v>
      </c>
      <c r="BX58" s="13">
        <f t="array" ref="BX58">INDEX(BW:BW,MIN(IF(ISNUMBER(BW58:BW254),ROW(BW58:BW254),"")))</f>
        <v>7.3600000000000083</v>
      </c>
      <c r="BY58" s="13">
        <f>IF('Données projet'!$A$114&gt;35,BY57+BX58-CG57,IF(A58&lt;'Données projet'!$A$114,$BV$205^A58,IF(A58='Données projet'!$A$114,'Données projet'!$B$114,BY57+BX58-CG57)))</f>
        <v>278.59999999999997</v>
      </c>
      <c r="BZ58" s="14">
        <f>BY58*VLOOKUP('Données projet'!$B$12,Paramètres!$A$1:$I$89,3,0)*VLOOKUP('Données projet'!$B$12,Paramètres!$A$1:$I$89,5,0)</f>
        <v>221.65415999999999</v>
      </c>
      <c r="CA58" s="14">
        <f t="shared" si="39"/>
        <v>54.474252334510162</v>
      </c>
      <c r="CB58" s="22">
        <f t="shared" si="10"/>
        <v>480.92365148260507</v>
      </c>
      <c r="CC58" s="62">
        <f t="shared" si="11"/>
        <v>747.99882642629188</v>
      </c>
      <c r="CD58" s="62">
        <f ca="1">AVERAGE(OFFSET($CC$3,0,0,'Données projet'!$E$12+1,1))-AVERAGE(OFFSET($H$3,0,0,'Données projet'!$E$12+1,1))</f>
        <v>388.52230330563884</v>
      </c>
      <c r="CE58" s="62">
        <f t="shared" si="40"/>
        <v>418.94833960687333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278.60000000000002</v>
      </c>
      <c r="CR58" s="13">
        <f>VLOOKUP(A58,'Données projet'!$A$139:$I$159,9,0)</f>
        <v>7.3600000000000083</v>
      </c>
      <c r="CS58" s="13">
        <f t="array" ref="CS58">INDEX(CR:CR,MIN(IF(ISNUMBER(CR58:CR254),ROW(CR58:CR254),"")))</f>
        <v>7.3600000000000083</v>
      </c>
      <c r="CT58" s="13">
        <f>IF('Données projet'!$A$140&gt;35,CT57+CS58-DB57,IF(A58&lt;'Données projet'!$A$140,$CQ$205^A58,IF(A58='Données projet'!$A$140,'Données projet'!$B$140,CT57+CS58-DB57)))</f>
        <v>278.59999999999997</v>
      </c>
      <c r="CU58" s="18">
        <f>CT58*VLOOKUP('Données projet'!$B$13,Paramètres!$A$1:$I$89,3,0)*VLOOKUP('Données projet'!$B$13,Paramètres!$A$1:$I$89,5,0)</f>
        <v>204.26951999999997</v>
      </c>
      <c r="CV58" s="14">
        <f t="shared" si="41"/>
        <v>50.681322367447613</v>
      </c>
      <c r="CW58" s="22">
        <f t="shared" si="13"/>
        <v>444.03938378997123</v>
      </c>
      <c r="CX58" s="62">
        <f t="shared" si="14"/>
        <v>711.11455873365799</v>
      </c>
      <c r="CY58" s="62">
        <f ca="1">AVERAGE(OFFSET($CX$3,0,0,'Données projet'!$E$13+1,1))-AVERAGE(OFFSET($H$3,0,0,'Données projet'!$E$13+1,1))</f>
        <v>362.38131866207266</v>
      </c>
      <c r="CZ58" s="62">
        <f t="shared" si="42"/>
        <v>390.74498763200336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181</v>
      </c>
      <c r="DM58" s="13">
        <f>VLOOKUP(A58,'Données projet'!$A$165:$I$185,9,0)</f>
        <v>5.2</v>
      </c>
      <c r="DN58" s="13">
        <f t="array" ref="DN58">INDEX(DM:DM,MIN(IF(ISNUMBER(DM58:DM254),ROW(DM58:DM254),"")))</f>
        <v>5.2</v>
      </c>
      <c r="DO58" s="13">
        <f>IF('Données projet'!$A$166&gt;35,DO57+DN58-DW57,IF(A58&lt;'Données projet'!$A$166,$DL$205^A58,IF(A58='Données projet'!$A$166,'Données projet'!$B$166,DO57+DN58-DW57)))</f>
        <v>180.99999999999997</v>
      </c>
      <c r="DP58" s="18">
        <f>DO58*VLOOKUP('Données projet'!$B$14,Paramètres!$A$1:$I$89,3,0)*VLOOKUP('Données projet'!$B$14,Paramètres!$A$1:$I$89,5,0)</f>
        <v>158.1216</v>
      </c>
      <c r="DQ58" s="14">
        <f t="shared" si="43"/>
        <v>40.418546284954211</v>
      </c>
      <c r="DR58" s="22">
        <f t="shared" si="16"/>
        <v>345.79075477962851</v>
      </c>
      <c r="DS58" s="62">
        <f t="shared" si="17"/>
        <v>612.86592972331528</v>
      </c>
      <c r="DT58" s="62">
        <f ca="1">AVERAGE(OFFSET($DS$3,0,0,'Données projet'!$E$14+1,1))-AVERAGE(OFFSET($H$3,0,0,'Données projet'!$E$14+1,1))</f>
        <v>334.4692012109935</v>
      </c>
      <c r="DU58" s="62">
        <f t="shared" si="44"/>
        <v>316.360405424036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17.285714285714285</v>
      </c>
      <c r="EJ58" s="13">
        <f>IF('Données projet'!$A$192&gt;35,EJ57+EI58-ER57,IF(A58&lt;'Données projet'!$A$192,$EG$205^A58,IF(A58='Données projet'!$A$192,'Données projet'!$B$192,EJ57+EI58-ER57)))</f>
        <v>496.7142857142855</v>
      </c>
      <c r="EK58" s="18">
        <f>EJ58*VLOOKUP('Données projet'!$B$15,Paramètres!$A$1:$I$89,3,0)*VLOOKUP('Données projet'!$B$15,Paramètres!$A$1:$I$89,5,0)</f>
        <v>277.66328571428562</v>
      </c>
      <c r="EL58" s="14">
        <f t="shared" si="45"/>
        <v>66.47295338451616</v>
      </c>
      <c r="EM58" s="22">
        <f t="shared" si="19"/>
        <v>599.37061643041295</v>
      </c>
      <c r="EN58" s="62">
        <f t="shared" si="20"/>
        <v>866.44579137409983</v>
      </c>
      <c r="EO58" s="62">
        <f ca="1">AVERAGE(OFFSET($EN$3,0,0,'Données projet'!$E$15+1,1))-AVERAGE(OFFSET($H$3,0,0,'Données projet'!$E$15+1,1))</f>
        <v>390.09289316045653</v>
      </c>
      <c r="EP58" s="62">
        <f t="shared" si="46"/>
        <v>364.34913542817617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3.6895918734935753</v>
      </c>
      <c r="EX58" s="23">
        <f>EXP(-LN(2)/2)*EX57+(1-EXP(-LN(2)/2))/(LN(2)/2)*ER58*EU58*VLOOKUP('Données projet'!$B$15,Paramètres!$A$1:$I$89,3,0)*0.475*44/12</f>
        <v>1.5506706540240737E-3</v>
      </c>
      <c r="EY58" s="24">
        <f t="shared" si="21"/>
        <v>3.6911425441475996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18.100000000000001</v>
      </c>
      <c r="FE58" s="13">
        <f>IF('Données projet'!$A$218&gt;35,FE57+FD58-FM57,IF(A58&lt;'Données projet'!$A$218,$FB$205^A58,IF(A58='Données projet'!$A$218,'Données projet'!$B$218,FE57+FD58-FM57)))</f>
        <v>360.90000000000015</v>
      </c>
      <c r="FF58" s="18">
        <f>FE58*VLOOKUP('Données projet'!$B$16,Paramètres!$A$1:$I$89,3,0)*VLOOKUP('Données projet'!$B$16,Paramètres!$A$1:$I$89,5,0)</f>
        <v>168.90120000000005</v>
      </c>
      <c r="FG58" s="14">
        <f t="shared" si="47"/>
        <v>42.843836138922292</v>
      </c>
      <c r="FH58" s="22">
        <f t="shared" si="22"/>
        <v>368.78927127528976</v>
      </c>
      <c r="FI58" s="62">
        <f t="shared" si="23"/>
        <v>635.86444621897658</v>
      </c>
      <c r="FJ58" s="62">
        <f ca="1">AVERAGE(OFFSET($FI$3,0,0,'Données projet'!$E$16+1,1))-AVERAGE(OFFSET($H$3,0,0,'Données projet'!$E$16+1,1))</f>
        <v>344.55118007058775</v>
      </c>
      <c r="FK58" s="62">
        <f t="shared" si="48"/>
        <v>144.16931602355001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9.75</v>
      </c>
      <c r="FZ58" s="13">
        <f>IF('Données projet'!$A$244&gt;35,FZ57+FY58-GH57,IF(A58&lt;'Données projet'!$A$244,$FW$205^A58,IF(A58='Données projet'!$A$244,'Données projet'!$B$244,FZ57+FY58-GH57)))</f>
        <v>255.25</v>
      </c>
      <c r="GA58" s="18">
        <f>FZ58*VLOOKUP('Données projet'!$B$17,Paramètres!$A$1:$I$89,3,0)*VLOOKUP('Données projet'!$B$17,Paramètres!$A$1:$I$89,5,0)</f>
        <v>159.27600000000001</v>
      </c>
      <c r="GB58" s="14">
        <f t="shared" si="49"/>
        <v>40.679172107249002</v>
      </c>
      <c r="GC58" s="22">
        <f t="shared" si="25"/>
        <v>348.25525808679203</v>
      </c>
      <c r="GD58" s="62">
        <f t="shared" si="26"/>
        <v>615.33043303047884</v>
      </c>
      <c r="GE58" s="62">
        <f ca="1">AVERAGE(OFFSET($GD$3,0,0,'Données projet'!$E$17+1,1))-AVERAGE(OFFSET($H$3,0,0,'Données projet'!$E$17+1,1))</f>
        <v>252.60122125520482</v>
      </c>
      <c r="GF58" s="62">
        <f t="shared" si="50"/>
        <v>357.56833754121317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5.1477370508348104</v>
      </c>
      <c r="GN58" s="23">
        <f>EXP(-LN(2)/2)*GN57+(1-EXP(-LN(2)/2))/(LN(2)/2)*GH58*GK58*VLOOKUP('Données projet'!$B$17,Paramètres!$A$1:$I$89,3,0)*0.475*44/12</f>
        <v>2.8517015515280922E-3</v>
      </c>
      <c r="GO58" s="23">
        <f t="shared" si="27"/>
        <v>5.1505887523863381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266</v>
      </c>
      <c r="GS58" s="13">
        <f>VLOOKUP(A58,'Données projet'!$A$269:$I$289,9,0)</f>
        <v>7.6</v>
      </c>
      <c r="GT58" s="13">
        <f t="array" ref="GT58">INDEX(GS:GS,MIN(IF(ISNUMBER(GS58:GS254),ROW(GS58:GS254),"")))</f>
        <v>7.6</v>
      </c>
      <c r="GU58" s="13">
        <f>IF('Données projet'!$A$270&gt;35,GU57+GT58-HC57,IF(A58&lt;'Données projet'!$A$270,$GR$205^A58,IF(A58='Données projet'!$A$270,'Données projet'!$B$270,GU57+GT58-HC57)))</f>
        <v>266</v>
      </c>
      <c r="GV58" s="18">
        <f>GU58*VLOOKUP('Données projet'!$B$18,Paramètres!$A$1:$I$89,3,0)*VLOOKUP('Données projet'!$B$18,Paramètres!$A$1:$I$89,5,0)</f>
        <v>215.7792</v>
      </c>
      <c r="GW58" s="14">
        <f t="shared" si="51"/>
        <v>53.196483976998607</v>
      </c>
      <c r="GX58" s="22">
        <f t="shared" si="28"/>
        <v>468.46598292660588</v>
      </c>
      <c r="GY58" s="62">
        <f t="shared" si="29"/>
        <v>735.54115787029264</v>
      </c>
      <c r="GZ58" s="62">
        <f ca="1">AVERAGE(OFFSET($GY$3,0,0,'Données projet'!$E$18+1,1))-AVERAGE(OFFSET($H$3,0,0,'Données projet'!$E$18+1,1))</f>
        <v>268.57152522489537</v>
      </c>
      <c r="HA58" s="62">
        <f t="shared" si="52"/>
        <v>311.80303557283207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3.75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13.75</v>
      </c>
      <c r="H59" s="70">
        <f t="shared" si="1"/>
        <v>201.66666666666666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projet'!$B$9,Paramètres!$A$1:$I$89,3,0)*VLOOKUP('Données projet'!$B$9,Paramètres!$A$1:$I$89,5,0)</f>
        <v>166.12127999999996</v>
      </c>
      <c r="P59" s="14">
        <f t="shared" si="33"/>
        <v>42.220155874487318</v>
      </c>
      <c r="Q59" s="22">
        <f t="shared" si="53"/>
        <v>362.86133414806528</v>
      </c>
      <c r="R59" s="62">
        <f t="shared" si="0"/>
        <v>630.39202943536486</v>
      </c>
      <c r="S59" s="62">
        <f ca="1">AVERAGE(OFFSET($R$3,0,0,'Données projet'!$E$9+1,1))-AVERAGE(OFFSET($H$3,0,0,'Données projet'!$E$9+1,1))</f>
        <v>461.02780119093666</v>
      </c>
      <c r="T59" s="62">
        <f t="shared" si="34"/>
        <v>245.70016468438834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183.59999999999997</v>
      </c>
      <c r="AJ59" s="14">
        <f>AI59*VLOOKUP('Données projet'!$B$10,Paramètres!$A$1:$I$89,3,0)*VLOOKUP('Données projet'!$B$10,Paramètres!$A$1:$I$89,5,0)</f>
        <v>154.66463999999999</v>
      </c>
      <c r="AK59" s="14">
        <f t="shared" si="35"/>
        <v>39.636745068698936</v>
      </c>
      <c r="AL59" s="22">
        <f t="shared" si="4"/>
        <v>338.40824566131727</v>
      </c>
      <c r="AM59" s="62">
        <f t="shared" si="5"/>
        <v>605.93894094861685</v>
      </c>
      <c r="AN59" s="62">
        <f ca="1">AVERAGE(OFFSET($AM$3,0,0,'Données projet'!$E$10+1,1))-AVERAGE(OFFSET($H$3,0,0,'Données projet'!$E$10+1,1))</f>
        <v>434.22500776975596</v>
      </c>
      <c r="AO59" s="62">
        <f t="shared" si="36"/>
        <v>232.59777933076705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4.8717948717948731</v>
      </c>
      <c r="BD59" s="13">
        <f>IF('Données projet'!$A$88&gt;35,BD58+BC59-BL58,IF(A59&lt;'Données projet'!$A$88,$BA$205^A59,IF(A59='Données projet'!$A$88,'Données projet'!$B$88,BD58+BC59-BL58)))</f>
        <v>180.51282051282047</v>
      </c>
      <c r="BE59" s="14">
        <f>BD59*VLOOKUP('Données projet'!$B$11,Paramètres!$A$1:$I$89,3,0)*VLOOKUP('Données projet'!$B$11,Paramètres!$A$1:$I$89,5,0)</f>
        <v>171.77599999999995</v>
      </c>
      <c r="BF59" s="14">
        <f t="shared" si="37"/>
        <v>43.48754759203468</v>
      </c>
      <c r="BG59" s="22">
        <f t="shared" si="7"/>
        <v>374.91734538946031</v>
      </c>
      <c r="BH59" s="62">
        <f t="shared" si="8"/>
        <v>642.44804067675989</v>
      </c>
      <c r="BI59" s="62">
        <f ca="1">AVERAGE(OFFSET($BH$3,0,0,'Données projet'!$E$11+1,1))-AVERAGE(OFFSET($H$3,0,0,'Données projet'!$E$11+1,1))</f>
        <v>393.3005580838161</v>
      </c>
      <c r="BJ59" s="62">
        <f t="shared" si="38"/>
        <v>295.86019897822757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6.2799999999999958</v>
      </c>
      <c r="BY59" s="13">
        <f>IF('Données projet'!$A$114&gt;35,BY58+BX59-CG58,IF(A59&lt;'Données projet'!$A$114,$BV$205^A59,IF(A59='Données projet'!$A$114,'Données projet'!$B$114,BY58+BX59-CG58)))</f>
        <v>284.87999999999994</v>
      </c>
      <c r="BZ59" s="14">
        <f>BY59*VLOOKUP('Données projet'!$B$12,Paramètres!$A$1:$I$89,3,0)*VLOOKUP('Données projet'!$B$12,Paramètres!$A$1:$I$89,5,0)</f>
        <v>226.65052799999998</v>
      </c>
      <c r="CA59" s="14">
        <f t="shared" si="39"/>
        <v>55.557830188244751</v>
      </c>
      <c r="CB59" s="22">
        <f t="shared" si="10"/>
        <v>491.51289051119289</v>
      </c>
      <c r="CC59" s="62">
        <f t="shared" si="11"/>
        <v>759.04358579849247</v>
      </c>
      <c r="CD59" s="62">
        <f ca="1">AVERAGE(OFFSET($CC$3,0,0,'Données projet'!$E$12+1,1))-AVERAGE(OFFSET($H$3,0,0,'Données projet'!$E$12+1,1))</f>
        <v>388.52230330563884</v>
      </c>
      <c r="CE59" s="62">
        <f t="shared" si="40"/>
        <v>418.94833960687333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6.2799999999999958</v>
      </c>
      <c r="CT59" s="13">
        <f>IF('Données projet'!$A$140&gt;35,CT58+CS59-DB58,IF(A59&lt;'Données projet'!$A$140,$CQ$205^A59,IF(A59='Données projet'!$A$140,'Données projet'!$B$140,CT58+CS59-DB58)))</f>
        <v>284.87999999999994</v>
      </c>
      <c r="CU59" s="18">
        <f>CT59*VLOOKUP('Données projet'!$B$13,Paramètres!$A$1:$I$89,3,0)*VLOOKUP('Données projet'!$B$13,Paramètres!$A$1:$I$89,5,0)</f>
        <v>208.87401599999995</v>
      </c>
      <c r="CV59" s="14">
        <f t="shared" si="41"/>
        <v>51.689452927517024</v>
      </c>
      <c r="CW59" s="22">
        <f t="shared" si="13"/>
        <v>453.81470838209202</v>
      </c>
      <c r="CX59" s="62">
        <f t="shared" si="14"/>
        <v>721.34540366939154</v>
      </c>
      <c r="CY59" s="62">
        <f ca="1">AVERAGE(OFFSET($CX$3,0,0,'Données projet'!$E$13+1,1))-AVERAGE(OFFSET($H$3,0,0,'Données projet'!$E$13+1,1))</f>
        <v>362.38131866207266</v>
      </c>
      <c r="CZ59" s="62">
        <f t="shared" si="42"/>
        <v>390.74498763200336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</v>
      </c>
      <c r="DO59" s="13">
        <f>IF('Données projet'!$A$166&gt;35,DO58+DN59-DW58,IF(A59&lt;'Données projet'!$A$166,$DL$205^A59,IF(A59='Données projet'!$A$166,'Données projet'!$B$166,DO58+DN59-DW58)))</f>
        <v>185.99999999999997</v>
      </c>
      <c r="DP59" s="18">
        <f>DO59*VLOOKUP('Données projet'!$B$14,Paramètres!$A$1:$I$89,3,0)*VLOOKUP('Données projet'!$B$14,Paramètres!$A$1:$I$89,5,0)</f>
        <v>162.4896</v>
      </c>
      <c r="DQ59" s="14">
        <f t="shared" si="43"/>
        <v>41.403546033820696</v>
      </c>
      <c r="DR59" s="22">
        <f t="shared" si="16"/>
        <v>355.11389600890431</v>
      </c>
      <c r="DS59" s="62">
        <f t="shared" si="17"/>
        <v>622.64459129620388</v>
      </c>
      <c r="DT59" s="62">
        <f ca="1">AVERAGE(OFFSET($DS$3,0,0,'Données projet'!$E$14+1,1))-AVERAGE(OFFSET($H$3,0,0,'Données projet'!$E$14+1,1))</f>
        <v>334.4692012109935</v>
      </c>
      <c r="DU59" s="62">
        <f t="shared" si="44"/>
        <v>316.360405424036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>
        <f>VLOOKUP(A59,'Données projet'!$A$191:$I$211,2,0)</f>
        <v>514</v>
      </c>
      <c r="EH59" s="13">
        <f>VLOOKUP(A59,'Données projet'!$A$191:$I$211,9,0)</f>
        <v>17.285714285714285</v>
      </c>
      <c r="EI59" s="13">
        <f t="array" ref="EI59">INDEX(EH:EH,MIN(IF(ISNUMBER(EH59:EH255),ROW(EH59:EH255),"")))</f>
        <v>17.285714285714285</v>
      </c>
      <c r="EJ59" s="13">
        <f>IF('Données projet'!$A$192&gt;35,EJ58+EI59-ER58,IF(A59&lt;'Données projet'!$A$192,$EG$205^A59,IF(A59='Données projet'!$A$192,'Données projet'!$B$192,EJ58+EI59-ER58)))</f>
        <v>513.99999999999977</v>
      </c>
      <c r="EK59" s="18">
        <f>EJ59*VLOOKUP('Données projet'!$B$15,Paramètres!$A$1:$I$89,3,0)*VLOOKUP('Données projet'!$B$15,Paramètres!$A$1:$I$89,5,0)</f>
        <v>287.32599999999985</v>
      </c>
      <c r="EL59" s="14">
        <f t="shared" si="45"/>
        <v>68.512868389632061</v>
      </c>
      <c r="EM59" s="22">
        <f t="shared" si="19"/>
        <v>619.75269577860888</v>
      </c>
      <c r="EN59" s="62">
        <f t="shared" si="20"/>
        <v>887.28339106590852</v>
      </c>
      <c r="EO59" s="62">
        <f ca="1">AVERAGE(OFFSET($EN$3,0,0,'Données projet'!$E$15+1,1))-AVERAGE(OFFSET($H$3,0,0,'Données projet'!$E$15+1,1))</f>
        <v>390.09289316045653</v>
      </c>
      <c r="EP59" s="62">
        <f t="shared" si="46"/>
        <v>364.34913542817617</v>
      </c>
      <c r="EQ59" s="16">
        <f>IF(ISNA(VLOOKUP(A59,'Données projet'!$A$191:$I$211,3,0)),0,VLOOKUP(A59,'Données projet'!$A$191:$I$211,3,0))</f>
        <v>6</v>
      </c>
      <c r="ER59" s="16">
        <f>IF(ISNA(VLOOKUP(A59,'Données projet'!$A$191:$I$211,4,0)),0,VLOOKUP(A59,'Données projet'!$A$191:$I$211,4,0))</f>
        <v>85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3.5886997896856894</v>
      </c>
      <c r="EX59" s="23">
        <f>EXP(-LN(2)/2)*EX58+(1-EXP(-LN(2)/2))/(LN(2)/2)*ER59*EU59*VLOOKUP('Données projet'!$B$15,Paramètres!$A$1:$I$89,3,0)*0.475*44/12</f>
        <v>1.0964897348474012E-3</v>
      </c>
      <c r="EY59" s="24">
        <f t="shared" si="21"/>
        <v>3.5897962794205367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>
        <f>VLOOKUP(A59,'Données projet'!$A$217:$I$237,2,0)</f>
        <v>379</v>
      </c>
      <c r="FC59" s="13">
        <f>VLOOKUP(A59,'Données projet'!$A$217:$I$237,9,0)</f>
        <v>18.100000000000001</v>
      </c>
      <c r="FD59" s="13">
        <f t="array" ref="FD59">INDEX(FC:FC,MIN(IF(ISNUMBER(FC59:FC255),ROW(FC59:FC255),"")))</f>
        <v>18.100000000000001</v>
      </c>
      <c r="FE59" s="13">
        <f>IF('Données projet'!$A$218&gt;35,FE58+FD59-FM58,IF(A59&lt;'Données projet'!$A$218,$FB$205^A59,IF(A59='Données projet'!$A$218,'Données projet'!$B$218,FE58+FD59-FM58)))</f>
        <v>379.00000000000017</v>
      </c>
      <c r="FF59" s="18">
        <f>FE59*VLOOKUP('Données projet'!$B$16,Paramètres!$A$1:$I$89,3,0)*VLOOKUP('Données projet'!$B$16,Paramètres!$A$1:$I$89,5,0)</f>
        <v>177.37200000000007</v>
      </c>
      <c r="FG59" s="14">
        <f t="shared" si="47"/>
        <v>44.737005048641883</v>
      </c>
      <c r="FH59" s="22">
        <f t="shared" si="22"/>
        <v>386.83985045971804</v>
      </c>
      <c r="FI59" s="62">
        <f t="shared" si="23"/>
        <v>654.37054574701756</v>
      </c>
      <c r="FJ59" s="62">
        <f ca="1">AVERAGE(OFFSET($FI$3,0,0,'Données projet'!$E$16+1,1))-AVERAGE(OFFSET($H$3,0,0,'Données projet'!$E$16+1,1))</f>
        <v>344.55118007058775</v>
      </c>
      <c r="FK59" s="62">
        <f t="shared" si="48"/>
        <v>144.16931602355001</v>
      </c>
      <c r="FL59" s="16">
        <f>IF(ISNA(VLOOKUP(A59,'Données projet'!$A$217:$I$237,3,0)),0,VLOOKUP(A59,'Données projet'!$A$217:$I$237,3,0))</f>
        <v>2</v>
      </c>
      <c r="FM59" s="16">
        <f>IF(ISNA(VLOOKUP(A59,'Données projet'!$A$217:$I$237,4,0)),0,VLOOKUP(A59,'Données projet'!$A$217:$I$237,4,0))</f>
        <v>91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9.75</v>
      </c>
      <c r="FZ59" s="13">
        <f>IF('Données projet'!$A$244&gt;35,FZ58+FY59-GH58,IF(A59&lt;'Données projet'!$A$244,$FW$205^A59,IF(A59='Données projet'!$A$244,'Données projet'!$B$244,FZ58+FY59-GH58)))</f>
        <v>265</v>
      </c>
      <c r="GA59" s="18">
        <f>FZ59*VLOOKUP('Données projet'!$B$17,Paramètres!$A$1:$I$89,3,0)*VLOOKUP('Données projet'!$B$17,Paramètres!$A$1:$I$89,5,0)</f>
        <v>165.35999999999999</v>
      </c>
      <c r="GB59" s="14">
        <f t="shared" si="49"/>
        <v>42.04915012784209</v>
      </c>
      <c r="GC59" s="22">
        <f t="shared" si="25"/>
        <v>361.2376031393249</v>
      </c>
      <c r="GD59" s="62">
        <f t="shared" si="26"/>
        <v>628.76829842662448</v>
      </c>
      <c r="GE59" s="62">
        <f ca="1">AVERAGE(OFFSET($GD$3,0,0,'Données projet'!$E$17+1,1))-AVERAGE(OFFSET($H$3,0,0,'Données projet'!$E$17+1,1))</f>
        <v>252.60122125520482</v>
      </c>
      <c r="GF59" s="62">
        <f t="shared" si="50"/>
        <v>357.56833754121317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5.0069719104720063</v>
      </c>
      <c r="GN59" s="23">
        <f>EXP(-LN(2)/2)*GN58+(1-EXP(-LN(2)/2))/(LN(2)/2)*GH59*GK59*VLOOKUP('Données projet'!$B$17,Paramètres!$A$1:$I$89,3,0)*0.475*44/12</f>
        <v>2.0164575050057127E-3</v>
      </c>
      <c r="GO59" s="23">
        <f t="shared" si="27"/>
        <v>5.008988367977012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7.4</v>
      </c>
      <c r="GU59" s="13">
        <f>IF('Données projet'!$A$270&gt;35,GU58+GT59-HC58,IF(A59&lt;'Données projet'!$A$270,$GR$205^A59,IF(A59='Données projet'!$A$270,'Données projet'!$B$270,GU58+GT59-HC58)))</f>
        <v>273.39999999999998</v>
      </c>
      <c r="GV59" s="18">
        <f>GU59*VLOOKUP('Données projet'!$B$18,Paramètres!$A$1:$I$89,3,0)*VLOOKUP('Données projet'!$B$18,Paramètres!$A$1:$I$89,5,0)</f>
        <v>221.78208000000001</v>
      </c>
      <c r="GW59" s="14">
        <f t="shared" si="51"/>
        <v>54.502029950220781</v>
      </c>
      <c r="GX59" s="22">
        <f t="shared" si="28"/>
        <v>481.19482482996779</v>
      </c>
      <c r="GY59" s="62">
        <f t="shared" si="29"/>
        <v>748.72552011726737</v>
      </c>
      <c r="GZ59" s="62">
        <f ca="1">AVERAGE(OFFSET($GY$3,0,0,'Données projet'!$E$18+1,1))-AVERAGE(OFFSET($H$3,0,0,'Données projet'!$E$18+1,1))</f>
        <v>268.57152522489537</v>
      </c>
      <c r="HA59" s="62">
        <f t="shared" si="52"/>
        <v>311.80303557283207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3.75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13.75</v>
      </c>
      <c r="H60" s="70">
        <f t="shared" si="1"/>
        <v>201.66666666666666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645.49936323943484</v>
      </c>
      <c r="S60" s="62">
        <f ca="1">AVERAGE(OFFSET($R$3,0,0,'Données projet'!$E$9+1,1))-AVERAGE(OFFSET($H$3,0,0,'Données projet'!$E$9+1,1))</f>
        <v>461.02780119093666</v>
      </c>
      <c r="T60" s="62">
        <f t="shared" si="34"/>
        <v>245.70016468438834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191.19999999999996</v>
      </c>
      <c r="AJ60" s="14">
        <f>AI60*VLOOKUP('Données projet'!$B$10,Paramètres!$A$1:$I$89,3,0)*VLOOKUP('Données projet'!$B$10,Paramètres!$A$1:$I$89,5,0)</f>
        <v>161.06688</v>
      </c>
      <c r="AK60" s="14">
        <f t="shared" si="35"/>
        <v>41.083060013501289</v>
      </c>
      <c r="AL60" s="22">
        <f t="shared" si="4"/>
        <v>352.07781219018142</v>
      </c>
      <c r="AM60" s="62">
        <f t="shared" si="5"/>
        <v>620.056125561523</v>
      </c>
      <c r="AN60" s="62">
        <f ca="1">AVERAGE(OFFSET($AM$3,0,0,'Données projet'!$E$10+1,1))-AVERAGE(OFFSET($H$3,0,0,'Données projet'!$E$10+1,1))</f>
        <v>434.22500776975596</v>
      </c>
      <c r="AO60" s="62">
        <f t="shared" si="36"/>
        <v>232.59777933076705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4.8717948717948731</v>
      </c>
      <c r="BD60" s="13">
        <f>IF('Données projet'!$A$88&gt;35,BD59+BC60-BL59,IF(A60&lt;'Données projet'!$A$88,$BA$205^A60,IF(A60='Données projet'!$A$88,'Données projet'!$B$88,BD59+BC60-BL59)))</f>
        <v>185.38461538461533</v>
      </c>
      <c r="BE60" s="14">
        <f>BD60*VLOOKUP('Données projet'!$B$11,Paramètres!$A$1:$I$89,3,0)*VLOOKUP('Données projet'!$B$11,Paramètres!$A$1:$I$89,5,0)</f>
        <v>176.41199999999995</v>
      </c>
      <c r="BF60" s="14">
        <f t="shared" si="37"/>
        <v>44.522989246723967</v>
      </c>
      <c r="BG60" s="22">
        <f t="shared" si="7"/>
        <v>384.79510627137751</v>
      </c>
      <c r="BH60" s="62">
        <f t="shared" si="8"/>
        <v>652.77341964271909</v>
      </c>
      <c r="BI60" s="62">
        <f ca="1">AVERAGE(OFFSET($BH$3,0,0,'Données projet'!$E$11+1,1))-AVERAGE(OFFSET($H$3,0,0,'Données projet'!$E$11+1,1))</f>
        <v>393.3005580838161</v>
      </c>
      <c r="BJ60" s="62">
        <f t="shared" si="38"/>
        <v>295.86019897822757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6.2799999999999958</v>
      </c>
      <c r="BY60" s="13">
        <f>IF('Données projet'!$A$114&gt;35,BY59+BX60-CG59,IF(A60&lt;'Données projet'!$A$114,$BV$205^A60,IF(A60='Données projet'!$A$114,'Données projet'!$B$114,BY59+BX60-CG59)))</f>
        <v>291.15999999999991</v>
      </c>
      <c r="BZ60" s="14">
        <f>BY60*VLOOKUP('Données projet'!$B$12,Paramètres!$A$1:$I$89,3,0)*VLOOKUP('Données projet'!$B$12,Paramètres!$A$1:$I$89,5,0)</f>
        <v>231.64689599999994</v>
      </c>
      <c r="CA60" s="14">
        <f t="shared" si="39"/>
        <v>56.63863094599396</v>
      </c>
      <c r="CB60" s="22">
        <f t="shared" si="10"/>
        <v>502.09729276427265</v>
      </c>
      <c r="CC60" s="62">
        <f t="shared" si="11"/>
        <v>770.07560613561429</v>
      </c>
      <c r="CD60" s="62">
        <f ca="1">AVERAGE(OFFSET($CC$3,0,0,'Données projet'!$E$12+1,1))-AVERAGE(OFFSET($H$3,0,0,'Données projet'!$E$12+1,1))</f>
        <v>388.52230330563884</v>
      </c>
      <c r="CE60" s="62">
        <f t="shared" si="40"/>
        <v>418.94833960687333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6.2799999999999958</v>
      </c>
      <c r="CT60" s="13">
        <f>IF('Données projet'!$A$140&gt;35,CT59+CS60-DB59,IF(A60&lt;'Données projet'!$A$140,$CQ$205^A60,IF(A60='Données projet'!$A$140,'Données projet'!$B$140,CT59+CS60-DB59)))</f>
        <v>291.15999999999991</v>
      </c>
      <c r="CU60" s="18">
        <f>CT60*VLOOKUP('Données projet'!$B$13,Paramètres!$A$1:$I$89,3,0)*VLOOKUP('Données projet'!$B$13,Paramètres!$A$1:$I$89,5,0)</f>
        <v>213.47851199999994</v>
      </c>
      <c r="CV60" s="14">
        <f t="shared" si="41"/>
        <v>52.694999755073347</v>
      </c>
      <c r="CW60" s="22">
        <f t="shared" si="13"/>
        <v>463.58553297341928</v>
      </c>
      <c r="CX60" s="62">
        <f t="shared" si="14"/>
        <v>731.56384634476092</v>
      </c>
      <c r="CY60" s="62">
        <f ca="1">AVERAGE(OFFSET($CX$3,0,0,'Données projet'!$E$13+1,1))-AVERAGE(OFFSET($H$3,0,0,'Données projet'!$E$13+1,1))</f>
        <v>362.38131866207266</v>
      </c>
      <c r="CZ60" s="62">
        <f t="shared" si="42"/>
        <v>390.74498763200336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190.99999999999997</v>
      </c>
      <c r="DP60" s="18">
        <f>DO60*VLOOKUP('Données projet'!$B$14,Paramètres!$A$1:$I$89,3,0)*VLOOKUP('Données projet'!$B$14,Paramètres!$A$1:$I$89,5,0)</f>
        <v>166.85759999999999</v>
      </c>
      <c r="DQ60" s="14">
        <f t="shared" si="43"/>
        <v>42.385468111966098</v>
      </c>
      <c r="DR60" s="22">
        <f t="shared" si="16"/>
        <v>364.43167696167421</v>
      </c>
      <c r="DS60" s="62">
        <f t="shared" si="17"/>
        <v>632.40999033301591</v>
      </c>
      <c r="DT60" s="62">
        <f ca="1">AVERAGE(OFFSET($DS$3,0,0,'Données projet'!$E$14+1,1))-AVERAGE(OFFSET($H$3,0,0,'Données projet'!$E$14+1,1))</f>
        <v>334.4692012109935</v>
      </c>
      <c r="DU60" s="62">
        <f t="shared" si="44"/>
        <v>316.360405424036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15.571428571428571</v>
      </c>
      <c r="EJ60" s="13">
        <f>IF('Données projet'!$A$192&gt;35,EJ59+EI60-ER59,IF(A60&lt;'Données projet'!$A$192,$EG$205^A60,IF(A60='Données projet'!$A$192,'Données projet'!$B$192,EJ59+EI60-ER59)))</f>
        <v>444.57142857142833</v>
      </c>
      <c r="EK60" s="18">
        <f>EJ60*VLOOKUP('Données projet'!$B$15,Paramètres!$A$1:$I$89,3,0)*VLOOKUP('Données projet'!$B$15,Paramètres!$A$1:$I$89,5,0)</f>
        <v>248.51542857142846</v>
      </c>
      <c r="EL60" s="14">
        <f t="shared" si="45"/>
        <v>60.267932112745214</v>
      </c>
      <c r="EM60" s="22">
        <f t="shared" si="19"/>
        <v>537.79768652493578</v>
      </c>
      <c r="EN60" s="62">
        <f t="shared" si="20"/>
        <v>805.77599989627743</v>
      </c>
      <c r="EO60" s="62">
        <f ca="1">AVERAGE(OFFSET($EN$3,0,0,'Données projet'!$E$15+1,1))-AVERAGE(OFFSET($H$3,0,0,'Données projet'!$E$15+1,1))</f>
        <v>390.09289316045653</v>
      </c>
      <c r="EP60" s="62">
        <f t="shared" si="46"/>
        <v>364.34913542817617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3.4905666052152142</v>
      </c>
      <c r="EX60" s="23">
        <f>EXP(-LN(2)/2)*EX59+(1-EXP(-LN(2)/2))/(LN(2)/2)*ER60*EU60*VLOOKUP('Données projet'!$B$15,Paramètres!$A$1:$I$89,3,0)*0.475*44/12</f>
        <v>7.7533532701203685E-4</v>
      </c>
      <c r="EY60" s="24">
        <f t="shared" si="21"/>
        <v>3.4913419405422261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17.7</v>
      </c>
      <c r="FE60" s="13">
        <f>IF('Données projet'!$A$218&gt;35,FE59+FD60-FM59,IF(A60&lt;'Données projet'!$A$218,$FB$205^A60,IF(A60='Données projet'!$A$218,'Données projet'!$B$218,FE59+FD60-FM59)))</f>
        <v>305.70000000000016</v>
      </c>
      <c r="FF60" s="18">
        <f>FE60*VLOOKUP('Données projet'!$B$16,Paramètres!$A$1:$I$89,3,0)*VLOOKUP('Données projet'!$B$16,Paramètres!$A$1:$I$89,5,0)</f>
        <v>143.06760000000006</v>
      </c>
      <c r="FG60" s="14">
        <f t="shared" si="47"/>
        <v>36.998860631151281</v>
      </c>
      <c r="FH60" s="22">
        <f t="shared" si="22"/>
        <v>313.61575226592186</v>
      </c>
      <c r="FI60" s="62">
        <f t="shared" si="23"/>
        <v>581.5940656372635</v>
      </c>
      <c r="FJ60" s="62">
        <f ca="1">AVERAGE(OFFSET($FI$3,0,0,'Données projet'!$E$16+1,1))-AVERAGE(OFFSET($H$3,0,0,'Données projet'!$E$16+1,1))</f>
        <v>344.55118007058775</v>
      </c>
      <c r="FK60" s="62">
        <f t="shared" si="48"/>
        <v>144.16931602355001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9.75</v>
      </c>
      <c r="FZ60" s="13">
        <f>IF('Données projet'!$A$244&gt;35,FZ59+FY60-GH59,IF(A60&lt;'Données projet'!$A$244,$FW$205^A60,IF(A60='Données projet'!$A$244,'Données projet'!$B$244,FZ59+FY60-GH59)))</f>
        <v>274.75</v>
      </c>
      <c r="GA60" s="18">
        <f>FZ60*VLOOKUP('Données projet'!$B$17,Paramètres!$A$1:$I$89,3,0)*VLOOKUP('Données projet'!$B$17,Paramètres!$A$1:$I$89,5,0)</f>
        <v>171.44399999999999</v>
      </c>
      <c r="GB60" s="14">
        <f t="shared" si="49"/>
        <v>43.413272173627242</v>
      </c>
      <c r="GC60" s="22">
        <f t="shared" si="25"/>
        <v>374.20974903573409</v>
      </c>
      <c r="GD60" s="62">
        <f t="shared" si="26"/>
        <v>642.18806240707568</v>
      </c>
      <c r="GE60" s="62">
        <f ca="1">AVERAGE(OFFSET($GD$3,0,0,'Données projet'!$E$17+1,1))-AVERAGE(OFFSET($H$3,0,0,'Données projet'!$E$17+1,1))</f>
        <v>252.60122125520482</v>
      </c>
      <c r="GF60" s="62">
        <f t="shared" si="50"/>
        <v>357.56833754121317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4.87005600027494</v>
      </c>
      <c r="GN60" s="23">
        <f>EXP(-LN(2)/2)*GN59+(1-EXP(-LN(2)/2))/(LN(2)/2)*GH60*GK60*VLOOKUP('Données projet'!$B$17,Paramètres!$A$1:$I$89,3,0)*0.475*44/12</f>
        <v>1.4258507757640461E-3</v>
      </c>
      <c r="GO60" s="23">
        <f t="shared" si="27"/>
        <v>4.8714818510507039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7.4</v>
      </c>
      <c r="GU60" s="13">
        <f>IF('Données projet'!$A$270&gt;35,GU59+GT60-HC59,IF(A60&lt;'Données projet'!$A$270,$GR$205^A60,IF(A60='Données projet'!$A$270,'Données projet'!$B$270,GU59+GT60-HC59)))</f>
        <v>280.79999999999995</v>
      </c>
      <c r="GV60" s="18">
        <f>GU60*VLOOKUP('Données projet'!$B$18,Paramètres!$A$1:$I$89,3,0)*VLOOKUP('Données projet'!$B$18,Paramètres!$A$1:$I$89,5,0)</f>
        <v>227.78495999999998</v>
      </c>
      <c r="GW60" s="14">
        <f t="shared" si="51"/>
        <v>55.803468680001743</v>
      </c>
      <c r="GX60" s="22">
        <f t="shared" si="28"/>
        <v>493.91651328433619</v>
      </c>
      <c r="GY60" s="62">
        <f t="shared" si="29"/>
        <v>761.89482665567789</v>
      </c>
      <c r="GZ60" s="62">
        <f ca="1">AVERAGE(OFFSET($GY$3,0,0,'Données projet'!$E$18+1,1))-AVERAGE(OFFSET($H$3,0,0,'Données projet'!$E$18+1,1))</f>
        <v>268.57152522489537</v>
      </c>
      <c r="HA60" s="62">
        <f t="shared" si="52"/>
        <v>311.80303557283207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3.75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13.75</v>
      </c>
      <c r="H61" s="70">
        <f t="shared" si="1"/>
        <v>201.66666666666666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projet'!$B$9,Paramètres!$A$1:$I$89,3,0)*VLOOKUP('Données projet'!$B$9,Paramètres!$A$1:$I$89,5,0)</f>
        <v>179.87423999999993</v>
      </c>
      <c r="P61" s="14">
        <f t="shared" si="33"/>
        <v>45.294205745553846</v>
      </c>
      <c r="Q61" s="22">
        <f t="shared" si="53"/>
        <v>392.16837634017276</v>
      </c>
      <c r="R61" s="62">
        <f t="shared" si="0"/>
        <v>660.5865426225223</v>
      </c>
      <c r="S61" s="62">
        <f ca="1">AVERAGE(OFFSET($R$3,0,0,'Données projet'!$E$9+1,1))-AVERAGE(OFFSET($H$3,0,0,'Données projet'!$E$9+1,1))</f>
        <v>461.02780119093666</v>
      </c>
      <c r="T61" s="62">
        <f t="shared" si="34"/>
        <v>245.70016468438834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198.79999999999995</v>
      </c>
      <c r="AJ61" s="14">
        <f>AI61*VLOOKUP('Données projet'!$B$10,Paramètres!$A$1:$I$89,3,0)*VLOOKUP('Données projet'!$B$10,Paramètres!$A$1:$I$89,5,0)</f>
        <v>167.46911999999998</v>
      </c>
      <c r="AK61" s="14">
        <f t="shared" si="35"/>
        <v>42.522696779302585</v>
      </c>
      <c r="AL61" s="22">
        <f t="shared" si="4"/>
        <v>365.73574755728526</v>
      </c>
      <c r="AM61" s="62">
        <f t="shared" si="5"/>
        <v>634.15391383963492</v>
      </c>
      <c r="AN61" s="62">
        <f ca="1">AVERAGE(OFFSET($AM$3,0,0,'Données projet'!$E$10+1,1))-AVERAGE(OFFSET($H$3,0,0,'Données projet'!$E$10+1,1))</f>
        <v>434.22500776975596</v>
      </c>
      <c r="AO61" s="62">
        <f t="shared" si="36"/>
        <v>232.59777933076705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4.8717948717948731</v>
      </c>
      <c r="BD61" s="13">
        <f>IF('Données projet'!$A$88&gt;35,BD60+BC61-BL60,IF(A61&lt;'Données projet'!$A$88,$BA$205^A61,IF(A61='Données projet'!$A$88,'Données projet'!$B$88,BD60+BC61-BL60)))</f>
        <v>190.25641025641019</v>
      </c>
      <c r="BE61" s="14">
        <f>BD61*VLOOKUP('Données projet'!$B$11,Paramètres!$A$1:$I$89,3,0)*VLOOKUP('Données projet'!$B$11,Paramètres!$A$1:$I$89,5,0)</f>
        <v>181.04799999999994</v>
      </c>
      <c r="BF61" s="14">
        <f t="shared" si="37"/>
        <v>45.555268021687233</v>
      </c>
      <c r="BG61" s="22">
        <f t="shared" si="7"/>
        <v>394.66735847110516</v>
      </c>
      <c r="BH61" s="62">
        <f t="shared" si="8"/>
        <v>663.08552475345482</v>
      </c>
      <c r="BI61" s="62">
        <f ca="1">AVERAGE(OFFSET($BH$3,0,0,'Données projet'!$E$11+1,1))-AVERAGE(OFFSET($H$3,0,0,'Données projet'!$E$11+1,1))</f>
        <v>393.3005580838161</v>
      </c>
      <c r="BJ61" s="62">
        <f t="shared" si="38"/>
        <v>295.86019897822757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6.2799999999999958</v>
      </c>
      <c r="BY61" s="13">
        <f>IF('Données projet'!$A$114&gt;35,BY60+BX61-CG60,IF(A61&lt;'Données projet'!$A$114,$BV$205^A61,IF(A61='Données projet'!$A$114,'Données projet'!$B$114,BY60+BX61-CG60)))</f>
        <v>297.43999999999988</v>
      </c>
      <c r="BZ61" s="14">
        <f>BY61*VLOOKUP('Données projet'!$B$12,Paramètres!$A$1:$I$89,3,0)*VLOOKUP('Données projet'!$B$12,Paramètres!$A$1:$I$89,5,0)</f>
        <v>236.64326399999993</v>
      </c>
      <c r="CA61" s="14">
        <f t="shared" si="39"/>
        <v>57.716721405473052</v>
      </c>
      <c r="CB61" s="22">
        <f t="shared" si="10"/>
        <v>512.67697458119881</v>
      </c>
      <c r="CC61" s="62">
        <f t="shared" si="11"/>
        <v>781.09514086354841</v>
      </c>
      <c r="CD61" s="62">
        <f ca="1">AVERAGE(OFFSET($CC$3,0,0,'Données projet'!$E$12+1,1))-AVERAGE(OFFSET($H$3,0,0,'Données projet'!$E$12+1,1))</f>
        <v>388.52230330563884</v>
      </c>
      <c r="CE61" s="62">
        <f t="shared" si="40"/>
        <v>418.94833960687333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6.2799999999999958</v>
      </c>
      <c r="CT61" s="13">
        <f>IF('Données projet'!$A$140&gt;35,CT60+CS61-DB60,IF(A61&lt;'Données projet'!$A$140,$CQ$205^A61,IF(A61='Données projet'!$A$140,'Données projet'!$B$140,CT60+CS61-DB60)))</f>
        <v>297.43999999999988</v>
      </c>
      <c r="CU61" s="18">
        <f>CT61*VLOOKUP('Données projet'!$B$13,Paramètres!$A$1:$I$89,3,0)*VLOOKUP('Données projet'!$B$13,Paramètres!$A$1:$I$89,5,0)</f>
        <v>218.08300799999989</v>
      </c>
      <c r="CV61" s="14">
        <f t="shared" si="41"/>
        <v>53.698024996844545</v>
      </c>
      <c r="CW61" s="22">
        <f t="shared" si="13"/>
        <v>473.35196580283736</v>
      </c>
      <c r="CX61" s="62">
        <f t="shared" si="14"/>
        <v>741.77013208518702</v>
      </c>
      <c r="CY61" s="62">
        <f ca="1">AVERAGE(OFFSET($CX$3,0,0,'Données projet'!$E$13+1,1))-AVERAGE(OFFSET($H$3,0,0,'Données projet'!$E$13+1,1))</f>
        <v>362.38131866207266</v>
      </c>
      <c r="CZ61" s="62">
        <f t="shared" si="42"/>
        <v>390.74498763200336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195.99999999999997</v>
      </c>
      <c r="DP61" s="18">
        <f>DO61*VLOOKUP('Données projet'!$B$14,Paramètres!$A$1:$I$89,3,0)*VLOOKUP('Données projet'!$B$14,Paramètres!$A$1:$I$89,5,0)</f>
        <v>171.22559999999999</v>
      </c>
      <c r="DQ61" s="14">
        <f t="shared" si="43"/>
        <v>43.364402348589557</v>
      </c>
      <c r="DR61" s="22">
        <f t="shared" si="16"/>
        <v>373.74425409046006</v>
      </c>
      <c r="DS61" s="62">
        <f t="shared" si="17"/>
        <v>642.16242037280972</v>
      </c>
      <c r="DT61" s="62">
        <f ca="1">AVERAGE(OFFSET($DS$3,0,0,'Données projet'!$E$14+1,1))-AVERAGE(OFFSET($H$3,0,0,'Données projet'!$E$14+1,1))</f>
        <v>334.4692012109935</v>
      </c>
      <c r="DU61" s="62">
        <f t="shared" si="44"/>
        <v>316.360405424036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15.571428571428571</v>
      </c>
      <c r="EJ61" s="13">
        <f>IF('Données projet'!$A$192&gt;35,EJ60+EI61-ER60,IF(A61&lt;'Données projet'!$A$192,$EG$205^A61,IF(A61='Données projet'!$A$192,'Données projet'!$B$192,EJ60+EI61-ER60)))</f>
        <v>460.14285714285688</v>
      </c>
      <c r="EK61" s="18">
        <f>EJ61*VLOOKUP('Données projet'!$B$15,Paramètres!$A$1:$I$89,3,0)*VLOOKUP('Données projet'!$B$15,Paramètres!$A$1:$I$89,5,0)</f>
        <v>257.21985714285699</v>
      </c>
      <c r="EL61" s="14">
        <f t="shared" si="45"/>
        <v>62.129393573116417</v>
      </c>
      <c r="EM61" s="22">
        <f t="shared" si="19"/>
        <v>556.19994499698703</v>
      </c>
      <c r="EN61" s="62">
        <f t="shared" si="20"/>
        <v>824.61811127933663</v>
      </c>
      <c r="EO61" s="62">
        <f ca="1">AVERAGE(OFFSET($EN$3,0,0,'Données projet'!$E$15+1,1))-AVERAGE(OFFSET($H$3,0,0,'Données projet'!$E$15+1,1))</f>
        <v>390.09289316045653</v>
      </c>
      <c r="EP61" s="62">
        <f t="shared" si="46"/>
        <v>364.34913542817617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3.3951168778346843</v>
      </c>
      <c r="EX61" s="23">
        <f>EXP(-LN(2)/2)*EX60+(1-EXP(-LN(2)/2))/(LN(2)/2)*ER61*EU61*VLOOKUP('Données projet'!$B$15,Paramètres!$A$1:$I$89,3,0)*0.475*44/12</f>
        <v>5.4824486742370061E-4</v>
      </c>
      <c r="EY61" s="24">
        <f t="shared" si="21"/>
        <v>3.3956651227021082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17.7</v>
      </c>
      <c r="FE61" s="13">
        <f>IF('Données projet'!$A$218&gt;35,FE60+FD61-FM60,IF(A61&lt;'Données projet'!$A$218,$FB$205^A61,IF(A61='Données projet'!$A$218,'Données projet'!$B$218,FE60+FD61-FM60)))</f>
        <v>323.40000000000015</v>
      </c>
      <c r="FF61" s="18">
        <f>FE61*VLOOKUP('Données projet'!$B$16,Paramètres!$A$1:$I$89,3,0)*VLOOKUP('Données projet'!$B$16,Paramètres!$A$1:$I$89,5,0)</f>
        <v>151.35120000000006</v>
      </c>
      <c r="FG61" s="14">
        <f t="shared" si="47"/>
        <v>38.885490222897076</v>
      </c>
      <c r="FH61" s="22">
        <f t="shared" si="22"/>
        <v>331.32890213821253</v>
      </c>
      <c r="FI61" s="62">
        <f t="shared" si="23"/>
        <v>599.74706842056207</v>
      </c>
      <c r="FJ61" s="62">
        <f ca="1">AVERAGE(OFFSET($FI$3,0,0,'Données projet'!$E$16+1,1))-AVERAGE(OFFSET($H$3,0,0,'Données projet'!$E$16+1,1))</f>
        <v>344.55118007058775</v>
      </c>
      <c r="FK61" s="62">
        <f t="shared" si="48"/>
        <v>144.16931602355001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9.75</v>
      </c>
      <c r="FZ61" s="13">
        <f>IF('Données projet'!$A$244&gt;35,FZ60+FY61-GH60,IF(A61&lt;'Données projet'!$A$244,$FW$205^A61,IF(A61='Données projet'!$A$244,'Données projet'!$B$244,FZ60+FY61-GH60)))</f>
        <v>284.5</v>
      </c>
      <c r="GA61" s="18">
        <f>FZ61*VLOOKUP('Données projet'!$B$17,Paramètres!$A$1:$I$89,3,0)*VLOOKUP('Données projet'!$B$17,Paramètres!$A$1:$I$89,5,0)</f>
        <v>177.52800000000002</v>
      </c>
      <c r="GB61" s="14">
        <f t="shared" si="49"/>
        <v>44.771769863863661</v>
      </c>
      <c r="GC61" s="22">
        <f t="shared" si="25"/>
        <v>387.17209917956257</v>
      </c>
      <c r="GD61" s="62">
        <f t="shared" si="26"/>
        <v>655.59026546191217</v>
      </c>
      <c r="GE61" s="62">
        <f ca="1">AVERAGE(OFFSET($GD$3,0,0,'Données projet'!$E$17+1,1))-AVERAGE(OFFSET($H$3,0,0,'Données projet'!$E$17+1,1))</f>
        <v>252.60122125520482</v>
      </c>
      <c r="GF61" s="62">
        <f t="shared" si="50"/>
        <v>357.56833754121317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4.7368840628423072</v>
      </c>
      <c r="GN61" s="23">
        <f>EXP(-LN(2)/2)*GN60+(1-EXP(-LN(2)/2))/(LN(2)/2)*GH61*GK61*VLOOKUP('Données projet'!$B$17,Paramètres!$A$1:$I$89,3,0)*0.475*44/12</f>
        <v>1.0082287525028564E-3</v>
      </c>
      <c r="GO61" s="23">
        <f t="shared" si="27"/>
        <v>4.7378922915948101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7.4</v>
      </c>
      <c r="GU61" s="13">
        <f>IF('Données projet'!$A$270&gt;35,GU60+GT61-HC60,IF(A61&lt;'Données projet'!$A$270,$GR$205^A61,IF(A61='Données projet'!$A$270,'Données projet'!$B$270,GU60+GT61-HC60)))</f>
        <v>288.19999999999993</v>
      </c>
      <c r="GV61" s="18">
        <f>GU61*VLOOKUP('Données projet'!$B$18,Paramètres!$A$1:$I$89,3,0)*VLOOKUP('Données projet'!$B$18,Paramètres!$A$1:$I$89,5,0)</f>
        <v>233.78783999999996</v>
      </c>
      <c r="GW61" s="14">
        <f t="shared" si="51"/>
        <v>57.100920847849451</v>
      </c>
      <c r="GX61" s="22">
        <f t="shared" si="28"/>
        <v>506.63125847667106</v>
      </c>
      <c r="GY61" s="62">
        <f t="shared" si="29"/>
        <v>775.04942475902067</v>
      </c>
      <c r="GZ61" s="62">
        <f ca="1">AVERAGE(OFFSET($GY$3,0,0,'Données projet'!$E$18+1,1))-AVERAGE(OFFSET($H$3,0,0,'Données projet'!$E$18+1,1))</f>
        <v>268.57152522489537</v>
      </c>
      <c r="HA61" s="62">
        <f t="shared" si="52"/>
        <v>311.80303557283207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3.75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13.75</v>
      </c>
      <c r="H62" s="70">
        <f t="shared" si="1"/>
        <v>201.66666666666666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projet'!$B$9,Paramètres!$A$1:$I$89,3,0)*VLOOKUP('Données projet'!$B$9,Paramètres!$A$1:$I$89,5,0)</f>
        <v>186.75071999999994</v>
      </c>
      <c r="P62" s="14">
        <f t="shared" si="33"/>
        <v>46.820863587839391</v>
      </c>
      <c r="Q62" s="22">
        <f t="shared" si="53"/>
        <v>406.80384141548683</v>
      </c>
      <c r="R62" s="62">
        <f t="shared" si="0"/>
        <v>675.65423014420219</v>
      </c>
      <c r="S62" s="62">
        <f ca="1">AVERAGE(OFFSET($R$3,0,0,'Données projet'!$E$9+1,1))-AVERAGE(OFFSET($H$3,0,0,'Données projet'!$E$9+1,1))</f>
        <v>461.02780119093666</v>
      </c>
      <c r="T62" s="62">
        <f t="shared" si="34"/>
        <v>245.70016468438834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206.39999999999995</v>
      </c>
      <c r="AJ62" s="14">
        <f>AI62*VLOOKUP('Données projet'!$B$10,Paramètres!$A$1:$I$89,3,0)*VLOOKUP('Données projet'!$B$10,Paramètres!$A$1:$I$89,5,0)</f>
        <v>173.87135999999995</v>
      </c>
      <c r="AK62" s="14">
        <f t="shared" si="35"/>
        <v>43.955939893839961</v>
      </c>
      <c r="AL62" s="22">
        <f t="shared" si="4"/>
        <v>379.38254731510455</v>
      </c>
      <c r="AM62" s="62">
        <f t="shared" si="5"/>
        <v>648.2329360438199</v>
      </c>
      <c r="AN62" s="62">
        <f ca="1">AVERAGE(OFFSET($AM$3,0,0,'Données projet'!$E$10+1,1))-AVERAGE(OFFSET($H$3,0,0,'Données projet'!$E$10+1,1))</f>
        <v>434.22500776975596</v>
      </c>
      <c r="AO62" s="62">
        <f t="shared" si="36"/>
        <v>232.59777933076705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4.8717948717948731</v>
      </c>
      <c r="BD62" s="13">
        <f>IF('Données projet'!$A$88&gt;35,BD61+BC62-BL61,IF(A62&lt;'Données projet'!$A$88,$BA$205^A62,IF(A62='Données projet'!$A$88,'Données projet'!$B$88,BD61+BC62-BL61)))</f>
        <v>195.12820512820505</v>
      </c>
      <c r="BE62" s="14">
        <f>BD62*VLOOKUP('Données projet'!$B$11,Paramètres!$A$1:$I$89,3,0)*VLOOKUP('Données projet'!$B$11,Paramètres!$A$1:$I$89,5,0)</f>
        <v>185.68399999999991</v>
      </c>
      <c r="BF62" s="14">
        <f t="shared" si="37"/>
        <v>46.584474219718061</v>
      </c>
      <c r="BG62" s="22">
        <f t="shared" si="7"/>
        <v>404.5342592660088</v>
      </c>
      <c r="BH62" s="62">
        <f t="shared" si="8"/>
        <v>673.38464799472422</v>
      </c>
      <c r="BI62" s="62">
        <f ca="1">AVERAGE(OFFSET($BH$3,0,0,'Données projet'!$E$11+1,1))-AVERAGE(OFFSET($H$3,0,0,'Données projet'!$E$11+1,1))</f>
        <v>393.3005580838161</v>
      </c>
      <c r="BJ62" s="62">
        <f t="shared" si="38"/>
        <v>295.86019897822757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6.2799999999999958</v>
      </c>
      <c r="BY62" s="13">
        <f>IF('Données projet'!$A$114&gt;35,BY61+BX62-CG61,IF(A62&lt;'Données projet'!$A$114,$BV$205^A62,IF(A62='Données projet'!$A$114,'Données projet'!$B$114,BY61+BX62-CG61)))</f>
        <v>303.71999999999986</v>
      </c>
      <c r="BZ62" s="14">
        <f>BY62*VLOOKUP('Données projet'!$B$12,Paramètres!$A$1:$I$89,3,0)*VLOOKUP('Données projet'!$B$12,Paramètres!$A$1:$I$89,5,0)</f>
        <v>241.63963199999992</v>
      </c>
      <c r="CA62" s="14">
        <f t="shared" si="39"/>
        <v>58.792165382566672</v>
      </c>
      <c r="CB62" s="22">
        <f t="shared" si="10"/>
        <v>523.25204710797016</v>
      </c>
      <c r="CC62" s="62">
        <f t="shared" si="11"/>
        <v>792.10243583668557</v>
      </c>
      <c r="CD62" s="62">
        <f ca="1">AVERAGE(OFFSET($CC$3,0,0,'Données projet'!$E$12+1,1))-AVERAGE(OFFSET($H$3,0,0,'Données projet'!$E$12+1,1))</f>
        <v>388.52230330563884</v>
      </c>
      <c r="CE62" s="62">
        <f t="shared" si="40"/>
        <v>418.94833960687333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6.2799999999999958</v>
      </c>
      <c r="CT62" s="13">
        <f>IF('Données projet'!$A$140&gt;35,CT61+CS62-DB61,IF(A62&lt;'Données projet'!$A$140,$CQ$205^A62,IF(A62='Données projet'!$A$140,'Données projet'!$B$140,CT61+CS62-DB61)))</f>
        <v>303.71999999999986</v>
      </c>
      <c r="CU62" s="18">
        <f>CT62*VLOOKUP('Données projet'!$B$13,Paramètres!$A$1:$I$89,3,0)*VLOOKUP('Données projet'!$B$13,Paramètres!$A$1:$I$89,5,0)</f>
        <v>222.68750399999988</v>
      </c>
      <c r="CV62" s="14">
        <f t="shared" si="41"/>
        <v>54.698588025346766</v>
      </c>
      <c r="CW62" s="22">
        <f t="shared" si="13"/>
        <v>483.1141102774788</v>
      </c>
      <c r="CX62" s="62">
        <f t="shared" si="14"/>
        <v>751.96449900619416</v>
      </c>
      <c r="CY62" s="62">
        <f ca="1">AVERAGE(OFFSET($CX$3,0,0,'Données projet'!$E$13+1,1))-AVERAGE(OFFSET($H$3,0,0,'Données projet'!$E$13+1,1))</f>
        <v>362.38131866207266</v>
      </c>
      <c r="CZ62" s="62">
        <f t="shared" si="42"/>
        <v>390.74498763200336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200.99999999999997</v>
      </c>
      <c r="DP62" s="18">
        <f>DO62*VLOOKUP('Données projet'!$B$14,Paramètres!$A$1:$I$89,3,0)*VLOOKUP('Données projet'!$B$14,Paramètres!$A$1:$I$89,5,0)</f>
        <v>175.59359999999998</v>
      </c>
      <c r="DQ62" s="14">
        <f t="shared" si="43"/>
        <v>44.340433728638573</v>
      </c>
      <c r="DR62" s="22">
        <f t="shared" si="16"/>
        <v>383.05177541071208</v>
      </c>
      <c r="DS62" s="62">
        <f t="shared" si="17"/>
        <v>651.90216413942744</v>
      </c>
      <c r="DT62" s="62">
        <f ca="1">AVERAGE(OFFSET($DS$3,0,0,'Données projet'!$E$14+1,1))-AVERAGE(OFFSET($H$3,0,0,'Données projet'!$E$14+1,1))</f>
        <v>334.4692012109935</v>
      </c>
      <c r="DU62" s="62">
        <f t="shared" si="44"/>
        <v>316.360405424036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15.571428571428571</v>
      </c>
      <c r="EJ62" s="13">
        <f>IF('Données projet'!$A$192&gt;35,EJ61+EI62-ER61,IF(A62&lt;'Données projet'!$A$192,$EG$205^A62,IF(A62='Données projet'!$A$192,'Données projet'!$B$192,EJ61+EI62-ER61)))</f>
        <v>475.71428571428544</v>
      </c>
      <c r="EK62" s="18">
        <f>EJ62*VLOOKUP('Données projet'!$B$15,Paramètres!$A$1:$I$89,3,0)*VLOOKUP('Données projet'!$B$15,Paramètres!$A$1:$I$89,5,0)</f>
        <v>265.92428571428559</v>
      </c>
      <c r="EL62" s="14">
        <f t="shared" si="45"/>
        <v>63.983535636381461</v>
      </c>
      <c r="EM62" s="22">
        <f t="shared" si="19"/>
        <v>574.58945551907846</v>
      </c>
      <c r="EN62" s="62">
        <f t="shared" si="20"/>
        <v>843.43984424779387</v>
      </c>
      <c r="EO62" s="62">
        <f ca="1">AVERAGE(OFFSET($EN$3,0,0,'Données projet'!$E$15+1,1))-AVERAGE(OFFSET($H$3,0,0,'Données projet'!$E$15+1,1))</f>
        <v>390.09289316045653</v>
      </c>
      <c r="EP62" s="62">
        <f t="shared" si="46"/>
        <v>364.34913542817617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3.3022772282688577</v>
      </c>
      <c r="EX62" s="23">
        <f>EXP(-LN(2)/2)*EX61+(1-EXP(-LN(2)/2))/(LN(2)/2)*ER62*EU62*VLOOKUP('Données projet'!$B$15,Paramètres!$A$1:$I$89,3,0)*0.475*44/12</f>
        <v>3.8766766350601843E-4</v>
      </c>
      <c r="EY62" s="24">
        <f t="shared" si="21"/>
        <v>3.3026648959323639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17.7</v>
      </c>
      <c r="FE62" s="13">
        <f>IF('Données projet'!$A$218&gt;35,FE61+FD62-FM61,IF(A62&lt;'Données projet'!$A$218,$FB$205^A62,IF(A62='Données projet'!$A$218,'Données projet'!$B$218,FE61+FD62-FM61)))</f>
        <v>341.10000000000014</v>
      </c>
      <c r="FF62" s="18">
        <f>FE62*VLOOKUP('Données projet'!$B$16,Paramètres!$A$1:$I$89,3,0)*VLOOKUP('Données projet'!$B$16,Paramètres!$A$1:$I$89,5,0)</f>
        <v>159.63480000000007</v>
      </c>
      <c r="FG62" s="14">
        <f t="shared" si="47"/>
        <v>40.760132575591193</v>
      </c>
      <c r="FH62" s="22">
        <f t="shared" si="22"/>
        <v>349.02117423582143</v>
      </c>
      <c r="FI62" s="62">
        <f t="shared" si="23"/>
        <v>617.87156296453679</v>
      </c>
      <c r="FJ62" s="62">
        <f ca="1">AVERAGE(OFFSET($FI$3,0,0,'Données projet'!$E$16+1,1))-AVERAGE(OFFSET($H$3,0,0,'Données projet'!$E$16+1,1))</f>
        <v>344.55118007058775</v>
      </c>
      <c r="FK62" s="62">
        <f t="shared" si="48"/>
        <v>144.16931602355001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9.75</v>
      </c>
      <c r="FZ62" s="13">
        <f>IF('Données projet'!$A$244&gt;35,FZ61+FY62-GH61,IF(A62&lt;'Données projet'!$A$244,$FW$205^A62,IF(A62='Données projet'!$A$244,'Données projet'!$B$244,FZ61+FY62-GH61)))</f>
        <v>294.25</v>
      </c>
      <c r="GA62" s="18">
        <f>FZ62*VLOOKUP('Données projet'!$B$17,Paramètres!$A$1:$I$89,3,0)*VLOOKUP('Données projet'!$B$17,Paramètres!$A$1:$I$89,5,0)</f>
        <v>183.61199999999999</v>
      </c>
      <c r="GB62" s="14">
        <f t="shared" si="49"/>
        <v>46.124858041839339</v>
      </c>
      <c r="GC62" s="22">
        <f t="shared" si="25"/>
        <v>400.12502775620351</v>
      </c>
      <c r="GD62" s="62">
        <f t="shared" si="26"/>
        <v>668.97541648491892</v>
      </c>
      <c r="GE62" s="62">
        <f ca="1">AVERAGE(OFFSET($GD$3,0,0,'Données projet'!$E$17+1,1))-AVERAGE(OFFSET($H$3,0,0,'Données projet'!$E$17+1,1))</f>
        <v>252.60122125520482</v>
      </c>
      <c r="GF62" s="62">
        <f t="shared" si="50"/>
        <v>357.56833754121317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4.6073537190419778</v>
      </c>
      <c r="GN62" s="23">
        <f>EXP(-LN(2)/2)*GN61+(1-EXP(-LN(2)/2))/(LN(2)/2)*GH62*GK62*VLOOKUP('Données projet'!$B$17,Paramètres!$A$1:$I$89,3,0)*0.475*44/12</f>
        <v>7.1292538788202305E-4</v>
      </c>
      <c r="GO62" s="23">
        <f t="shared" si="27"/>
        <v>4.6080666444298597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7.4</v>
      </c>
      <c r="GU62" s="13">
        <f>IF('Données projet'!$A$270&gt;35,GU61+GT62-HC61,IF(A62&lt;'Données projet'!$A$270,$GR$205^A62,IF(A62='Données projet'!$A$270,'Données projet'!$B$270,GU61+GT62-HC61)))</f>
        <v>295.59999999999991</v>
      </c>
      <c r="GV62" s="18">
        <f>GU62*VLOOKUP('Données projet'!$B$18,Paramètres!$A$1:$I$89,3,0)*VLOOKUP('Données projet'!$B$18,Paramètres!$A$1:$I$89,5,0)</f>
        <v>239.79071999999994</v>
      </c>
      <c r="GW62" s="14">
        <f t="shared" si="51"/>
        <v>58.394500584818381</v>
      </c>
      <c r="GX62" s="22">
        <f t="shared" si="28"/>
        <v>519.33925918522516</v>
      </c>
      <c r="GY62" s="62">
        <f t="shared" si="29"/>
        <v>788.18964791394046</v>
      </c>
      <c r="GZ62" s="62">
        <f ca="1">AVERAGE(OFFSET($GY$3,0,0,'Données projet'!$E$18+1,1))-AVERAGE(OFFSET($H$3,0,0,'Données projet'!$E$18+1,1))</f>
        <v>268.57152522489537</v>
      </c>
      <c r="HA62" s="62">
        <f t="shared" si="52"/>
        <v>311.80303557283207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3.75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13.75</v>
      </c>
      <c r="H63" s="70">
        <f t="shared" si="1"/>
        <v>201.66666666666666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690.70304495170228</v>
      </c>
      <c r="S63" s="62">
        <f ca="1">AVERAGE(OFFSET($R$3,0,0,'Données projet'!$E$9+1,1))-AVERAGE(OFFSET($H$3,0,0,'Données projet'!$E$9+1,1))</f>
        <v>461.02780119093666</v>
      </c>
      <c r="T63" s="62">
        <f t="shared" si="34"/>
        <v>245.70016468438834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213.99999999999994</v>
      </c>
      <c r="AJ63" s="14">
        <f>AI63*VLOOKUP('Données projet'!$B$10,Paramètres!$A$1:$I$89,3,0)*VLOOKUP('Données projet'!$B$10,Paramètres!$A$1:$I$89,5,0)</f>
        <v>180.27359999999996</v>
      </c>
      <c r="AK63" s="14">
        <f t="shared" si="35"/>
        <v>45.383051743938047</v>
      </c>
      <c r="AL63" s="22">
        <f t="shared" si="4"/>
        <v>393.01866845402537</v>
      </c>
      <c r="AM63" s="62">
        <f t="shared" si="5"/>
        <v>662.29378153596679</v>
      </c>
      <c r="AN63" s="62">
        <f ca="1">AVERAGE(OFFSET($AM$3,0,0,'Données projet'!$E$10+1,1))-AVERAGE(OFFSET($H$3,0,0,'Données projet'!$E$10+1,1))</f>
        <v>434.22500776975596</v>
      </c>
      <c r="AO63" s="62">
        <f t="shared" si="36"/>
        <v>232.59777933076705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200</v>
      </c>
      <c r="BB63" s="13">
        <f>VLOOKUP(A63,'Données projet'!$A$87:$I$107,9,0)</f>
        <v>4.8717948717948731</v>
      </c>
      <c r="BC63" s="13">
        <f t="array" ref="BC63">INDEX(BB:BB,MIN(IF(ISNUMBER(BB63:BB259),ROW(BB63:BB259),"")))</f>
        <v>4.8717948717948731</v>
      </c>
      <c r="BD63" s="13">
        <f>IF('Données projet'!$A$88&gt;35,BD62+BC63-BL62,IF(A63&lt;'Données projet'!$A$88,$BA$205^A63,IF(A63='Données projet'!$A$88,'Données projet'!$B$88,BD62+BC63-BL62)))</f>
        <v>199.99999999999991</v>
      </c>
      <c r="BE63" s="14">
        <f>BD63*VLOOKUP('Données projet'!$B$11,Paramètres!$A$1:$I$89,3,0)*VLOOKUP('Données projet'!$B$11,Paramètres!$A$1:$I$89,5,0)</f>
        <v>190.31999999999991</v>
      </c>
      <c r="BF63" s="14">
        <f t="shared" si="37"/>
        <v>47.61069337740188</v>
      </c>
      <c r="BG63" s="22">
        <f t="shared" si="7"/>
        <v>414.39595763230813</v>
      </c>
      <c r="BH63" s="62">
        <f t="shared" si="8"/>
        <v>683.67107071424948</v>
      </c>
      <c r="BI63" s="62">
        <f ca="1">AVERAGE(OFFSET($BH$3,0,0,'Données projet'!$E$11+1,1))-AVERAGE(OFFSET($H$3,0,0,'Données projet'!$E$11+1,1))</f>
        <v>393.3005580838161</v>
      </c>
      <c r="BJ63" s="62">
        <f t="shared" si="38"/>
        <v>295.86019897822757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29.487179487179485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6.2799999999999958</v>
      </c>
      <c r="BX63" s="13">
        <f t="array" ref="BX63">INDEX(BW:BW,MIN(IF(ISNUMBER(BW63:BW259),ROW(BW63:BW259),"")))</f>
        <v>6.2799999999999958</v>
      </c>
      <c r="BY63" s="13">
        <f>IF('Données projet'!$A$114&gt;35,BY62+BX63-CG62,IF(A63&lt;'Données projet'!$A$114,$BV$205^A63,IF(A63='Données projet'!$A$114,'Données projet'!$B$114,BY62+BX63-CG62)))</f>
        <v>309.99999999999983</v>
      </c>
      <c r="BZ63" s="14">
        <f>BY63*VLOOKUP('Données projet'!$B$12,Paramètres!$A$1:$I$89,3,0)*VLOOKUP('Données projet'!$B$12,Paramètres!$A$1:$I$89,5,0)</f>
        <v>246.63599999999985</v>
      </c>
      <c r="CA63" s="14">
        <f t="shared" si="39"/>
        <v>59.865023903294535</v>
      </c>
      <c r="CB63" s="22">
        <f t="shared" si="10"/>
        <v>533.8226166315709</v>
      </c>
      <c r="CC63" s="62">
        <f t="shared" si="11"/>
        <v>803.09772971351231</v>
      </c>
      <c r="CD63" s="62">
        <f ca="1">AVERAGE(OFFSET($CC$3,0,0,'Données projet'!$E$12+1,1))-AVERAGE(OFFSET($H$3,0,0,'Données projet'!$E$12+1,1))</f>
        <v>388.52230330563884</v>
      </c>
      <c r="CE63" s="62">
        <f t="shared" si="40"/>
        <v>418.94833960687333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30.2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310</v>
      </c>
      <c r="CR63" s="13">
        <f>VLOOKUP(A63,'Données projet'!$A$139:$I$159,9,0)</f>
        <v>6.2799999999999958</v>
      </c>
      <c r="CS63" s="13">
        <f t="array" ref="CS63">INDEX(CR:CR,MIN(IF(ISNUMBER(CR63:CR259),ROW(CR63:CR259),"")))</f>
        <v>6.2799999999999958</v>
      </c>
      <c r="CT63" s="13">
        <f>IF('Données projet'!$A$140&gt;35,CT62+CS63-DB62,IF(A63&lt;'Données projet'!$A$140,$CQ$205^A63,IF(A63='Données projet'!$A$140,'Données projet'!$B$140,CT62+CS63-DB62)))</f>
        <v>309.99999999999983</v>
      </c>
      <c r="CU63" s="18">
        <f>CT63*VLOOKUP('Données projet'!$B$13,Paramètres!$A$1:$I$89,3,0)*VLOOKUP('Données projet'!$B$13,Paramètres!$A$1:$I$89,5,0)</f>
        <v>227.29199999999986</v>
      </c>
      <c r="CV63" s="14">
        <f t="shared" si="41"/>
        <v>55.69674561748365</v>
      </c>
      <c r="CW63" s="22">
        <f t="shared" si="13"/>
        <v>492.8720652837838</v>
      </c>
      <c r="CX63" s="62">
        <f t="shared" si="14"/>
        <v>762.14717836572527</v>
      </c>
      <c r="CY63" s="62">
        <f ca="1">AVERAGE(OFFSET($CX$3,0,0,'Données projet'!$E$13+1,1))-AVERAGE(OFFSET($H$3,0,0,'Données projet'!$E$13+1,1))</f>
        <v>362.38131866207266</v>
      </c>
      <c r="CZ63" s="62">
        <f t="shared" si="42"/>
        <v>390.74498763200336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30.2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206</v>
      </c>
      <c r="DM63" s="13">
        <f>VLOOKUP(A63,'Données projet'!$A$165:$I$185,9,0)</f>
        <v>5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205.99999999999997</v>
      </c>
      <c r="DP63" s="18">
        <f>DO63*VLOOKUP('Données projet'!$B$14,Paramètres!$A$1:$I$89,3,0)*VLOOKUP('Données projet'!$B$14,Paramètres!$A$1:$I$89,5,0)</f>
        <v>179.9616</v>
      </c>
      <c r="DQ63" s="14">
        <f t="shared" si="43"/>
        <v>45.313642767960104</v>
      </c>
      <c r="DR63" s="22">
        <f t="shared" si="16"/>
        <v>392.35438115419714</v>
      </c>
      <c r="DS63" s="62">
        <f t="shared" si="17"/>
        <v>661.6294942361385</v>
      </c>
      <c r="DT63" s="62">
        <f ca="1">AVERAGE(OFFSET($DS$3,0,0,'Données projet'!$E$14+1,1))-AVERAGE(OFFSET($H$3,0,0,'Données projet'!$E$14+1,1))</f>
        <v>334.4692012109935</v>
      </c>
      <c r="DU63" s="62">
        <f t="shared" si="44"/>
        <v>316.360405424036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15.571428571428571</v>
      </c>
      <c r="EJ63" s="13">
        <f>IF('Données projet'!$A$192&gt;35,EJ62+EI63-ER62,IF(A63&lt;'Données projet'!$A$192,$EG$205^A63,IF(A63='Données projet'!$A$192,'Données projet'!$B$192,EJ62+EI63-ER62)))</f>
        <v>491.28571428571399</v>
      </c>
      <c r="EK63" s="18">
        <f>EJ63*VLOOKUP('Données projet'!$B$15,Paramètres!$A$1:$I$89,3,0)*VLOOKUP('Données projet'!$B$15,Paramètres!$A$1:$I$89,5,0)</f>
        <v>274.62871428571412</v>
      </c>
      <c r="EL63" s="14">
        <f t="shared" si="45"/>
        <v>65.830625361909483</v>
      </c>
      <c r="EM63" s="22">
        <f t="shared" si="19"/>
        <v>592.96668321961113</v>
      </c>
      <c r="EN63" s="62">
        <f t="shared" si="20"/>
        <v>862.24179630155254</v>
      </c>
      <c r="EO63" s="62">
        <f ca="1">AVERAGE(OFFSET($EN$3,0,0,'Données projet'!$E$15+1,1))-AVERAGE(OFFSET($H$3,0,0,'Données projet'!$E$15+1,1))</f>
        <v>390.09289316045653</v>
      </c>
      <c r="EP63" s="62">
        <f t="shared" si="46"/>
        <v>364.34913542817617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3.2119762838026338</v>
      </c>
      <c r="EX63" s="23">
        <f>EXP(-LN(2)/2)*EX62+(1-EXP(-LN(2)/2))/(LN(2)/2)*ER63*EU63*VLOOKUP('Données projet'!$B$15,Paramètres!$A$1:$I$89,3,0)*0.475*44/12</f>
        <v>2.741224337118503E-4</v>
      </c>
      <c r="EY63" s="24">
        <f t="shared" si="21"/>
        <v>3.2122504062363455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17.7</v>
      </c>
      <c r="FE63" s="13">
        <f>IF('Données projet'!$A$218&gt;35,FE62+FD63-FM62,IF(A63&lt;'Données projet'!$A$218,$FB$205^A63,IF(A63='Données projet'!$A$218,'Données projet'!$B$218,FE62+FD63-FM62)))</f>
        <v>358.80000000000013</v>
      </c>
      <c r="FF63" s="18">
        <f>FE63*VLOOKUP('Données projet'!$B$16,Paramètres!$A$1:$I$89,3,0)*VLOOKUP('Données projet'!$B$16,Paramètres!$A$1:$I$89,5,0)</f>
        <v>167.91840000000005</v>
      </c>
      <c r="FG63" s="14">
        <f t="shared" si="47"/>
        <v>42.623480667123907</v>
      </c>
      <c r="FH63" s="22">
        <f t="shared" si="22"/>
        <v>366.69377549524091</v>
      </c>
      <c r="FI63" s="62">
        <f t="shared" si="23"/>
        <v>635.96888857718227</v>
      </c>
      <c r="FJ63" s="62">
        <f ca="1">AVERAGE(OFFSET($FI$3,0,0,'Données projet'!$E$16+1,1))-AVERAGE(OFFSET($H$3,0,0,'Données projet'!$E$16+1,1))</f>
        <v>344.55118007058775</v>
      </c>
      <c r="FK63" s="62">
        <f t="shared" si="48"/>
        <v>144.16931602355001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304</v>
      </c>
      <c r="FX63" s="13">
        <f>VLOOKUP(A63,'Données projet'!$A$243:$I$263,9,0)</f>
        <v>9.75</v>
      </c>
      <c r="FY63" s="13">
        <f t="array" ref="FY63">INDEX(FX:FX,MIN(IF(ISNUMBER(FX63:FX259),ROW(FX63:FX259),"")))</f>
        <v>9.75</v>
      </c>
      <c r="FZ63" s="13">
        <f>IF('Données projet'!$A$244&gt;35,FZ62+FY63-GH62,IF(A63&lt;'Données projet'!$A$244,$FW$205^A63,IF(A63='Données projet'!$A$244,'Données projet'!$B$244,FZ62+FY63-GH62)))</f>
        <v>304</v>
      </c>
      <c r="GA63" s="18">
        <f>FZ63*VLOOKUP('Données projet'!$B$17,Paramètres!$A$1:$I$89,3,0)*VLOOKUP('Données projet'!$B$17,Paramètres!$A$1:$I$89,5,0)</f>
        <v>189.696</v>
      </c>
      <c r="GB63" s="14">
        <f t="shared" si="49"/>
        <v>47.472736505152469</v>
      </c>
      <c r="GC63" s="22">
        <f t="shared" si="25"/>
        <v>413.06888274647389</v>
      </c>
      <c r="GD63" s="62">
        <f t="shared" si="26"/>
        <v>682.34399582841525</v>
      </c>
      <c r="GE63" s="62">
        <f ca="1">AVERAGE(OFFSET($GD$3,0,0,'Données projet'!$E$17+1,1))-AVERAGE(OFFSET($H$3,0,0,'Données projet'!$E$17+1,1))</f>
        <v>252.60122125520482</v>
      </c>
      <c r="GF63" s="62">
        <f t="shared" si="50"/>
        <v>357.56833754121317</v>
      </c>
      <c r="GG63" s="16">
        <f>IF(ISNA(VLOOKUP(A63,'Données projet'!$A$243:$I$263,3,0)),0,VLOOKUP(A63,'Données projet'!$A$243:$I$263,3,0))</f>
        <v>8</v>
      </c>
      <c r="GH63" s="16">
        <f>IF(ISNA(VLOOKUP(A63,'Données projet'!$A$243:$I$263,4,0)),0,VLOOKUP(A63,'Données projet'!$A$243:$I$263,4,0))</f>
        <v>304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4.4813653893045728</v>
      </c>
      <c r="GN63" s="23">
        <f>EXP(-LN(2)/2)*GN62+(1-EXP(-LN(2)/2))/(LN(2)/2)*GH63*GK63*VLOOKUP('Données projet'!$B$17,Paramètres!$A$1:$I$89,3,0)*0.475*44/12</f>
        <v>5.0411437625142819E-4</v>
      </c>
      <c r="GO63" s="23">
        <f t="shared" si="27"/>
        <v>4.4818695036808247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303</v>
      </c>
      <c r="GS63" s="13">
        <f>VLOOKUP(A63,'Données projet'!$A$269:$I$289,9,0)</f>
        <v>7.4</v>
      </c>
      <c r="GT63" s="13">
        <f t="array" ref="GT63">INDEX(GS:GS,MIN(IF(ISNUMBER(GS63:GS259),ROW(GS63:GS259),"")))</f>
        <v>7.4</v>
      </c>
      <c r="GU63" s="13">
        <f>IF('Données projet'!$A$270&gt;35,GU62+GT63-HC62,IF(A63&lt;'Données projet'!$A$270,$GR$205^A63,IF(A63='Données projet'!$A$270,'Données projet'!$B$270,GU62+GT63-HC62)))</f>
        <v>302.99999999999989</v>
      </c>
      <c r="GV63" s="18">
        <f>GU63*VLOOKUP('Données projet'!$B$18,Paramètres!$A$1:$I$89,3,0)*VLOOKUP('Données projet'!$B$18,Paramètres!$A$1:$I$89,5,0)</f>
        <v>245.79359999999991</v>
      </c>
      <c r="GW63" s="14">
        <f t="shared" si="51"/>
        <v>59.684315982017168</v>
      </c>
      <c r="GX63" s="22">
        <f t="shared" si="28"/>
        <v>532.04070366867973</v>
      </c>
      <c r="GY63" s="62">
        <f t="shared" si="29"/>
        <v>801.31581675062114</v>
      </c>
      <c r="GZ63" s="62">
        <f ca="1">AVERAGE(OFFSET($GY$3,0,0,'Données projet'!$E$18+1,1))-AVERAGE(OFFSET($H$3,0,0,'Données projet'!$E$18+1,1))</f>
        <v>268.57152522489537</v>
      </c>
      <c r="HA63" s="62">
        <f t="shared" si="52"/>
        <v>311.80303557283207</v>
      </c>
      <c r="HB63" s="16">
        <f>IF(ISNA(VLOOKUP(A63,'Données projet'!$A$269:$I$289,3,0)),0,VLOOKUP(A63,'Données projet'!$A$269:$I$289,3,0))</f>
        <v>3</v>
      </c>
      <c r="HC63" s="16">
        <f>IF(ISNA(VLOOKUP(A63,'Données projet'!$A$269:$I$289,4,0)),0,VLOOKUP(A63,'Données projet'!$A$269:$I$289,4,0))</f>
        <v>303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3.75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13.75</v>
      </c>
      <c r="H64" s="70">
        <f t="shared" si="1"/>
        <v>201.66666666666666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704.96471882182266</v>
      </c>
      <c r="S64" s="62">
        <f ca="1">AVERAGE(OFFSET($R$3,0,0,'Données projet'!$E$9+1,1))-AVERAGE(OFFSET($H$3,0,0,'Données projet'!$E$9+1,1))</f>
        <v>461.02780119093666</v>
      </c>
      <c r="T64" s="62">
        <f t="shared" si="34"/>
        <v>245.70016468438834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221.19999999999993</v>
      </c>
      <c r="AJ64" s="14">
        <f>AI64*VLOOKUP('Données projet'!$B$10,Paramètres!$A$1:$I$89,3,0)*VLOOKUP('Données projet'!$B$10,Paramètres!$A$1:$I$89,5,0)</f>
        <v>186.33887999999996</v>
      </c>
      <c r="AK64" s="14">
        <f t="shared" si="35"/>
        <v>46.72961689129756</v>
      </c>
      <c r="AL64" s="22">
        <f t="shared" si="4"/>
        <v>405.92763208567652</v>
      </c>
      <c r="AM64" s="62">
        <f t="shared" si="5"/>
        <v>675.62010150285687</v>
      </c>
      <c r="AN64" s="62">
        <f ca="1">AVERAGE(OFFSET($AM$3,0,0,'Données projet'!$E$10+1,1))-AVERAGE(OFFSET($H$3,0,0,'Données projet'!$E$10+1,1))</f>
        <v>434.22500776975596</v>
      </c>
      <c r="AO64" s="62">
        <f t="shared" si="36"/>
        <v>232.59777933076705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4.6153846153846132</v>
      </c>
      <c r="BD64" s="13">
        <f>IF('Données projet'!$A$88&gt;35,BD63+BC64-BL63,IF(A64&lt;'Données projet'!$A$88,$BA$205^A64,IF(A64='Données projet'!$A$88,'Données projet'!$B$88,BD63+BC64-BL63)))</f>
        <v>175.12820512820505</v>
      </c>
      <c r="BE64" s="14">
        <f>BD64*VLOOKUP('Données projet'!$B$11,Paramètres!$A$1:$I$89,3,0)*VLOOKUP('Données projet'!$B$11,Paramètres!$A$1:$I$89,5,0)</f>
        <v>166.65199999999993</v>
      </c>
      <c r="BF64" s="14">
        <f t="shared" si="37"/>
        <v>42.339317127801309</v>
      </c>
      <c r="BG64" s="22">
        <f t="shared" si="7"/>
        <v>363.99321066425381</v>
      </c>
      <c r="BH64" s="62">
        <f t="shared" si="8"/>
        <v>633.68568008143416</v>
      </c>
      <c r="BI64" s="62">
        <f ca="1">AVERAGE(OFFSET($BH$3,0,0,'Données projet'!$E$11+1,1))-AVERAGE(OFFSET($H$3,0,0,'Données projet'!$E$11+1,1))</f>
        <v>393.3005580838161</v>
      </c>
      <c r="BJ64" s="62">
        <f t="shared" si="38"/>
        <v>295.86019897822757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5.2399999999999975</v>
      </c>
      <c r="BY64" s="13">
        <f>IF('Données projet'!$A$114&gt;35,BY63+BX64-CG63,IF(A64&lt;'Données projet'!$A$114,$BV$205^A64,IF(A64='Données projet'!$A$114,'Données projet'!$B$114,BY63+BX64-CG63)))</f>
        <v>285.03999999999985</v>
      </c>
      <c r="BZ64" s="14">
        <f>BY64*VLOOKUP('Données projet'!$B$12,Paramètres!$A$1:$I$89,3,0)*VLOOKUP('Données projet'!$B$12,Paramètres!$A$1:$I$89,5,0)</f>
        <v>226.7778239999999</v>
      </c>
      <c r="CA64" s="14">
        <f t="shared" si="39"/>
        <v>55.585400699018884</v>
      </c>
      <c r="CB64" s="22">
        <f t="shared" si="10"/>
        <v>491.78261635079099</v>
      </c>
      <c r="CC64" s="62">
        <f t="shared" si="11"/>
        <v>761.47508576797134</v>
      </c>
      <c r="CD64" s="62">
        <f ca="1">AVERAGE(OFFSET($CC$3,0,0,'Données projet'!$E$12+1,1))-AVERAGE(OFFSET($H$3,0,0,'Données projet'!$E$12+1,1))</f>
        <v>388.52230330563884</v>
      </c>
      <c r="CE64" s="62">
        <f t="shared" si="40"/>
        <v>418.94833960687333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5.2399999999999975</v>
      </c>
      <c r="CT64" s="13">
        <f>IF('Données projet'!$A$140&gt;35,CT63+CS64-DB63,IF(A64&lt;'Données projet'!$A$140,$CQ$205^A64,IF(A64='Données projet'!$A$140,'Données projet'!$B$140,CT63+CS64-DB63)))</f>
        <v>285.03999999999985</v>
      </c>
      <c r="CU64" s="18">
        <f>CT64*VLOOKUP('Données projet'!$B$13,Paramètres!$A$1:$I$89,3,0)*VLOOKUP('Données projet'!$B$13,Paramètres!$A$1:$I$89,5,0)</f>
        <v>208.9913279999999</v>
      </c>
      <c r="CV64" s="14">
        <f t="shared" si="41"/>
        <v>51.715103760424256</v>
      </c>
      <c r="CW64" s="22">
        <f t="shared" si="13"/>
        <v>454.06370198273868</v>
      </c>
      <c r="CX64" s="62">
        <f t="shared" si="14"/>
        <v>723.75617139991903</v>
      </c>
      <c r="CY64" s="62">
        <f ca="1">AVERAGE(OFFSET($CX$3,0,0,'Données projet'!$E$13+1,1))-AVERAGE(OFFSET($H$3,0,0,'Données projet'!$E$13+1,1))</f>
        <v>362.38131866207266</v>
      </c>
      <c r="CZ64" s="62">
        <f t="shared" si="42"/>
        <v>390.74498763200336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4.4000000000000004</v>
      </c>
      <c r="DO64" s="13">
        <f>IF('Données projet'!$A$166&gt;35,DO63+DN64-DW63,IF(A64&lt;'Données projet'!$A$166,$DL$205^A64,IF(A64='Données projet'!$A$166,'Données projet'!$B$166,DO63+DN64-DW63)))</f>
        <v>177.39999999999998</v>
      </c>
      <c r="DP64" s="18">
        <f>DO64*VLOOKUP('Données projet'!$B$14,Paramètres!$A$1:$I$89,3,0)*VLOOKUP('Données projet'!$B$14,Paramètres!$A$1:$I$89,5,0)</f>
        <v>154.97664</v>
      </c>
      <c r="DQ64" s="14">
        <f t="shared" si="43"/>
        <v>39.707387607123913</v>
      </c>
      <c r="DR64" s="22">
        <f t="shared" si="16"/>
        <v>339.07468141574077</v>
      </c>
      <c r="DS64" s="62">
        <f t="shared" si="17"/>
        <v>608.76715083292106</v>
      </c>
      <c r="DT64" s="62">
        <f ca="1">AVERAGE(OFFSET($DS$3,0,0,'Données projet'!$E$14+1,1))-AVERAGE(OFFSET($H$3,0,0,'Données projet'!$E$14+1,1))</f>
        <v>334.4692012109935</v>
      </c>
      <c r="DU64" s="62">
        <f t="shared" si="44"/>
        <v>316.360405424036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15.571428571428571</v>
      </c>
      <c r="EJ64" s="13">
        <f>IF('Données projet'!$A$192&gt;35,EJ63+EI64-ER63,IF(A64&lt;'Données projet'!$A$192,$EG$205^A64,IF(A64='Données projet'!$A$192,'Données projet'!$B$192,EJ63+EI64-ER63)))</f>
        <v>506.85714285714255</v>
      </c>
      <c r="EK64" s="18">
        <f>EJ64*VLOOKUP('Données projet'!$B$15,Paramètres!$A$1:$I$89,3,0)*VLOOKUP('Données projet'!$B$15,Paramètres!$A$1:$I$89,5,0)</f>
        <v>283.33314285714266</v>
      </c>
      <c r="EL64" s="14">
        <f t="shared" si="45"/>
        <v>67.670911918680105</v>
      </c>
      <c r="EM64" s="22">
        <f t="shared" si="19"/>
        <v>611.33206206789123</v>
      </c>
      <c r="EN64" s="62">
        <f t="shared" si="20"/>
        <v>881.02453148507152</v>
      </c>
      <c r="EO64" s="62">
        <f ca="1">AVERAGE(OFFSET($EN$3,0,0,'Données projet'!$E$15+1,1))-AVERAGE(OFFSET($H$3,0,0,'Données projet'!$E$15+1,1))</f>
        <v>390.09289316045653</v>
      </c>
      <c r="EP64" s="62">
        <f t="shared" si="46"/>
        <v>364.34913542817617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3.1241446234115591</v>
      </c>
      <c r="EX64" s="23">
        <f>EXP(-LN(2)/2)*EX63+(1-EXP(-LN(2)/2))/(LN(2)/2)*ER64*EU64*VLOOKUP('Données projet'!$B$15,Paramètres!$A$1:$I$89,3,0)*0.475*44/12</f>
        <v>1.9383383175300921E-4</v>
      </c>
      <c r="EY64" s="24">
        <f t="shared" si="21"/>
        <v>3.1243384572433119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17.7</v>
      </c>
      <c r="FE64" s="13">
        <f>IF('Données projet'!$A$218&gt;35,FE63+FD64-FM63,IF(A64&lt;'Données projet'!$A$218,$FB$205^A64,IF(A64='Données projet'!$A$218,'Données projet'!$B$218,FE63+FD64-FM63)))</f>
        <v>376.50000000000011</v>
      </c>
      <c r="FF64" s="18">
        <f>FE64*VLOOKUP('Données projet'!$B$16,Paramètres!$A$1:$I$89,3,0)*VLOOKUP('Données projet'!$B$16,Paramètres!$A$1:$I$89,5,0)</f>
        <v>176.20200000000008</v>
      </c>
      <c r="FG64" s="14">
        <f t="shared" si="47"/>
        <v>44.47615524216701</v>
      </c>
      <c r="FH64" s="22">
        <f t="shared" si="22"/>
        <v>384.34778704677433</v>
      </c>
      <c r="FI64" s="62">
        <f t="shared" si="23"/>
        <v>654.04025646395462</v>
      </c>
      <c r="FJ64" s="62">
        <f ca="1">AVERAGE(OFFSET($FI$3,0,0,'Données projet'!$E$16+1,1))-AVERAGE(OFFSET($H$3,0,0,'Données projet'!$E$16+1,1))</f>
        <v>344.55118007058775</v>
      </c>
      <c r="FK64" s="62">
        <f t="shared" si="48"/>
        <v>144.16931602355001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>
        <f>FZ64*VLOOKUP('Données projet'!$B$17,Paramètres!$A$1:$I$89,3,0)*VLOOKUP('Données projet'!$B$17,Paramètres!$A$1:$I$89,5,0)</f>
        <v>0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252.60122125520482</v>
      </c>
      <c r="GF64" s="62">
        <f t="shared" si="50"/>
        <v>357.56833754121317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4.3588222170692754</v>
      </c>
      <c r="GN64" s="23">
        <f>EXP(-LN(2)/2)*GN63+(1-EXP(-LN(2)/2))/(LN(2)/2)*GH64*GK64*VLOOKUP('Données projet'!$B$17,Paramètres!$A$1:$I$89,3,0)*0.475*44/12</f>
        <v>3.5646269394101152E-4</v>
      </c>
      <c r="GO64" s="23">
        <f t="shared" si="27"/>
        <v>4.3591786797632164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-1.1368683772161603E-13</v>
      </c>
      <c r="GV64" s="18">
        <f>GU64*VLOOKUP('Données projet'!$B$18,Paramètres!$A$1:$I$89,3,0)*VLOOKUP('Données projet'!$B$18,Paramètres!$A$1:$I$89,5,0)</f>
        <v>-9.2222762759774927E-14</v>
      </c>
      <c r="GW64" s="14" t="e">
        <f t="shared" si="51"/>
        <v>#NUM!</v>
      </c>
      <c r="GX64" s="22" t="e">
        <f t="shared" si="28"/>
        <v>#NUM!</v>
      </c>
      <c r="GY64" s="62" t="e">
        <f t="shared" si="29"/>
        <v>#NUM!</v>
      </c>
      <c r="GZ64" s="62">
        <f ca="1">AVERAGE(OFFSET($GY$3,0,0,'Données projet'!$E$18+1,1))-AVERAGE(OFFSET($H$3,0,0,'Données projet'!$E$18+1,1))</f>
        <v>268.57152522489537</v>
      </c>
      <c r="HA64" s="62">
        <f t="shared" si="52"/>
        <v>311.80303557283207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3.75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13.75</v>
      </c>
      <c r="H65" s="70">
        <f t="shared" si="1"/>
        <v>201.66666666666666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719.20970376837249</v>
      </c>
      <c r="S65" s="62">
        <f ca="1">AVERAGE(OFFSET($R$3,0,0,'Données projet'!$E$9+1,1))-AVERAGE(OFFSET($H$3,0,0,'Données projet'!$E$9+1,1))</f>
        <v>461.02780119093666</v>
      </c>
      <c r="T65" s="62">
        <f t="shared" si="34"/>
        <v>245.70016468438834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228.39999999999992</v>
      </c>
      <c r="AJ65" s="14">
        <f>AI65*VLOOKUP('Données projet'!$B$10,Paramètres!$A$1:$I$89,3,0)*VLOOKUP('Données projet'!$B$10,Paramètres!$A$1:$I$89,5,0)</f>
        <v>192.40415999999996</v>
      </c>
      <c r="AK65" s="14">
        <f t="shared" si="35"/>
        <v>48.071088890795593</v>
      </c>
      <c r="AL65" s="22">
        <f t="shared" si="4"/>
        <v>418.82772515146894</v>
      </c>
      <c r="AM65" s="62">
        <f t="shared" si="5"/>
        <v>688.93031070454072</v>
      </c>
      <c r="AN65" s="62">
        <f ca="1">AVERAGE(OFFSET($AM$3,0,0,'Données projet'!$E$10+1,1))-AVERAGE(OFFSET($H$3,0,0,'Données projet'!$E$10+1,1))</f>
        <v>434.22500776975596</v>
      </c>
      <c r="AO65" s="62">
        <f t="shared" si="36"/>
        <v>232.59777933076705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4.6153846153846132</v>
      </c>
      <c r="BD65" s="13">
        <f>IF('Données projet'!$A$88&gt;35,BD64+BC65-BL64,IF(A65&lt;'Données projet'!$A$88,$BA$205^A65,IF(A65='Données projet'!$A$88,'Données projet'!$B$88,BD64+BC65-BL64)))</f>
        <v>179.74358974358967</v>
      </c>
      <c r="BE65" s="14">
        <f>BD65*VLOOKUP('Données projet'!$B$11,Paramètres!$A$1:$I$89,3,0)*VLOOKUP('Données projet'!$B$11,Paramètres!$A$1:$I$89,5,0)</f>
        <v>171.04399999999993</v>
      </c>
      <c r="BF65" s="14">
        <f t="shared" si="37"/>
        <v>43.32376147477413</v>
      </c>
      <c r="BG65" s="22">
        <f t="shared" si="7"/>
        <v>373.35718456856483</v>
      </c>
      <c r="BH65" s="62">
        <f t="shared" si="8"/>
        <v>643.45977012163667</v>
      </c>
      <c r="BI65" s="62">
        <f ca="1">AVERAGE(OFFSET($BH$3,0,0,'Données projet'!$E$11+1,1))-AVERAGE(OFFSET($H$3,0,0,'Données projet'!$E$11+1,1))</f>
        <v>393.3005580838161</v>
      </c>
      <c r="BJ65" s="62">
        <f t="shared" si="38"/>
        <v>295.86019897822757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5.2399999999999975</v>
      </c>
      <c r="BY65" s="13">
        <f>IF('Données projet'!$A$114&gt;35,BY64+BX65-CG64,IF(A65&lt;'Données projet'!$A$114,$BV$205^A65,IF(A65='Données projet'!$A$114,'Données projet'!$B$114,BY64+BX65-CG64)))</f>
        <v>290.27999999999986</v>
      </c>
      <c r="BZ65" s="14">
        <f>BY65*VLOOKUP('Données projet'!$B$12,Paramètres!$A$1:$I$89,3,0)*VLOOKUP('Données projet'!$B$12,Paramètres!$A$1:$I$89,5,0)</f>
        <v>230.94676799999991</v>
      </c>
      <c r="CA65" s="14">
        <f t="shared" si="39"/>
        <v>56.487345939251334</v>
      </c>
      <c r="CB65" s="22">
        <f t="shared" si="10"/>
        <v>500.61441511086258</v>
      </c>
      <c r="CC65" s="62">
        <f t="shared" si="11"/>
        <v>770.71700066393441</v>
      </c>
      <c r="CD65" s="62">
        <f ca="1">AVERAGE(OFFSET($CC$3,0,0,'Données projet'!$E$12+1,1))-AVERAGE(OFFSET($H$3,0,0,'Données projet'!$E$12+1,1))</f>
        <v>388.52230330563884</v>
      </c>
      <c r="CE65" s="62">
        <f t="shared" si="40"/>
        <v>418.94833960687333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5.2399999999999975</v>
      </c>
      <c r="CT65" s="13">
        <f>IF('Données projet'!$A$140&gt;35,CT64+CS65-DB64,IF(A65&lt;'Données projet'!$A$140,$CQ$205^A65,IF(A65='Données projet'!$A$140,'Données projet'!$B$140,CT64+CS65-DB64)))</f>
        <v>290.27999999999986</v>
      </c>
      <c r="CU65" s="18">
        <f>CT65*VLOOKUP('Données projet'!$B$13,Paramètres!$A$1:$I$89,3,0)*VLOOKUP('Données projet'!$B$13,Paramètres!$A$1:$I$89,5,0)</f>
        <v>212.83329599999988</v>
      </c>
      <c r="CV65" s="14">
        <f t="shared" si="41"/>
        <v>52.554248411686309</v>
      </c>
      <c r="CW65" s="22">
        <f t="shared" si="13"/>
        <v>462.21663985035343</v>
      </c>
      <c r="CX65" s="62">
        <f t="shared" si="14"/>
        <v>732.31922540342521</v>
      </c>
      <c r="CY65" s="62">
        <f ca="1">AVERAGE(OFFSET($CX$3,0,0,'Données projet'!$E$13+1,1))-AVERAGE(OFFSET($H$3,0,0,'Données projet'!$E$13+1,1))</f>
        <v>362.38131866207266</v>
      </c>
      <c r="CZ65" s="62">
        <f t="shared" si="42"/>
        <v>390.74498763200336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4.4000000000000004</v>
      </c>
      <c r="DO65" s="13">
        <f>IF('Données projet'!$A$166&gt;35,DO64+DN65-DW64,IF(A65&lt;'Données projet'!$A$166,$DL$205^A65,IF(A65='Données projet'!$A$166,'Données projet'!$B$166,DO64+DN65-DW64)))</f>
        <v>181.79999999999998</v>
      </c>
      <c r="DP65" s="18">
        <f>DO65*VLOOKUP('Données projet'!$B$14,Paramètres!$A$1:$I$89,3,0)*VLOOKUP('Données projet'!$B$14,Paramètres!$A$1:$I$89,5,0)</f>
        <v>158.82048</v>
      </c>
      <c r="DQ65" s="14">
        <f t="shared" si="43"/>
        <v>40.57635691759311</v>
      </c>
      <c r="DR65" s="22">
        <f t="shared" si="16"/>
        <v>347.28282429814129</v>
      </c>
      <c r="DS65" s="62">
        <f t="shared" si="17"/>
        <v>617.38540985121313</v>
      </c>
      <c r="DT65" s="62">
        <f ca="1">AVERAGE(OFFSET($DS$3,0,0,'Données projet'!$E$14+1,1))-AVERAGE(OFFSET($H$3,0,0,'Données projet'!$E$14+1,1))</f>
        <v>334.4692012109935</v>
      </c>
      <c r="DU65" s="62">
        <f t="shared" si="44"/>
        <v>316.360405424036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15.571428571428571</v>
      </c>
      <c r="EJ65" s="13">
        <f>IF('Données projet'!$A$192&gt;35,EJ64+EI65-ER64,IF(A65&lt;'Données projet'!$A$192,$EG$205^A65,IF(A65='Données projet'!$A$192,'Données projet'!$B$192,EJ64+EI65-ER64)))</f>
        <v>522.4285714285711</v>
      </c>
      <c r="EK65" s="18">
        <f>EJ65*VLOOKUP('Données projet'!$B$15,Paramètres!$A$1:$I$89,3,0)*VLOOKUP('Données projet'!$B$15,Paramètres!$A$1:$I$89,5,0)</f>
        <v>292.03757142857125</v>
      </c>
      <c r="EL65" s="14">
        <f t="shared" si="45"/>
        <v>69.504628296156</v>
      </c>
      <c r="EM65" s="22">
        <f t="shared" si="19"/>
        <v>629.68599785389995</v>
      </c>
      <c r="EN65" s="62">
        <f t="shared" si="20"/>
        <v>899.78858340697184</v>
      </c>
      <c r="EO65" s="62">
        <f ca="1">AVERAGE(OFFSET($EN$3,0,0,'Données projet'!$E$15+1,1))-AVERAGE(OFFSET($H$3,0,0,'Données projet'!$E$15+1,1))</f>
        <v>390.09289316045653</v>
      </c>
      <c r="EP65" s="62">
        <f t="shared" si="46"/>
        <v>364.34913542817617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3.0387147243927446</v>
      </c>
      <c r="EX65" s="23">
        <f>EXP(-LN(2)/2)*EX64+(1-EXP(-LN(2)/2))/(LN(2)/2)*ER65*EU65*VLOOKUP('Données projet'!$B$15,Paramètres!$A$1:$I$89,3,0)*0.475*44/12</f>
        <v>1.3706121685592515E-4</v>
      </c>
      <c r="EY65" s="24">
        <f t="shared" si="21"/>
        <v>3.0388517856096007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17.7</v>
      </c>
      <c r="FE65" s="13">
        <f>IF('Données projet'!$A$218&gt;35,FE64+FD65-FM64,IF(A65&lt;'Données projet'!$A$218,$FB$205^A65,IF(A65='Données projet'!$A$218,'Données projet'!$B$218,FE64+FD65-FM64)))</f>
        <v>394.2000000000001</v>
      </c>
      <c r="FF65" s="18">
        <f>FE65*VLOOKUP('Données projet'!$B$16,Paramètres!$A$1:$I$89,3,0)*VLOOKUP('Données projet'!$B$16,Paramètres!$A$1:$I$89,5,0)</f>
        <v>184.48560000000006</v>
      </c>
      <c r="FG65" s="14">
        <f t="shared" si="47"/>
        <v>46.318715382308234</v>
      </c>
      <c r="FH65" s="22">
        <f t="shared" si="22"/>
        <v>401.98418262418687</v>
      </c>
      <c r="FI65" s="62">
        <f t="shared" si="23"/>
        <v>672.0867681772587</v>
      </c>
      <c r="FJ65" s="62">
        <f ca="1">AVERAGE(OFFSET($FI$3,0,0,'Données projet'!$E$16+1,1))-AVERAGE(OFFSET($H$3,0,0,'Données projet'!$E$16+1,1))</f>
        <v>344.55118007058775</v>
      </c>
      <c r="FK65" s="62">
        <f t="shared" si="48"/>
        <v>144.16931602355001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>
        <f>FZ65*VLOOKUP('Données projet'!$B$17,Paramètres!$A$1:$I$89,3,0)*VLOOKUP('Données projet'!$B$17,Paramètres!$A$1:$I$89,5,0)</f>
        <v>0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252.60122125520482</v>
      </c>
      <c r="GF65" s="62">
        <f t="shared" si="50"/>
        <v>357.56833754121317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4.2396299943230176</v>
      </c>
      <c r="GN65" s="23">
        <f>EXP(-LN(2)/2)*GN64+(1-EXP(-LN(2)/2))/(LN(2)/2)*GH65*GK65*VLOOKUP('Données projet'!$B$17,Paramètres!$A$1:$I$89,3,0)*0.475*44/12</f>
        <v>2.5205718812571409E-4</v>
      </c>
      <c r="GO65" s="23">
        <f t="shared" si="27"/>
        <v>4.2398820515111435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-1.1368683772161603E-13</v>
      </c>
      <c r="GV65" s="18">
        <f>GU65*VLOOKUP('Données projet'!$B$18,Paramètres!$A$1:$I$89,3,0)*VLOOKUP('Données projet'!$B$18,Paramètres!$A$1:$I$89,5,0)</f>
        <v>-9.2222762759774927E-14</v>
      </c>
      <c r="GW65" s="14" t="e">
        <f t="shared" si="51"/>
        <v>#NUM!</v>
      </c>
      <c r="GX65" s="22" t="e">
        <f t="shared" si="28"/>
        <v>#NUM!</v>
      </c>
      <c r="GY65" s="62" t="e">
        <f t="shared" si="29"/>
        <v>#NUM!</v>
      </c>
      <c r="GZ65" s="62">
        <f ca="1">AVERAGE(OFFSET($GY$3,0,0,'Données projet'!$E$18+1,1))-AVERAGE(OFFSET($H$3,0,0,'Données projet'!$E$18+1,1))</f>
        <v>268.57152522489537</v>
      </c>
      <c r="HA65" s="62">
        <f t="shared" si="52"/>
        <v>311.80303557283207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3.75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13.75</v>
      </c>
      <c r="H66" s="70">
        <f t="shared" si="1"/>
        <v>201.66666666666666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projet'!$B$9,Paramètres!$A$1:$I$89,3,0)*VLOOKUP('Données projet'!$B$9,Paramètres!$A$1:$I$89,5,0)</f>
        <v>213.17087999999993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733.43845742378778</v>
      </c>
      <c r="S66" s="62">
        <f ca="1">AVERAGE(OFFSET($R$3,0,0,'Données projet'!$E$9+1,1))-AVERAGE(OFFSET($H$3,0,0,'Données projet'!$E$9+1,1))</f>
        <v>461.02780119093666</v>
      </c>
      <c r="T66" s="62">
        <f t="shared" si="34"/>
        <v>245.70016468438834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235.59999999999991</v>
      </c>
      <c r="AJ66" s="14">
        <f>AI66*VLOOKUP('Données projet'!$B$10,Paramètres!$A$1:$I$89,3,0)*VLOOKUP('Données projet'!$B$10,Paramètres!$A$1:$I$89,5,0)</f>
        <v>198.46943999999993</v>
      </c>
      <c r="AK66" s="14">
        <f t="shared" si="35"/>
        <v>49.407646717262175</v>
      </c>
      <c r="AL66" s="22">
        <f t="shared" si="4"/>
        <v>431.7192593658981</v>
      </c>
      <c r="AM66" s="62">
        <f t="shared" si="5"/>
        <v>702.22484645678605</v>
      </c>
      <c r="AN66" s="62">
        <f ca="1">AVERAGE(OFFSET($AM$3,0,0,'Données projet'!$E$10+1,1))-AVERAGE(OFFSET($H$3,0,0,'Données projet'!$E$10+1,1))</f>
        <v>434.22500776975596</v>
      </c>
      <c r="AO66" s="62">
        <f t="shared" si="36"/>
        <v>232.59777933076705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4.6153846153846132</v>
      </c>
      <c r="BD66" s="13">
        <f>IF('Données projet'!$A$88&gt;35,BD65+BC66-BL65,IF(A66&lt;'Données projet'!$A$88,$BA$205^A66,IF(A66='Données projet'!$A$88,'Données projet'!$B$88,BD65+BC66-BL65)))</f>
        <v>184.35897435897428</v>
      </c>
      <c r="BE66" s="14">
        <f>BD66*VLOOKUP('Données projet'!$B$11,Paramètres!$A$1:$I$89,3,0)*VLOOKUP('Données projet'!$B$11,Paramètres!$A$1:$I$89,5,0)</f>
        <v>175.43599999999992</v>
      </c>
      <c r="BF66" s="14">
        <f t="shared" si="37"/>
        <v>44.305267494172632</v>
      </c>
      <c r="BG66" s="22">
        <f t="shared" si="7"/>
        <v>382.71604088568387</v>
      </c>
      <c r="BH66" s="62">
        <f t="shared" si="8"/>
        <v>653.22162797657177</v>
      </c>
      <c r="BI66" s="62">
        <f ca="1">AVERAGE(OFFSET($BH$3,0,0,'Données projet'!$E$11+1,1))-AVERAGE(OFFSET($H$3,0,0,'Données projet'!$E$11+1,1))</f>
        <v>393.3005580838161</v>
      </c>
      <c r="BJ66" s="62">
        <f t="shared" si="38"/>
        <v>295.86019897822757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5.2399999999999975</v>
      </c>
      <c r="BY66" s="13">
        <f>IF('Données projet'!$A$114&gt;35,BY65+BX66-CG65,IF(A66&lt;'Données projet'!$A$114,$BV$205^A66,IF(A66='Données projet'!$A$114,'Données projet'!$B$114,BY65+BX66-CG65)))</f>
        <v>295.51999999999987</v>
      </c>
      <c r="BZ66" s="14">
        <f>BY66*VLOOKUP('Données projet'!$B$12,Paramètres!$A$1:$I$89,3,0)*VLOOKUP('Données projet'!$B$12,Paramètres!$A$1:$I$89,5,0)</f>
        <v>235.11571199999989</v>
      </c>
      <c r="CA66" s="14">
        <f t="shared" si="39"/>
        <v>57.387397894153374</v>
      </c>
      <c r="CB66" s="22">
        <f t="shared" si="10"/>
        <v>509.44291639898364</v>
      </c>
      <c r="CC66" s="62">
        <f t="shared" si="11"/>
        <v>779.94850348987154</v>
      </c>
      <c r="CD66" s="62">
        <f ca="1">AVERAGE(OFFSET($CC$3,0,0,'Données projet'!$E$12+1,1))-AVERAGE(OFFSET($H$3,0,0,'Données projet'!$E$12+1,1))</f>
        <v>388.52230330563884</v>
      </c>
      <c r="CE66" s="62">
        <f t="shared" si="40"/>
        <v>418.94833960687333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5.2399999999999975</v>
      </c>
      <c r="CT66" s="13">
        <f>IF('Données projet'!$A$140&gt;35,CT65+CS66-DB65,IF(A66&lt;'Données projet'!$A$140,$CQ$205^A66,IF(A66='Données projet'!$A$140,'Données projet'!$B$140,CT65+CS66-DB65)))</f>
        <v>295.51999999999987</v>
      </c>
      <c r="CU66" s="18">
        <f>CT66*VLOOKUP('Données projet'!$B$13,Paramètres!$A$1:$I$89,3,0)*VLOOKUP('Données projet'!$B$13,Paramètres!$A$1:$I$89,5,0)</f>
        <v>216.67526399999991</v>
      </c>
      <c r="CV66" s="14">
        <f t="shared" si="41"/>
        <v>53.391631603175213</v>
      </c>
      <c r="CW66" s="22">
        <f t="shared" si="13"/>
        <v>470.36650984219659</v>
      </c>
      <c r="CX66" s="62">
        <f t="shared" si="14"/>
        <v>740.87209693308455</v>
      </c>
      <c r="CY66" s="62">
        <f ca="1">AVERAGE(OFFSET($CX$3,0,0,'Données projet'!$E$13+1,1))-AVERAGE(OFFSET($H$3,0,0,'Données projet'!$E$13+1,1))</f>
        <v>362.38131866207266</v>
      </c>
      <c r="CZ66" s="62">
        <f t="shared" si="42"/>
        <v>390.74498763200336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4.4000000000000004</v>
      </c>
      <c r="DO66" s="13">
        <f>IF('Données projet'!$A$166&gt;35,DO65+DN66-DW65,IF(A66&lt;'Données projet'!$A$166,$DL$205^A66,IF(A66='Données projet'!$A$166,'Données projet'!$B$166,DO65+DN66-DW65)))</f>
        <v>186.2</v>
      </c>
      <c r="DP66" s="18">
        <f>DO66*VLOOKUP('Données projet'!$B$14,Paramètres!$A$1:$I$89,3,0)*VLOOKUP('Données projet'!$B$14,Paramètres!$A$1:$I$89,5,0)</f>
        <v>162.66432</v>
      </c>
      <c r="DQ66" s="14">
        <f t="shared" si="43"/>
        <v>41.442881393745317</v>
      </c>
      <c r="DR66" s="22">
        <f t="shared" si="16"/>
        <v>355.4867090941064</v>
      </c>
      <c r="DS66" s="62">
        <f t="shared" si="17"/>
        <v>625.9922961849943</v>
      </c>
      <c r="DT66" s="62">
        <f ca="1">AVERAGE(OFFSET($DS$3,0,0,'Données projet'!$E$14+1,1))-AVERAGE(OFFSET($H$3,0,0,'Données projet'!$E$14+1,1))</f>
        <v>334.4692012109935</v>
      </c>
      <c r="DU66" s="62">
        <f t="shared" si="44"/>
        <v>316.360405424036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>
        <f>VLOOKUP(A66,'Données projet'!$A$191:$I$211,2,0)</f>
        <v>538</v>
      </c>
      <c r="EH66" s="13">
        <f>VLOOKUP(A66,'Données projet'!$A$191:$I$211,9,0)</f>
        <v>15.571428571428571</v>
      </c>
      <c r="EI66" s="13">
        <f t="array" ref="EI66">INDEX(EH:EH,MIN(IF(ISNUMBER(EH66:EH262),ROW(EH66:EH262),"")))</f>
        <v>15.571428571428571</v>
      </c>
      <c r="EJ66" s="13">
        <f>IF('Données projet'!$A$192&gt;35,EJ65+EI66-ER65,IF(A66&lt;'Données projet'!$A$192,$EG$205^A66,IF(A66='Données projet'!$A$192,'Données projet'!$B$192,EJ65+EI66-ER65)))</f>
        <v>537.99999999999966</v>
      </c>
      <c r="EK66" s="18">
        <f>EJ66*VLOOKUP('Données projet'!$B$15,Paramètres!$A$1:$I$89,3,0)*VLOOKUP('Données projet'!$B$15,Paramètres!$A$1:$I$89,5,0)</f>
        <v>300.74199999999985</v>
      </c>
      <c r="EL66" s="14">
        <f t="shared" si="45"/>
        <v>71.331992805448763</v>
      </c>
      <c r="EM66" s="22">
        <f t="shared" si="19"/>
        <v>648.02887080282289</v>
      </c>
      <c r="EN66" s="62">
        <f t="shared" si="20"/>
        <v>918.53445789371085</v>
      </c>
      <c r="EO66" s="62">
        <f ca="1">AVERAGE(OFFSET($EN$3,0,0,'Données projet'!$E$15+1,1))-AVERAGE(OFFSET($H$3,0,0,'Données projet'!$E$15+1,1))</f>
        <v>390.09289316045653</v>
      </c>
      <c r="EP66" s="62">
        <f t="shared" si="46"/>
        <v>364.34913542817617</v>
      </c>
      <c r="EQ66" s="16">
        <f>IF(ISNA(VLOOKUP(A66,'Données projet'!$A$191:$I$211,3,0)),0,VLOOKUP(A66,'Données projet'!$A$191:$I$211,3,0))</f>
        <v>7</v>
      </c>
      <c r="ER66" s="16">
        <f>IF(ISNA(VLOOKUP(A66,'Données projet'!$A$191:$I$211,4,0)),0,VLOOKUP(A66,'Données projet'!$A$191:$I$211,4,0))</f>
        <v>84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2.9556209104551625</v>
      </c>
      <c r="EX66" s="23">
        <f>EXP(-LN(2)/2)*EX65+(1-EXP(-LN(2)/2))/(LN(2)/2)*ER66*EU66*VLOOKUP('Données projet'!$B$15,Paramètres!$A$1:$I$89,3,0)*0.475*44/12</f>
        <v>9.6916915876504606E-5</v>
      </c>
      <c r="EY66" s="24">
        <f t="shared" si="21"/>
        <v>2.9557178273710392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17.7</v>
      </c>
      <c r="FE66" s="13">
        <f>IF('Données projet'!$A$218&gt;35,FE65+FD66-FM65,IF(A66&lt;'Données projet'!$A$218,$FB$205^A66,IF(A66='Données projet'!$A$218,'Données projet'!$B$218,FE65+FD66-FM65)))</f>
        <v>411.90000000000009</v>
      </c>
      <c r="FF66" s="18">
        <f>FE66*VLOOKUP('Données projet'!$B$16,Paramètres!$A$1:$I$89,3,0)*VLOOKUP('Données projet'!$B$16,Paramètres!$A$1:$I$89,5,0)</f>
        <v>192.76920000000004</v>
      </c>
      <c r="FG66" s="14">
        <f t="shared" si="47"/>
        <v>48.151667124108045</v>
      </c>
      <c r="FH66" s="22">
        <f t="shared" si="22"/>
        <v>419.60384357448828</v>
      </c>
      <c r="FI66" s="62">
        <f t="shared" si="23"/>
        <v>690.10943066537618</v>
      </c>
      <c r="FJ66" s="62">
        <f ca="1">AVERAGE(OFFSET($FI$3,0,0,'Données projet'!$E$16+1,1))-AVERAGE(OFFSET($H$3,0,0,'Données projet'!$E$16+1,1))</f>
        <v>344.55118007058775</v>
      </c>
      <c r="FK66" s="62">
        <f t="shared" si="48"/>
        <v>144.16931602355001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>
        <f>FZ66*VLOOKUP('Données projet'!$B$17,Paramètres!$A$1:$I$89,3,0)*VLOOKUP('Données projet'!$B$17,Paramètres!$A$1:$I$89,5,0)</f>
        <v>0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252.60122125520482</v>
      </c>
      <c r="GF66" s="62">
        <f t="shared" si="50"/>
        <v>357.56833754121317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4.1236970891758027</v>
      </c>
      <c r="GN66" s="23">
        <f>EXP(-LN(2)/2)*GN65+(1-EXP(-LN(2)/2))/(LN(2)/2)*GH66*GK66*VLOOKUP('Données projet'!$B$17,Paramètres!$A$1:$I$89,3,0)*0.475*44/12</f>
        <v>1.7823134697050576E-4</v>
      </c>
      <c r="GO66" s="23">
        <f t="shared" si="27"/>
        <v>4.1238753205227736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-1.1368683772161603E-13</v>
      </c>
      <c r="GV66" s="18">
        <f>GU66*VLOOKUP('Données projet'!$B$18,Paramètres!$A$1:$I$89,3,0)*VLOOKUP('Données projet'!$B$18,Paramètres!$A$1:$I$89,5,0)</f>
        <v>-9.2222762759774927E-14</v>
      </c>
      <c r="GW66" s="14" t="e">
        <f t="shared" si="51"/>
        <v>#NUM!</v>
      </c>
      <c r="GX66" s="22" t="e">
        <f t="shared" si="28"/>
        <v>#NUM!</v>
      </c>
      <c r="GY66" s="62" t="e">
        <f t="shared" si="29"/>
        <v>#NUM!</v>
      </c>
      <c r="GZ66" s="62">
        <f ca="1">AVERAGE(OFFSET($GY$3,0,0,'Données projet'!$E$18+1,1))-AVERAGE(OFFSET($H$3,0,0,'Données projet'!$E$18+1,1))</f>
        <v>268.57152522489537</v>
      </c>
      <c r="HA66" s="62">
        <f t="shared" si="52"/>
        <v>311.80303557283207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3.75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13.75</v>
      </c>
      <c r="H67" s="70">
        <f t="shared" si="1"/>
        <v>201.66666666666666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projet'!$B$9,Paramètres!$A$1:$I$89,3,0)*VLOOKUP('Données projet'!$B$9,Paramètres!$A$1:$I$89,5,0)</f>
        <v>219.68543999999989</v>
      </c>
      <c r="P67" s="14">
        <f t="shared" si="33"/>
        <v>54.046511966469559</v>
      </c>
      <c r="Q67" s="22">
        <f t="shared" ref="Q67:Q98" si="54">(O67+P67)*0.475*44/12</f>
        <v>476.74981634160099</v>
      </c>
      <c r="R67" s="62">
        <f t="shared" ref="R67:R130" si="55">Q67+(I67+J67)*44/12</f>
        <v>747.65141379460033</v>
      </c>
      <c r="S67" s="62">
        <f ca="1">AVERAGE(OFFSET($R$3,0,0,'Données projet'!$E$9+1,1))-AVERAGE(OFFSET($H$3,0,0,'Données projet'!$E$9+1,1))</f>
        <v>461.02780119093666</v>
      </c>
      <c r="T67" s="62">
        <f t="shared" si="34"/>
        <v>245.70016468438834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</v>
      </c>
      <c r="AJ67" s="14">
        <f>AI67*VLOOKUP('Données projet'!$B$10,Paramètres!$A$1:$I$89,3,0)*VLOOKUP('Données projet'!$B$10,Paramètres!$A$1:$I$89,5,0)</f>
        <v>204.53471999999996</v>
      </c>
      <c r="AK67" s="14">
        <f t="shared" si="35"/>
        <v>50.73945778494484</v>
      </c>
      <c r="AL67" s="22">
        <f t="shared" si="4"/>
        <v>444.60252630877886</v>
      </c>
      <c r="AM67" s="62">
        <f t="shared" si="5"/>
        <v>715.50412376177826</v>
      </c>
      <c r="AN67" s="62">
        <f ca="1">AVERAGE(OFFSET($AM$3,0,0,'Données projet'!$E$10+1,1))-AVERAGE(OFFSET($H$3,0,0,'Données projet'!$E$10+1,1))</f>
        <v>434.22500776975596</v>
      </c>
      <c r="AO67" s="62">
        <f t="shared" si="36"/>
        <v>232.59777933076705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4.6153846153846132</v>
      </c>
      <c r="BD67" s="13">
        <f>IF('Données projet'!$A$88&gt;35,BD66+BC67-BL66,IF(A67&lt;'Données projet'!$A$88,$BA$205^A67,IF(A67='Données projet'!$A$88,'Données projet'!$B$88,BD66+BC67-BL66)))</f>
        <v>188.97435897435889</v>
      </c>
      <c r="BE67" s="14">
        <f>BD67*VLOOKUP('Données projet'!$B$11,Paramètres!$A$1:$I$89,3,0)*VLOOKUP('Données projet'!$B$11,Paramètres!$A$1:$I$89,5,0)</f>
        <v>179.82799999999992</v>
      </c>
      <c r="BF67" s="14">
        <f t="shared" si="37"/>
        <v>45.283917206572795</v>
      </c>
      <c r="BG67" s="22">
        <f t="shared" si="7"/>
        <v>392.0699224681141</v>
      </c>
      <c r="BH67" s="62">
        <f t="shared" si="8"/>
        <v>662.97151992111344</v>
      </c>
      <c r="BI67" s="62">
        <f ca="1">AVERAGE(OFFSET($BH$3,0,0,'Données projet'!$E$11+1,1))-AVERAGE(OFFSET($H$3,0,0,'Données projet'!$E$11+1,1))</f>
        <v>393.3005580838161</v>
      </c>
      <c r="BJ67" s="62">
        <f t="shared" si="38"/>
        <v>295.86019897822757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5.2399999999999975</v>
      </c>
      <c r="BY67" s="13">
        <f>IF('Données projet'!$A$114&gt;35,BY66+BX67-CG66,IF(A67&lt;'Données projet'!$A$114,$BV$205^A67,IF(A67='Données projet'!$A$114,'Données projet'!$B$114,BY66+BX67-CG66)))</f>
        <v>300.75999999999988</v>
      </c>
      <c r="BZ67" s="14">
        <f>BY67*VLOOKUP('Données projet'!$B$12,Paramètres!$A$1:$I$89,3,0)*VLOOKUP('Données projet'!$B$12,Paramètres!$A$1:$I$89,5,0)</f>
        <v>239.2846559999999</v>
      </c>
      <c r="CA67" s="14">
        <f t="shared" si="39"/>
        <v>58.285594007367486</v>
      </c>
      <c r="CB67" s="22">
        <f t="shared" si="10"/>
        <v>518.2681854294982</v>
      </c>
      <c r="CC67" s="62">
        <f t="shared" si="11"/>
        <v>789.16978288249766</v>
      </c>
      <c r="CD67" s="62">
        <f ca="1">AVERAGE(OFFSET($CC$3,0,0,'Données projet'!$E$12+1,1))-AVERAGE(OFFSET($H$3,0,0,'Données projet'!$E$12+1,1))</f>
        <v>388.52230330563884</v>
      </c>
      <c r="CE67" s="62">
        <f t="shared" si="40"/>
        <v>418.94833960687333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5.2399999999999975</v>
      </c>
      <c r="CT67" s="13">
        <f>IF('Données projet'!$A$140&gt;35,CT66+CS67-DB66,IF(A67&lt;'Données projet'!$A$140,$CQ$205^A67,IF(A67='Données projet'!$A$140,'Données projet'!$B$140,CT66+CS67-DB66)))</f>
        <v>300.75999999999988</v>
      </c>
      <c r="CU67" s="18">
        <f>CT67*VLOOKUP('Données projet'!$B$13,Paramètres!$A$1:$I$89,3,0)*VLOOKUP('Données projet'!$B$13,Paramètres!$A$1:$I$89,5,0)</f>
        <v>220.51723199999989</v>
      </c>
      <c r="CV67" s="14">
        <f t="shared" si="41"/>
        <v>54.22728817140964</v>
      </c>
      <c r="CW67" s="22">
        <f t="shared" si="13"/>
        <v>478.51337263187162</v>
      </c>
      <c r="CX67" s="62">
        <f t="shared" si="14"/>
        <v>749.41497008487102</v>
      </c>
      <c r="CY67" s="62">
        <f ca="1">AVERAGE(OFFSET($CX$3,0,0,'Données projet'!$E$13+1,1))-AVERAGE(OFFSET($H$3,0,0,'Données projet'!$E$13+1,1))</f>
        <v>362.38131866207266</v>
      </c>
      <c r="CZ67" s="62">
        <f t="shared" si="42"/>
        <v>390.74498763200336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4.4000000000000004</v>
      </c>
      <c r="DO67" s="13">
        <f>IF('Données projet'!$A$166&gt;35,DO66+DN67-DW66,IF(A67&lt;'Données projet'!$A$166,$DL$205^A67,IF(A67='Données projet'!$A$166,'Données projet'!$B$166,DO66+DN67-DW66)))</f>
        <v>190.6</v>
      </c>
      <c r="DP67" s="18">
        <f>DO67*VLOOKUP('Données projet'!$B$14,Paramètres!$A$1:$I$89,3,0)*VLOOKUP('Données projet'!$B$14,Paramètres!$A$1:$I$89,5,0)</f>
        <v>166.50816</v>
      </c>
      <c r="DQ67" s="14">
        <f t="shared" si="43"/>
        <v>42.307025456487715</v>
      </c>
      <c r="DR67" s="22">
        <f t="shared" si="16"/>
        <v>363.68644800338274</v>
      </c>
      <c r="DS67" s="62">
        <f t="shared" si="17"/>
        <v>634.58804545638213</v>
      </c>
      <c r="DT67" s="62">
        <f ca="1">AVERAGE(OFFSET($DS$3,0,0,'Données projet'!$E$14+1,1))-AVERAGE(OFFSET($H$3,0,0,'Données projet'!$E$14+1,1))</f>
        <v>334.4692012109935</v>
      </c>
      <c r="DU67" s="62">
        <f t="shared" si="44"/>
        <v>316.360405424036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13.857142857142858</v>
      </c>
      <c r="EJ67" s="13">
        <f>IF('Données projet'!$A$192&gt;35,EJ66+EI67-ER66,IF(A67&lt;'Données projet'!$A$192,$EG$205^A67,IF(A67='Données projet'!$A$192,'Données projet'!$B$192,EJ66+EI67-ER66)))</f>
        <v>467.85714285714255</v>
      </c>
      <c r="EK67" s="18">
        <f>EJ67*VLOOKUP('Données projet'!$B$15,Paramètres!$A$1:$I$89,3,0)*VLOOKUP('Données projet'!$B$15,Paramètres!$A$1:$I$89,5,0)</f>
        <v>261.53214285714273</v>
      </c>
      <c r="EL67" s="14">
        <f t="shared" si="45"/>
        <v>63.048857133846255</v>
      </c>
      <c r="EM67" s="22">
        <f t="shared" si="19"/>
        <v>565.31190831763899</v>
      </c>
      <c r="EN67" s="62">
        <f t="shared" si="20"/>
        <v>836.21350577063845</v>
      </c>
      <c r="EO67" s="62">
        <f ca="1">AVERAGE(OFFSET($EN$3,0,0,'Données projet'!$E$15+1,1))-AVERAGE(OFFSET($H$3,0,0,'Données projet'!$E$15+1,1))</f>
        <v>390.09289316045653</v>
      </c>
      <c r="EP67" s="62">
        <f t="shared" si="46"/>
        <v>364.34913542817617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2.8747993012294177</v>
      </c>
      <c r="EX67" s="23">
        <f>EXP(-LN(2)/2)*EX66+(1-EXP(-LN(2)/2))/(LN(2)/2)*ER67*EU67*VLOOKUP('Données projet'!$B$15,Paramètres!$A$1:$I$89,3,0)*0.475*44/12</f>
        <v>6.8530608427962576E-5</v>
      </c>
      <c r="EY67" s="24">
        <f t="shared" si="21"/>
        <v>2.8748678318378458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17.7</v>
      </c>
      <c r="FE67" s="13">
        <f>IF('Données projet'!$A$218&gt;35,FE66+FD67-FM66,IF(A67&lt;'Données projet'!$A$218,$FB$205^A67,IF(A67='Données projet'!$A$218,'Données projet'!$B$218,FE66+FD67-FM66)))</f>
        <v>429.60000000000008</v>
      </c>
      <c r="FF67" s="18">
        <f>FE67*VLOOKUP('Données projet'!$B$16,Paramètres!$A$1:$I$89,3,0)*VLOOKUP('Données projet'!$B$16,Paramètres!$A$1:$I$89,5,0)</f>
        <v>201.05280000000005</v>
      </c>
      <c r="FG67" s="14">
        <f t="shared" si="47"/>
        <v>49.975470554049167</v>
      </c>
      <c r="FH67" s="22">
        <f t="shared" si="22"/>
        <v>437.20757121496905</v>
      </c>
      <c r="FI67" s="62">
        <f t="shared" si="23"/>
        <v>708.10916866796845</v>
      </c>
      <c r="FJ67" s="62">
        <f ca="1">AVERAGE(OFFSET($FI$3,0,0,'Données projet'!$E$16+1,1))-AVERAGE(OFFSET($H$3,0,0,'Données projet'!$E$16+1,1))</f>
        <v>344.55118007058775</v>
      </c>
      <c r="FK67" s="62">
        <f t="shared" si="48"/>
        <v>144.16931602355001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>
        <f>FZ67*VLOOKUP('Données projet'!$B$17,Paramètres!$A$1:$I$89,3,0)*VLOOKUP('Données projet'!$B$17,Paramètres!$A$1:$I$89,5,0)</f>
        <v>0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252.60122125520482</v>
      </c>
      <c r="GF67" s="62">
        <f t="shared" si="50"/>
        <v>357.56833754121317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4.0109343754164852</v>
      </c>
      <c r="GN67" s="23">
        <f>EXP(-LN(2)/2)*GN66+(1-EXP(-LN(2)/2))/(LN(2)/2)*GH67*GK67*VLOOKUP('Données projet'!$B$17,Paramètres!$A$1:$I$89,3,0)*0.475*44/12</f>
        <v>1.2602859406285705E-4</v>
      </c>
      <c r="GO67" s="23">
        <f t="shared" si="27"/>
        <v>4.0110604040105482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-1.1368683772161603E-13</v>
      </c>
      <c r="GV67" s="18">
        <f>GU67*VLOOKUP('Données projet'!$B$18,Paramètres!$A$1:$I$89,3,0)*VLOOKUP('Données projet'!$B$18,Paramètres!$A$1:$I$89,5,0)</f>
        <v>-9.2222762759774927E-14</v>
      </c>
      <c r="GW67" s="14" t="e">
        <f t="shared" si="51"/>
        <v>#NUM!</v>
      </c>
      <c r="GX67" s="22" t="e">
        <f t="shared" si="28"/>
        <v>#NUM!</v>
      </c>
      <c r="GY67" s="62" t="e">
        <f t="shared" si="29"/>
        <v>#NUM!</v>
      </c>
      <c r="GZ67" s="62">
        <f ca="1">AVERAGE(OFFSET($GY$3,0,0,'Données projet'!$E$18+1,1))-AVERAGE(OFFSET($H$3,0,0,'Données projet'!$E$18+1,1))</f>
        <v>268.57152522489537</v>
      </c>
      <c r="HA67" s="62">
        <f t="shared" si="52"/>
        <v>311.80303557283207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3.75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13.75</v>
      </c>
      <c r="H68" s="70">
        <f t="shared" ref="H68:H131" si="56">(B68+E68+F68)*44/12+(C68+D68)*0.475*44/12</f>
        <v>201.66666666666666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projet'!$B$9,Paramètres!$A$1:$I$89,3,0)*VLOOKUP('Données projet'!$B$9,Paramètres!$A$1:$I$89,5,0)</f>
        <v>226.19999999999987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761.84898527899873</v>
      </c>
      <c r="S68" s="62">
        <f ca="1">AVERAGE(OFFSET($R$3,0,0,'Données projet'!$E$9+1,1))-AVERAGE(OFFSET($H$3,0,0,'Données projet'!$E$9+1,1))</f>
        <v>461.02780119093666</v>
      </c>
      <c r="T68" s="62">
        <f t="shared" si="34"/>
        <v>245.70016468438834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249.99999999999989</v>
      </c>
      <c r="AJ68" s="14">
        <f>AI68*VLOOKUP('Données projet'!$B$10,Paramètres!$A$1:$I$89,3,0)*VLOOKUP('Données projet'!$B$10,Paramètres!$A$1:$I$89,5,0)</f>
        <v>210.59999999999991</v>
      </c>
      <c r="AK68" s="14">
        <f t="shared" si="35"/>
        <v>52.066679014659961</v>
      </c>
      <c r="AL68" s="22">
        <f t="shared" ref="AL68:AL131" si="58">(AJ68+AK68)*0.475*44/12</f>
        <v>457.47779928386586</v>
      </c>
      <c r="AM68" s="62">
        <f t="shared" ref="AM68:AM131" si="59">AL68+(AD68+AE68)*44/12</f>
        <v>728.76853720454062</v>
      </c>
      <c r="AN68" s="62">
        <f ca="1">AVERAGE(OFFSET($AM$3,0,0,'Données projet'!$E$10+1,1))-AVERAGE(OFFSET($H$3,0,0,'Données projet'!$E$10+1,1))</f>
        <v>434.22500776975596</v>
      </c>
      <c r="AO68" s="62">
        <f t="shared" si="36"/>
        <v>232.59777933076705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193.58974358974359</v>
      </c>
      <c r="BB68" s="13">
        <f>VLOOKUP(A68,'Données projet'!$A$87:$I$107,9,0)</f>
        <v>4.6153846153846132</v>
      </c>
      <c r="BC68" s="13">
        <f t="array" ref="BC68">INDEX(BB:BB,MIN(IF(ISNUMBER(BB68:BB264),ROW(BB68:BB264),"")))</f>
        <v>4.6153846153846132</v>
      </c>
      <c r="BD68" s="13">
        <f>IF('Données projet'!$A$88&gt;35,BD67+BC68-BL67,IF(A68&lt;'Données projet'!$A$88,$BA$205^A68,IF(A68='Données projet'!$A$88,'Données projet'!$B$88,BD67+BC68-BL67)))</f>
        <v>193.58974358974351</v>
      </c>
      <c r="BE68" s="14">
        <f>BD68*VLOOKUP('Données projet'!$B$11,Paramètres!$A$1:$I$89,3,0)*VLOOKUP('Données projet'!$B$11,Paramètres!$A$1:$I$89,5,0)</f>
        <v>184.21999999999991</v>
      </c>
      <c r="BF68" s="14">
        <f t="shared" si="37"/>
        <v>46.259788397695985</v>
      </c>
      <c r="BG68" s="22">
        <f t="shared" ref="BG68:BG131" si="61">(BE68+BF68)*0.475*44/12</f>
        <v>401.4189647926537</v>
      </c>
      <c r="BH68" s="62">
        <f t="shared" ref="BH68:BH131" si="62">BG68+(AY68+AZ68)*44/12</f>
        <v>672.7097027133284</v>
      </c>
      <c r="BI68" s="62">
        <f ca="1">AVERAGE(OFFSET($BH$3,0,0,'Données projet'!$E$11+1,1))-AVERAGE(OFFSET($H$3,0,0,'Données projet'!$E$11+1,1))</f>
        <v>393.3005580838161</v>
      </c>
      <c r="BJ68" s="62">
        <f t="shared" si="38"/>
        <v>295.86019897822757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5.2399999999999975</v>
      </c>
      <c r="BX68" s="13">
        <f t="array" ref="BX68">INDEX(BW:BW,MIN(IF(ISNUMBER(BW68:BW264),ROW(BW68:BW264),"")))</f>
        <v>5.2399999999999975</v>
      </c>
      <c r="BY68" s="13">
        <f>IF('Données projet'!$A$114&gt;35,BY67+BX68-CG67,IF(A68&lt;'Données projet'!$A$114,$BV$205^A68,IF(A68='Données projet'!$A$114,'Données projet'!$B$114,BY67+BX68-CG67)))</f>
        <v>305.99999999999989</v>
      </c>
      <c r="BZ68" s="14">
        <f>BY68*VLOOKUP('Données projet'!$B$12,Paramètres!$A$1:$I$89,3,0)*VLOOKUP('Données projet'!$B$12,Paramètres!$A$1:$I$89,5,0)</f>
        <v>243.45359999999991</v>
      </c>
      <c r="CA68" s="14">
        <f t="shared" si="39"/>
        <v>59.181970343065267</v>
      </c>
      <c r="CB68" s="22">
        <f t="shared" ref="CB68:CB131" si="64">(BZ68+CA68)*0.475*44/12</f>
        <v>527.09028501417185</v>
      </c>
      <c r="CC68" s="62">
        <f t="shared" ref="CC68:CC131" si="65">CB68+(BT68+BU68)*44/12</f>
        <v>798.38102293484667</v>
      </c>
      <c r="CD68" s="62">
        <f ca="1">AVERAGE(OFFSET($CC$3,0,0,'Données projet'!$E$12+1,1))-AVERAGE(OFFSET($H$3,0,0,'Données projet'!$E$12+1,1))</f>
        <v>388.52230330563884</v>
      </c>
      <c r="CE68" s="62">
        <f t="shared" si="40"/>
        <v>418.94833960687333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5.2399999999999975</v>
      </c>
      <c r="CS68" s="13">
        <f t="array" ref="CS68">INDEX(CR:CR,MIN(IF(ISNUMBER(CR68:CR264),ROW(CR68:CR264),"")))</f>
        <v>5.2399999999999975</v>
      </c>
      <c r="CT68" s="13">
        <f>IF('Données projet'!$A$140&gt;35,CT67+CS68-DB67,IF(A68&lt;'Données projet'!$A$140,$CQ$205^A68,IF(A68='Données projet'!$A$140,'Données projet'!$B$140,CT67+CS68-DB67)))</f>
        <v>305.99999999999989</v>
      </c>
      <c r="CU68" s="18">
        <f>CT68*VLOOKUP('Données projet'!$B$13,Paramètres!$A$1:$I$89,3,0)*VLOOKUP('Données projet'!$B$13,Paramètres!$A$1:$I$89,5,0)</f>
        <v>224.3591999999999</v>
      </c>
      <c r="CV68" s="14">
        <f t="shared" si="41"/>
        <v>55.061251669487255</v>
      </c>
      <c r="CW68" s="22">
        <f t="shared" ref="CW68:CW131" si="67">(CU68+CV68)*0.475*44/12</f>
        <v>486.65728665769001</v>
      </c>
      <c r="CX68" s="62">
        <f t="shared" ref="CX68:CX131" si="68">CW68+(CO68+CP68)*44/12</f>
        <v>757.94802457836477</v>
      </c>
      <c r="CY68" s="62">
        <f ca="1">AVERAGE(OFFSET($CX$3,0,0,'Données projet'!$E$13+1,1))-AVERAGE(OFFSET($H$3,0,0,'Données projet'!$E$13+1,1))</f>
        <v>362.38131866207266</v>
      </c>
      <c r="CZ68" s="62">
        <f t="shared" si="42"/>
        <v>390.74498763200336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195</v>
      </c>
      <c r="DM68" s="13">
        <f>VLOOKUP(A68,'Données projet'!$A$165:$I$185,9,0)</f>
        <v>4.4000000000000004</v>
      </c>
      <c r="DN68" s="13">
        <f t="array" ref="DN68">INDEX(DM:DM,MIN(IF(ISNUMBER(DM68:DM264),ROW(DM68:DM264),"")))</f>
        <v>4.4000000000000004</v>
      </c>
      <c r="DO68" s="13">
        <f>IF('Données projet'!$A$166&gt;35,DO67+DN68-DW67,IF(A68&lt;'Données projet'!$A$166,$DL$205^A68,IF(A68='Données projet'!$A$166,'Données projet'!$B$166,DO67+DN68-DW67)))</f>
        <v>195</v>
      </c>
      <c r="DP68" s="18">
        <f>DO68*VLOOKUP('Données projet'!$B$14,Paramètres!$A$1:$I$89,3,0)*VLOOKUP('Données projet'!$B$14,Paramètres!$A$1:$I$89,5,0)</f>
        <v>170.35200000000003</v>
      </c>
      <c r="DQ68" s="14">
        <f t="shared" si="43"/>
        <v>43.168850382694487</v>
      </c>
      <c r="DR68" s="22">
        <f t="shared" ref="DR68:DR131" si="70">(DP68+DQ68)*0.475*44/12</f>
        <v>371.88214774985954</v>
      </c>
      <c r="DS68" s="62">
        <f t="shared" ref="DS68:DS131" si="71">DR68+(DJ68+DK68)*44/12</f>
        <v>643.17288567053424</v>
      </c>
      <c r="DT68" s="62">
        <f ca="1">AVERAGE(OFFSET($DS$3,0,0,'Données projet'!$E$14+1,1))-AVERAGE(OFFSET($H$3,0,0,'Données projet'!$E$14+1,1))</f>
        <v>334.4692012109935</v>
      </c>
      <c r="DU68" s="62">
        <f t="shared" si="44"/>
        <v>316.360405424036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13.857142857142858</v>
      </c>
      <c r="EJ68" s="13">
        <f>IF('Données projet'!$A$192&gt;35,EJ67+EI68-ER67,IF(A68&lt;'Données projet'!$A$192,$EG$205^A68,IF(A68='Données projet'!$A$192,'Données projet'!$B$192,EJ67+EI68-ER67)))</f>
        <v>481.71428571428538</v>
      </c>
      <c r="EK68" s="18">
        <f>EJ68*VLOOKUP('Données projet'!$B$15,Paramètres!$A$1:$I$89,3,0)*VLOOKUP('Données projet'!$B$15,Paramètres!$A$1:$I$89,5,0)</f>
        <v>269.27828571428557</v>
      </c>
      <c r="EL68" s="14">
        <f t="shared" si="45"/>
        <v>64.696079449868591</v>
      </c>
      <c r="EM68" s="22">
        <f t="shared" ref="EM68:EM131" si="73">(EK68+EL68)*0.475*44/12</f>
        <v>581.67201932756836</v>
      </c>
      <c r="EN68" s="62">
        <f t="shared" ref="EN68:EN131" si="74">EM68+(EE68+EF68)*44/12</f>
        <v>852.96275724824318</v>
      </c>
      <c r="EO68" s="62">
        <f ca="1">AVERAGE(OFFSET($EN$3,0,0,'Données projet'!$E$15+1,1))-AVERAGE(OFFSET($H$3,0,0,'Données projet'!$E$15+1,1))</f>
        <v>390.09289316045653</v>
      </c>
      <c r="EP68" s="62">
        <f t="shared" si="46"/>
        <v>364.34913542817617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2.7961877631581746</v>
      </c>
      <c r="EX68" s="23">
        <f>EXP(-LN(2)/2)*EX67+(1-EXP(-LN(2)/2))/(LN(2)/2)*ER68*EU68*VLOOKUP('Données projet'!$B$15,Paramètres!$A$1:$I$89,3,0)*0.475*44/12</f>
        <v>4.8458457938252303E-5</v>
      </c>
      <c r="EY68" s="24">
        <f t="shared" ref="EY68:EY131" si="75">SUM(EV68:EX68)</f>
        <v>2.796236221616113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17.7</v>
      </c>
      <c r="FE68" s="13">
        <f>IF('Données projet'!$A$218&gt;35,FE67+FD68-FM67,IF(A68&lt;'Données projet'!$A$218,$FB$205^A68,IF(A68='Données projet'!$A$218,'Données projet'!$B$218,FE67+FD68-FM67)))</f>
        <v>447.30000000000007</v>
      </c>
      <c r="FF68" s="18">
        <f>FE68*VLOOKUP('Données projet'!$B$16,Paramètres!$A$1:$I$89,3,0)*VLOOKUP('Données projet'!$B$16,Paramètres!$A$1:$I$89,5,0)</f>
        <v>209.33640000000003</v>
      </c>
      <c r="FG68" s="14">
        <f t="shared" si="47"/>
        <v>51.790545701268393</v>
      </c>
      <c r="FH68" s="22">
        <f t="shared" ref="FH68:FH131" si="76">(FF68+FG68)*0.475*44/12</f>
        <v>454.79609709637583</v>
      </c>
      <c r="FI68" s="62">
        <f t="shared" ref="FI68:FI131" si="77">FH68+(EZ68+FA68)*44/12</f>
        <v>726.08683501705059</v>
      </c>
      <c r="FJ68" s="62">
        <f ca="1">AVERAGE(OFFSET($FI$3,0,0,'Données projet'!$E$16+1,1))-AVERAGE(OFFSET($H$3,0,0,'Données projet'!$E$16+1,1))</f>
        <v>344.55118007058775</v>
      </c>
      <c r="FK68" s="62">
        <f t="shared" si="48"/>
        <v>144.16931602355001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>
        <f>FZ68*VLOOKUP('Données projet'!$B$17,Paramètres!$A$1:$I$89,3,0)*VLOOKUP('Données projet'!$B$17,Paramètres!$A$1:$I$89,5,0)</f>
        <v>0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252.60122125520482</v>
      </c>
      <c r="GF68" s="62">
        <f t="shared" si="50"/>
        <v>357.56833754121317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3.9012551639948496</v>
      </c>
      <c r="GN68" s="23">
        <f>EXP(-LN(2)/2)*GN67+(1-EXP(-LN(2)/2))/(LN(2)/2)*GH68*GK68*VLOOKUP('Données projet'!$B$17,Paramètres!$A$1:$I$89,3,0)*0.475*44/12</f>
        <v>8.9115673485252881E-5</v>
      </c>
      <c r="GO68" s="23">
        <f t="shared" ref="GO68:GO131" si="81">SUM(GL68:GN68)</f>
        <v>3.9013442796683351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-1.1368683772161603E-13</v>
      </c>
      <c r="GV68" s="18">
        <f>GU68*VLOOKUP('Données projet'!$B$18,Paramètres!$A$1:$I$89,3,0)*VLOOKUP('Données projet'!$B$18,Paramètres!$A$1:$I$89,5,0)</f>
        <v>-9.2222762759774927E-14</v>
      </c>
      <c r="GW68" s="14" t="e">
        <f t="shared" si="51"/>
        <v>#NUM!</v>
      </c>
      <c r="GX68" s="22" t="e">
        <f t="shared" ref="GX68:GX131" si="82">(GV68+GW68)*0.475*44/12</f>
        <v>#NUM!</v>
      </c>
      <c r="GY68" s="62" t="e">
        <f t="shared" ref="GY68:GY131" si="83">GX68+(GP68+GQ68)*44/12</f>
        <v>#NUM!</v>
      </c>
      <c r="GZ68" s="62">
        <f ca="1">AVERAGE(OFFSET($GY$3,0,0,'Données projet'!$E$18+1,1))-AVERAGE(OFFSET($H$3,0,0,'Données projet'!$E$18+1,1))</f>
        <v>268.57152522489537</v>
      </c>
      <c r="HA68" s="62">
        <f t="shared" si="52"/>
        <v>311.80303557283207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3.75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13.75</v>
      </c>
      <c r="H69" s="70">
        <f t="shared" si="56"/>
        <v>201.66666666666666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694.63979449230942</v>
      </c>
      <c r="S69" s="62">
        <f ca="1">AVERAGE(OFFSET($R$3,0,0,'Données projet'!$E$9+1,1))-AVERAGE(OFFSET($H$3,0,0,'Données projet'!$E$9+1,1))</f>
        <v>461.02780119093666</v>
      </c>
      <c r="T69" s="62">
        <f t="shared" ref="T69:T132" si="88">$T$3</f>
        <v>245.70016468438834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180.94751999999991</v>
      </c>
      <c r="AK69" s="14">
        <f t="shared" ref="AK69:AK132" si="89">EXP(-1.0587+0.8836*LN(AJ69)+0.284)</f>
        <v>45.53292745224649</v>
      </c>
      <c r="AL69" s="22">
        <f t="shared" si="58"/>
        <v>394.45344597932916</v>
      </c>
      <c r="AM69" s="62">
        <f t="shared" si="59"/>
        <v>666.12657365055281</v>
      </c>
      <c r="AN69" s="62">
        <f ca="1">AVERAGE(OFFSET($AM$3,0,0,'Données projet'!$E$10+1,1))-AVERAGE(OFFSET($H$3,0,0,'Données projet'!$E$10+1,1))</f>
        <v>434.22500776975596</v>
      </c>
      <c r="AO69" s="62">
        <f t="shared" ref="AO69:AO132" si="90">$AO$3</f>
        <v>232.59777933076705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4.3589743589743595</v>
      </c>
      <c r="BD69" s="13">
        <f>IF('Données projet'!$A$88&gt;35,BD68+BC69-BL68,IF(A69&lt;'Données projet'!$A$88,$BA$205^A69,IF(A69='Données projet'!$A$88,'Données projet'!$B$88,BD68+BC69-BL68)))</f>
        <v>197.94871794871787</v>
      </c>
      <c r="BE69" s="14">
        <f>BD69*VLOOKUP('Données projet'!$B$11,Paramètres!$A$1:$I$89,3,0)*VLOOKUP('Données projet'!$B$11,Paramètres!$A$1:$I$89,5,0)</f>
        <v>188.36799999999994</v>
      </c>
      <c r="BF69" s="14">
        <f t="shared" ref="BF69:BF132" si="91">EXP(-1.0587+0.8836*LN(BE69)+0.284)</f>
        <v>47.17895987093894</v>
      </c>
      <c r="BG69" s="22">
        <f t="shared" si="61"/>
        <v>410.2442884418852</v>
      </c>
      <c r="BH69" s="62">
        <f t="shared" si="62"/>
        <v>681.91741611310886</v>
      </c>
      <c r="BI69" s="62">
        <f ca="1">AVERAGE(OFFSET($BH$3,0,0,'Données projet'!$E$11+1,1))-AVERAGE(OFFSET($H$3,0,0,'Données projet'!$E$11+1,1))</f>
        <v>393.3005580838161</v>
      </c>
      <c r="BJ69" s="62">
        <f t="shared" ref="BJ69:BJ132" si="92">$BJ$3</f>
        <v>295.86019897822757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</v>
      </c>
      <c r="BY69" s="13">
        <f>IF('Données projet'!$A$114&gt;35,BY68+BX69-CG68,IF(A69&lt;'Données projet'!$A$114,$BV$205^A69,IF(A69='Données projet'!$A$114,'Données projet'!$B$114,BY68+BX69-CG68)))</f>
        <v>310.49999999999989</v>
      </c>
      <c r="BZ69" s="14">
        <f>BY69*VLOOKUP('Données projet'!$B$12,Paramètres!$A$1:$I$89,3,0)*VLOOKUP('Données projet'!$B$12,Paramètres!$A$1:$I$89,5,0)</f>
        <v>247.0337999999999</v>
      </c>
      <c r="CA69" s="14">
        <f t="shared" ref="CA69:CA132" si="93">EXP(-1.0587+0.8836*LN(BZ69)+0.284)</f>
        <v>59.950333213989722</v>
      </c>
      <c r="CB69" s="22">
        <f t="shared" si="64"/>
        <v>534.66403201436515</v>
      </c>
      <c r="CC69" s="62">
        <f t="shared" si="65"/>
        <v>806.33715968558886</v>
      </c>
      <c r="CD69" s="62">
        <f ca="1">AVERAGE(OFFSET($CC$3,0,0,'Données projet'!$E$12+1,1))-AVERAGE(OFFSET($H$3,0,0,'Données projet'!$E$12+1,1))</f>
        <v>388.52230330563884</v>
      </c>
      <c r="CE69" s="62">
        <f t="shared" ref="CE69:CE132" si="94">$CE$3</f>
        <v>418.94833960687333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</v>
      </c>
      <c r="CT69" s="13">
        <f>IF('Données projet'!$A$140&gt;35,CT68+CS69-DB68,IF(A69&lt;'Données projet'!$A$140,$CQ$205^A69,IF(A69='Données projet'!$A$140,'Données projet'!$B$140,CT68+CS69-DB68)))</f>
        <v>310.49999999999989</v>
      </c>
      <c r="CU69" s="18">
        <f>CT69*VLOOKUP('Données projet'!$B$13,Paramètres!$A$1:$I$89,3,0)*VLOOKUP('Données projet'!$B$13,Paramètres!$A$1:$I$89,5,0)</f>
        <v>227.65859999999992</v>
      </c>
      <c r="CV69" s="14">
        <f t="shared" ref="CV69:CV132" si="95">EXP(-1.0587+0.8836*LN(CU69)+0.284)</f>
        <v>55.776115016621809</v>
      </c>
      <c r="CW69" s="22">
        <f t="shared" si="67"/>
        <v>493.64879532061622</v>
      </c>
      <c r="CX69" s="62">
        <f t="shared" si="68"/>
        <v>765.32192299183987</v>
      </c>
      <c r="CY69" s="62">
        <f ca="1">AVERAGE(OFFSET($CX$3,0,0,'Données projet'!$E$13+1,1))-AVERAGE(OFFSET($H$3,0,0,'Données projet'!$E$13+1,1))</f>
        <v>362.38131866207266</v>
      </c>
      <c r="CZ69" s="62">
        <f t="shared" ref="CZ69:CZ132" si="96">$CZ$3</f>
        <v>390.74498763200336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4.2</v>
      </c>
      <c r="DO69" s="13">
        <f>IF('Données projet'!$A$166&gt;35,DO68+DN69-DW68,IF(A69&lt;'Données projet'!$A$166,$DL$205^A69,IF(A69='Données projet'!$A$166,'Données projet'!$B$166,DO68+DN69-DW68)))</f>
        <v>199.2</v>
      </c>
      <c r="DP69" s="18">
        <f>DO69*VLOOKUP('Données projet'!$B$14,Paramètres!$A$1:$I$89,3,0)*VLOOKUP('Données projet'!$B$14,Paramètres!$A$1:$I$89,5,0)</f>
        <v>174.02112000000002</v>
      </c>
      <c r="DQ69" s="14">
        <f t="shared" ref="DQ69:DQ132" si="97">EXP(-1.0587+0.8836*LN(DP69)+0.284)</f>
        <v>43.989391678613877</v>
      </c>
      <c r="DR69" s="22">
        <f t="shared" si="70"/>
        <v>379.70164117358587</v>
      </c>
      <c r="DS69" s="62">
        <f t="shared" si="71"/>
        <v>651.37476884480952</v>
      </c>
      <c r="DT69" s="62">
        <f ca="1">AVERAGE(OFFSET($DS$3,0,0,'Données projet'!$E$14+1,1))-AVERAGE(OFFSET($H$3,0,0,'Données projet'!$E$14+1,1))</f>
        <v>334.4692012109935</v>
      </c>
      <c r="DU69" s="62">
        <f t="shared" ref="DU69:DU132" si="98">$DU$3</f>
        <v>316.360405424036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13.857142857142858</v>
      </c>
      <c r="EJ69" s="13">
        <f>IF('Données projet'!$A$192&gt;35,EJ68+EI69-ER68,IF(A69&lt;'Données projet'!$A$192,$EG$205^A69,IF(A69='Données projet'!$A$192,'Données projet'!$B$192,EJ68+EI69-ER68)))</f>
        <v>495.57142857142821</v>
      </c>
      <c r="EK69" s="18">
        <f>EJ69*VLOOKUP('Données projet'!$B$15,Paramètres!$A$1:$I$89,3,0)*VLOOKUP('Données projet'!$B$15,Paramètres!$A$1:$I$89,5,0)</f>
        <v>277.02442857142842</v>
      </c>
      <c r="EL69" s="14">
        <f t="shared" ref="EL69:EL132" si="99">EXP(-1.0587+0.8836*LN(EK69)+0.284)</f>
        <v>66.337794630329327</v>
      </c>
      <c r="EM69" s="22">
        <f t="shared" si="73"/>
        <v>598.02253874306132</v>
      </c>
      <c r="EN69" s="62">
        <f t="shared" si="74"/>
        <v>869.69566641428491</v>
      </c>
      <c r="EO69" s="62">
        <f ca="1">AVERAGE(OFFSET($EN$3,0,0,'Données projet'!$E$15+1,1))-AVERAGE(OFFSET($H$3,0,0,'Données projet'!$E$15+1,1))</f>
        <v>390.09289316045653</v>
      </c>
      <c r="EP69" s="62">
        <f t="shared" ref="EP69:EP132" si="100">$EP$3</f>
        <v>364.34913542817617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2.7197258617294908</v>
      </c>
      <c r="EX69" s="23">
        <f>EXP(-LN(2)/2)*EX68+(1-EXP(-LN(2)/2))/(LN(2)/2)*ER69*EU69*VLOOKUP('Données projet'!$B$15,Paramètres!$A$1:$I$89,3,0)*0.475*44/12</f>
        <v>3.4265304213981288E-5</v>
      </c>
      <c r="EY69" s="24">
        <f t="shared" si="75"/>
        <v>2.7197601270337048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>
        <f>VLOOKUP(A69,'Données projet'!$A$217:$I$237,2,0)</f>
        <v>465</v>
      </c>
      <c r="FC69" s="13">
        <f>VLOOKUP(A69,'Données projet'!$A$217:$I$237,9,0)</f>
        <v>17.7</v>
      </c>
      <c r="FD69" s="13">
        <f t="array" ref="FD69">INDEX(FC:FC,MIN(IF(ISNUMBER(FC69:FC265),ROW(FC69:FC265),"")))</f>
        <v>17.7</v>
      </c>
      <c r="FE69" s="13">
        <f>IF('Données projet'!$A$218&gt;35,FE68+FD69-FM68,IF(A69&lt;'Données projet'!$A$218,$FB$205^A69,IF(A69='Données projet'!$A$218,'Données projet'!$B$218,FE68+FD69-FM68)))</f>
        <v>465.00000000000006</v>
      </c>
      <c r="FF69" s="18">
        <f>FE69*VLOOKUP('Données projet'!$B$16,Paramètres!$A$1:$I$89,3,0)*VLOOKUP('Données projet'!$B$16,Paramètres!$A$1:$I$89,5,0)</f>
        <v>217.62</v>
      </c>
      <c r="FG69" s="14">
        <f t="shared" ref="FG69:FG132" si="101">EXP(-1.0587+0.8836*LN(FF69)+0.284)</f>
        <v>53.597277471320098</v>
      </c>
      <c r="FH69" s="22">
        <f t="shared" si="76"/>
        <v>472.37009159588257</v>
      </c>
      <c r="FI69" s="62">
        <f t="shared" si="77"/>
        <v>744.04321926710622</v>
      </c>
      <c r="FJ69" s="62">
        <f ca="1">AVERAGE(OFFSET($FI$3,0,0,'Données projet'!$E$16+1,1))-AVERAGE(OFFSET($H$3,0,0,'Données projet'!$E$16+1,1))</f>
        <v>344.55118007058775</v>
      </c>
      <c r="FK69" s="62">
        <f t="shared" ref="FK69:FK132" si="102">$FK$3</f>
        <v>144.16931602355001</v>
      </c>
      <c r="FL69" s="16">
        <f>IF(ISNA(VLOOKUP(A69,'Données projet'!$A$217:$I$237,3,0)),0,VLOOKUP(A69,'Données projet'!$A$217:$I$237,3,0))</f>
        <v>3</v>
      </c>
      <c r="FM69" s="16">
        <f>IF(ISNA(VLOOKUP(A69,'Données projet'!$A$217:$I$237,4,0)),0,VLOOKUP(A69,'Données projet'!$A$217:$I$237,4,0))</f>
        <v>101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>
        <f>FZ69*VLOOKUP('Données projet'!$B$17,Paramètres!$A$1:$I$89,3,0)*VLOOKUP('Données projet'!$B$17,Paramètres!$A$1:$I$89,5,0)</f>
        <v>0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252.60122125520482</v>
      </c>
      <c r="GF69" s="62">
        <f t="shared" ref="GF69:GF132" si="104">$GF$3</f>
        <v>357.56833754121317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3.7945751363773179</v>
      </c>
      <c r="GN69" s="23">
        <f>EXP(-LN(2)/2)*GN68+(1-EXP(-LN(2)/2))/(LN(2)/2)*GH69*GK69*VLOOKUP('Données projet'!$B$17,Paramètres!$A$1:$I$89,3,0)*0.475*44/12</f>
        <v>6.3014297031428523E-5</v>
      </c>
      <c r="GO69" s="23">
        <f t="shared" si="81"/>
        <v>3.7946381506743494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-1.1368683772161603E-13</v>
      </c>
      <c r="GV69" s="18">
        <f>GU69*VLOOKUP('Données projet'!$B$18,Paramètres!$A$1:$I$89,3,0)*VLOOKUP('Données projet'!$B$18,Paramètres!$A$1:$I$89,5,0)</f>
        <v>-9.2222762759774927E-14</v>
      </c>
      <c r="GW69" s="14" t="e">
        <f t="shared" ref="GW69:GW132" si="105">EXP(-1.0587+0.8836*LN(GV69)+0.284)</f>
        <v>#NUM!</v>
      </c>
      <c r="GX69" s="22" t="e">
        <f t="shared" si="82"/>
        <v>#NUM!</v>
      </c>
      <c r="GY69" s="62" t="e">
        <f t="shared" si="83"/>
        <v>#NUM!</v>
      </c>
      <c r="GZ69" s="62">
        <f ca="1">AVERAGE(OFFSET($GY$3,0,0,'Données projet'!$E$18+1,1))-AVERAGE(OFFSET($H$3,0,0,'Données projet'!$E$18+1,1))</f>
        <v>268.57152522489537</v>
      </c>
      <c r="HA69" s="62">
        <f t="shared" ref="HA69:HA132" si="106">$HA$3</f>
        <v>311.80303557283207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3.75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13.75</v>
      </c>
      <c r="H70" s="70">
        <f t="shared" si="56"/>
        <v>201.66666666666666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708.0899817583545</v>
      </c>
      <c r="S70" s="62">
        <f ca="1">AVERAGE(OFFSET($R$3,0,0,'Données projet'!$E$9+1,1))-AVERAGE(OFFSET($H$3,0,0,'Données projet'!$E$9+1,1))</f>
        <v>461.02780119093666</v>
      </c>
      <c r="T70" s="62">
        <f t="shared" si="88"/>
        <v>245.70016468438834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186.67583999999994</v>
      </c>
      <c r="AK70" s="14">
        <f t="shared" si="89"/>
        <v>46.804275023026932</v>
      </c>
      <c r="AL70" s="22">
        <f t="shared" si="58"/>
        <v>406.64453366510514</v>
      </c>
      <c r="AM70" s="62">
        <f t="shared" si="59"/>
        <v>678.69341747960107</v>
      </c>
      <c r="AN70" s="62">
        <f ca="1">AVERAGE(OFFSET($AM$3,0,0,'Données projet'!$E$10+1,1))-AVERAGE(OFFSET($H$3,0,0,'Données projet'!$E$10+1,1))</f>
        <v>434.22500776975596</v>
      </c>
      <c r="AO70" s="62">
        <f t="shared" si="90"/>
        <v>232.59777933076705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4.3589743589743595</v>
      </c>
      <c r="BD70" s="13">
        <f>IF('Données projet'!$A$88&gt;35,BD69+BC70-BL69,IF(A70&lt;'Données projet'!$A$88,$BA$205^A70,IF(A70='Données projet'!$A$88,'Données projet'!$B$88,BD69+BC70-BL69)))</f>
        <v>202.30769230769224</v>
      </c>
      <c r="BE70" s="14">
        <f>BD70*VLOOKUP('Données projet'!$B$11,Paramètres!$A$1:$I$89,3,0)*VLOOKUP('Données projet'!$B$11,Paramètres!$A$1:$I$89,5,0)</f>
        <v>192.51599999999993</v>
      </c>
      <c r="BF70" s="14">
        <f t="shared" si="91"/>
        <v>48.095778128339838</v>
      </c>
      <c r="BG70" s="22">
        <f t="shared" si="61"/>
        <v>419.0655135735251</v>
      </c>
      <c r="BH70" s="62">
        <f t="shared" si="62"/>
        <v>691.11439738802096</v>
      </c>
      <c r="BI70" s="62">
        <f ca="1">AVERAGE(OFFSET($BH$3,0,0,'Données projet'!$E$11+1,1))-AVERAGE(OFFSET($H$3,0,0,'Données projet'!$E$11+1,1))</f>
        <v>393.3005580838161</v>
      </c>
      <c r="BJ70" s="62">
        <f t="shared" si="92"/>
        <v>295.86019897822757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</v>
      </c>
      <c r="BY70" s="13">
        <f>IF('Données projet'!$A$114&gt;35,BY69+BX70-CG69,IF(A70&lt;'Données projet'!$A$114,$BV$205^A70,IF(A70='Données projet'!$A$114,'Données projet'!$B$114,BY69+BX70-CG69)))</f>
        <v>314.99999999999989</v>
      </c>
      <c r="BZ70" s="14">
        <f>BY70*VLOOKUP('Données projet'!$B$12,Paramètres!$A$1:$I$89,3,0)*VLOOKUP('Données projet'!$B$12,Paramètres!$A$1:$I$89,5,0)</f>
        <v>250.61399999999992</v>
      </c>
      <c r="CA70" s="14">
        <f t="shared" si="93"/>
        <v>60.717400934916043</v>
      </c>
      <c r="CB70" s="22">
        <f t="shared" si="64"/>
        <v>542.23552329497863</v>
      </c>
      <c r="CC70" s="62">
        <f t="shared" si="65"/>
        <v>814.28440710947461</v>
      </c>
      <c r="CD70" s="62">
        <f ca="1">AVERAGE(OFFSET($CC$3,0,0,'Données projet'!$E$12+1,1))-AVERAGE(OFFSET($H$3,0,0,'Données projet'!$E$12+1,1))</f>
        <v>388.52230330563884</v>
      </c>
      <c r="CE70" s="62">
        <f t="shared" si="94"/>
        <v>418.94833960687333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</v>
      </c>
      <c r="CT70" s="13">
        <f>IF('Données projet'!$A$140&gt;35,CT69+CS70-DB69,IF(A70&lt;'Données projet'!$A$140,$CQ$205^A70,IF(A70='Données projet'!$A$140,'Données projet'!$B$140,CT69+CS70-DB69)))</f>
        <v>314.99999999999989</v>
      </c>
      <c r="CU70" s="18">
        <f>CT70*VLOOKUP('Données projet'!$B$13,Paramètres!$A$1:$I$89,3,0)*VLOOKUP('Données projet'!$B$13,Paramètres!$A$1:$I$89,5,0)</f>
        <v>230.95799999999988</v>
      </c>
      <c r="CV70" s="14">
        <f t="shared" si="95"/>
        <v>56.489773392384429</v>
      </c>
      <c r="CW70" s="22">
        <f t="shared" si="67"/>
        <v>500.63820532506929</v>
      </c>
      <c r="CX70" s="62">
        <f t="shared" si="68"/>
        <v>772.68708913956516</v>
      </c>
      <c r="CY70" s="62">
        <f ca="1">AVERAGE(OFFSET($CX$3,0,0,'Données projet'!$E$13+1,1))-AVERAGE(OFFSET($H$3,0,0,'Données projet'!$E$13+1,1))</f>
        <v>362.38131866207266</v>
      </c>
      <c r="CZ70" s="62">
        <f t="shared" si="96"/>
        <v>390.74498763200336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4.2</v>
      </c>
      <c r="DO70" s="13">
        <f>IF('Données projet'!$A$166&gt;35,DO69+DN70-DW69,IF(A70&lt;'Données projet'!$A$166,$DL$205^A70,IF(A70='Données projet'!$A$166,'Données projet'!$B$166,DO69+DN70-DW69)))</f>
        <v>203.39999999999998</v>
      </c>
      <c r="DP70" s="18">
        <f>DO70*VLOOKUP('Données projet'!$B$14,Paramètres!$A$1:$I$89,3,0)*VLOOKUP('Données projet'!$B$14,Paramètres!$A$1:$I$89,5,0)</f>
        <v>177.69023999999999</v>
      </c>
      <c r="DQ70" s="14">
        <f t="shared" si="97"/>
        <v>44.807921499827692</v>
      </c>
      <c r="DR70" s="22">
        <f t="shared" si="70"/>
        <v>387.51763127886653</v>
      </c>
      <c r="DS70" s="62">
        <f t="shared" si="71"/>
        <v>659.56651509336245</v>
      </c>
      <c r="DT70" s="62">
        <f ca="1">AVERAGE(OFFSET($DS$3,0,0,'Données projet'!$E$14+1,1))-AVERAGE(OFFSET($H$3,0,0,'Données projet'!$E$14+1,1))</f>
        <v>334.4692012109935</v>
      </c>
      <c r="DU70" s="62">
        <f t="shared" si="98"/>
        <v>316.360405424036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13.857142857142858</v>
      </c>
      <c r="EJ70" s="13">
        <f>IF('Données projet'!$A$192&gt;35,EJ69+EI70-ER69,IF(A70&lt;'Données projet'!$A$192,$EG$205^A70,IF(A70='Données projet'!$A$192,'Données projet'!$B$192,EJ69+EI70-ER69)))</f>
        <v>509.42857142857105</v>
      </c>
      <c r="EK70" s="18">
        <f>EJ70*VLOOKUP('Données projet'!$B$15,Paramètres!$A$1:$I$89,3,0)*VLOOKUP('Données projet'!$B$15,Paramètres!$A$1:$I$89,5,0)</f>
        <v>284.77057142857126</v>
      </c>
      <c r="EL70" s="14">
        <f t="shared" si="99"/>
        <v>67.974174355789401</v>
      </c>
      <c r="EM70" s="22">
        <f t="shared" si="73"/>
        <v>614.36376557442816</v>
      </c>
      <c r="EN70" s="62">
        <f t="shared" si="74"/>
        <v>886.41264938892414</v>
      </c>
      <c r="EO70" s="62">
        <f ca="1">AVERAGE(OFFSET($EN$3,0,0,'Données projet'!$E$15+1,1))-AVERAGE(OFFSET($H$3,0,0,'Données projet'!$E$15+1,1))</f>
        <v>390.09289316045653</v>
      </c>
      <c r="EP70" s="62">
        <f t="shared" si="100"/>
        <v>364.34913542817617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2.6453548150163306</v>
      </c>
      <c r="EX70" s="23">
        <f>EXP(-LN(2)/2)*EX69+(1-EXP(-LN(2)/2))/(LN(2)/2)*ER70*EU70*VLOOKUP('Données projet'!$B$15,Paramètres!$A$1:$I$89,3,0)*0.475*44/12</f>
        <v>2.4229228969126152E-5</v>
      </c>
      <c r="EY70" s="24">
        <f t="shared" si="75"/>
        <v>2.6453790442452996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16.7</v>
      </c>
      <c r="FE70" s="13">
        <f>IF('Données projet'!$A$218&gt;35,FE69+FD70-FM69,IF(A70&lt;'Données projet'!$A$218,$FB$205^A70,IF(A70='Données projet'!$A$218,'Données projet'!$B$218,FE69+FD70-FM69)))</f>
        <v>380.70000000000005</v>
      </c>
      <c r="FF70" s="18">
        <f>FE70*VLOOKUP('Données projet'!$B$16,Paramètres!$A$1:$I$89,3,0)*VLOOKUP('Données projet'!$B$16,Paramètres!$A$1:$I$89,5,0)</f>
        <v>178.16760000000002</v>
      </c>
      <c r="FG70" s="14">
        <f t="shared" si="101"/>
        <v>44.91426846875347</v>
      </c>
      <c r="FH70" s="22">
        <f t="shared" si="76"/>
        <v>388.53425424974563</v>
      </c>
      <c r="FI70" s="62">
        <f t="shared" si="77"/>
        <v>660.58313806424155</v>
      </c>
      <c r="FJ70" s="62">
        <f ca="1">AVERAGE(OFFSET($FI$3,0,0,'Données projet'!$E$16+1,1))-AVERAGE(OFFSET($H$3,0,0,'Données projet'!$E$16+1,1))</f>
        <v>344.55118007058775</v>
      </c>
      <c r="FK70" s="62">
        <f t="shared" si="102"/>
        <v>144.16931602355001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>
        <f>FZ70*VLOOKUP('Données projet'!$B$17,Paramètres!$A$1:$I$89,3,0)*VLOOKUP('Données projet'!$B$17,Paramètres!$A$1:$I$89,5,0)</f>
        <v>0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252.60122125520482</v>
      </c>
      <c r="GF70" s="62">
        <f t="shared" si="104"/>
        <v>357.56833754121317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3.6908122797250464</v>
      </c>
      <c r="GN70" s="23">
        <f>EXP(-LN(2)/2)*GN69+(1-EXP(-LN(2)/2))/(LN(2)/2)*GH70*GK70*VLOOKUP('Données projet'!$B$17,Paramètres!$A$1:$I$89,3,0)*0.475*44/12</f>
        <v>4.455783674262644E-5</v>
      </c>
      <c r="GO70" s="23">
        <f t="shared" si="81"/>
        <v>3.690856837561789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-1.1368683772161603E-13</v>
      </c>
      <c r="GV70" s="18">
        <f>GU70*VLOOKUP('Données projet'!$B$18,Paramètres!$A$1:$I$89,3,0)*VLOOKUP('Données projet'!$B$18,Paramètres!$A$1:$I$89,5,0)</f>
        <v>-9.2222762759774927E-14</v>
      </c>
      <c r="GW70" s="14" t="e">
        <f t="shared" si="105"/>
        <v>#NUM!</v>
      </c>
      <c r="GX70" s="22" t="e">
        <f t="shared" si="82"/>
        <v>#NUM!</v>
      </c>
      <c r="GY70" s="62" t="e">
        <f t="shared" si="83"/>
        <v>#NUM!</v>
      </c>
      <c r="GZ70" s="62">
        <f ca="1">AVERAGE(OFFSET($GY$3,0,0,'Données projet'!$E$18+1,1))-AVERAGE(OFFSET($H$3,0,0,'Données projet'!$E$18+1,1))</f>
        <v>268.57152522489537</v>
      </c>
      <c r="HA70" s="62">
        <f t="shared" si="106"/>
        <v>311.80303557283207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3.75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13.75</v>
      </c>
      <c r="H71" s="70">
        <f t="shared" si="56"/>
        <v>201.66666666666666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721.52523964404816</v>
      </c>
      <c r="S71" s="62">
        <f ca="1">AVERAGE(OFFSET($R$3,0,0,'Données projet'!$E$9+1,1))-AVERAGE(OFFSET($H$3,0,0,'Données projet'!$E$9+1,1))</f>
        <v>461.02780119093666</v>
      </c>
      <c r="T71" s="62">
        <f t="shared" si="88"/>
        <v>245.70016468438834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192.40415999999996</v>
      </c>
      <c r="AK71" s="14">
        <f t="shared" si="89"/>
        <v>48.071088890795593</v>
      </c>
      <c r="AL71" s="22">
        <f t="shared" si="58"/>
        <v>418.82772515146894</v>
      </c>
      <c r="AM71" s="62">
        <f t="shared" si="59"/>
        <v>691.24584658021638</v>
      </c>
      <c r="AN71" s="62">
        <f ca="1">AVERAGE(OFFSET($AM$3,0,0,'Données projet'!$E$10+1,1))-AVERAGE(OFFSET($H$3,0,0,'Données projet'!$E$10+1,1))</f>
        <v>434.22500776975596</v>
      </c>
      <c r="AO71" s="62">
        <f t="shared" si="90"/>
        <v>232.59777933076705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4.3589743589743595</v>
      </c>
      <c r="BD71" s="13">
        <f>IF('Données projet'!$A$88&gt;35,BD70+BC71-BL70,IF(A71&lt;'Données projet'!$A$88,$BA$205^A71,IF(A71='Données projet'!$A$88,'Données projet'!$B$88,BD70+BC71-BL70)))</f>
        <v>206.6666666666666</v>
      </c>
      <c r="BE71" s="14">
        <f>BD71*VLOOKUP('Données projet'!$B$11,Paramètres!$A$1:$I$89,3,0)*VLOOKUP('Données projet'!$B$11,Paramètres!$A$1:$I$89,5,0)</f>
        <v>196.66399999999993</v>
      </c>
      <c r="BF71" s="14">
        <f t="shared" si="91"/>
        <v>49.010299712644574</v>
      </c>
      <c r="BG71" s="22">
        <f t="shared" si="61"/>
        <v>427.8827386661892</v>
      </c>
      <c r="BH71" s="62">
        <f t="shared" si="62"/>
        <v>700.30086009493664</v>
      </c>
      <c r="BI71" s="62">
        <f ca="1">AVERAGE(OFFSET($BH$3,0,0,'Données projet'!$E$11+1,1))-AVERAGE(OFFSET($H$3,0,0,'Données projet'!$E$11+1,1))</f>
        <v>393.3005580838161</v>
      </c>
      <c r="BJ71" s="62">
        <f t="shared" si="92"/>
        <v>295.86019897822757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</v>
      </c>
      <c r="BY71" s="13">
        <f>IF('Données projet'!$A$114&gt;35,BY70+BX71-CG70,IF(A71&lt;'Données projet'!$A$114,$BV$205^A71,IF(A71='Données projet'!$A$114,'Données projet'!$B$114,BY70+BX71-CG70)))</f>
        <v>319.49999999999989</v>
      </c>
      <c r="BZ71" s="14">
        <f>BY71*VLOOKUP('Données projet'!$B$12,Paramètres!$A$1:$I$89,3,0)*VLOOKUP('Données projet'!$B$12,Paramètres!$A$1:$I$89,5,0)</f>
        <v>254.19419999999991</v>
      </c>
      <c r="CA71" s="14">
        <f t="shared" si="93"/>
        <v>61.483194145885243</v>
      </c>
      <c r="CB71" s="22">
        <f t="shared" si="64"/>
        <v>549.80479480408326</v>
      </c>
      <c r="CC71" s="62">
        <f t="shared" si="65"/>
        <v>822.2229162328307</v>
      </c>
      <c r="CD71" s="62">
        <f ca="1">AVERAGE(OFFSET($CC$3,0,0,'Données projet'!$E$12+1,1))-AVERAGE(OFFSET($H$3,0,0,'Données projet'!$E$12+1,1))</f>
        <v>388.52230330563884</v>
      </c>
      <c r="CE71" s="62">
        <f t="shared" si="94"/>
        <v>418.94833960687333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</v>
      </c>
      <c r="CT71" s="13">
        <f>IF('Données projet'!$A$140&gt;35,CT70+CS71-DB70,IF(A71&lt;'Données projet'!$A$140,$CQ$205^A71,IF(A71='Données projet'!$A$140,'Données projet'!$B$140,CT70+CS71-DB70)))</f>
        <v>319.49999999999989</v>
      </c>
      <c r="CU71" s="18">
        <f>CT71*VLOOKUP('Données projet'!$B$13,Paramètres!$A$1:$I$89,3,0)*VLOOKUP('Données projet'!$B$13,Paramètres!$A$1:$I$89,5,0)</f>
        <v>234.2573999999999</v>
      </c>
      <c r="CV71" s="14">
        <f t="shared" si="95"/>
        <v>57.202245999692629</v>
      </c>
      <c r="CW71" s="22">
        <f t="shared" si="67"/>
        <v>507.62555011613114</v>
      </c>
      <c r="CX71" s="62">
        <f t="shared" si="68"/>
        <v>780.04367154487863</v>
      </c>
      <c r="CY71" s="62">
        <f ca="1">AVERAGE(OFFSET($CX$3,0,0,'Données projet'!$E$13+1,1))-AVERAGE(OFFSET($H$3,0,0,'Données projet'!$E$13+1,1))</f>
        <v>362.38131866207266</v>
      </c>
      <c r="CZ71" s="62">
        <f t="shared" si="96"/>
        <v>390.74498763200336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4.2</v>
      </c>
      <c r="DO71" s="13">
        <f>IF('Données projet'!$A$166&gt;35,DO70+DN71-DW70,IF(A71&lt;'Données projet'!$A$166,$DL$205^A71,IF(A71='Données projet'!$A$166,'Données projet'!$B$166,DO70+DN71-DW70)))</f>
        <v>207.59999999999997</v>
      </c>
      <c r="DP71" s="18">
        <f>DO71*VLOOKUP('Données projet'!$B$14,Paramètres!$A$1:$I$89,3,0)*VLOOKUP('Données projet'!$B$14,Paramètres!$A$1:$I$89,5,0)</f>
        <v>181.35935999999998</v>
      </c>
      <c r="DQ71" s="14">
        <f t="shared" si="97"/>
        <v>45.624486166835887</v>
      </c>
      <c r="DR71" s="22">
        <f t="shared" si="70"/>
        <v>395.33019874057248</v>
      </c>
      <c r="DS71" s="62">
        <f t="shared" si="71"/>
        <v>667.74832016931987</v>
      </c>
      <c r="DT71" s="62">
        <f ca="1">AVERAGE(OFFSET($DS$3,0,0,'Données projet'!$E$14+1,1))-AVERAGE(OFFSET($H$3,0,0,'Données projet'!$E$14+1,1))</f>
        <v>334.4692012109935</v>
      </c>
      <c r="DU71" s="62">
        <f t="shared" si="98"/>
        <v>316.360405424036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13.857142857142858</v>
      </c>
      <c r="EJ71" s="13">
        <f>IF('Données projet'!$A$192&gt;35,EJ70+EI71-ER70,IF(A71&lt;'Données projet'!$A$192,$EG$205^A71,IF(A71='Données projet'!$A$192,'Données projet'!$B$192,EJ70+EI71-ER70)))</f>
        <v>523.28571428571388</v>
      </c>
      <c r="EK71" s="18">
        <f>EJ71*VLOOKUP('Données projet'!$B$15,Paramètres!$A$1:$I$89,3,0)*VLOOKUP('Données projet'!$B$15,Paramètres!$A$1:$I$89,5,0)</f>
        <v>292.5167142857141</v>
      </c>
      <c r="EL71" s="14">
        <f t="shared" si="99"/>
        <v>69.605380435295899</v>
      </c>
      <c r="EM71" s="22">
        <f t="shared" si="73"/>
        <v>630.69598163909245</v>
      </c>
      <c r="EN71" s="62">
        <f t="shared" si="74"/>
        <v>903.11410306783989</v>
      </c>
      <c r="EO71" s="62">
        <f ca="1">AVERAGE(OFFSET($EN$3,0,0,'Données projet'!$E$15+1,1))-AVERAGE(OFFSET($H$3,0,0,'Données projet'!$E$15+1,1))</f>
        <v>390.09289316045653</v>
      </c>
      <c r="EP71" s="62">
        <f t="shared" si="100"/>
        <v>364.34913542817617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2.5730174484865453</v>
      </c>
      <c r="EX71" s="23">
        <f>EXP(-LN(2)/2)*EX70+(1-EXP(-LN(2)/2))/(LN(2)/2)*ER71*EU71*VLOOKUP('Données projet'!$B$15,Paramètres!$A$1:$I$89,3,0)*0.475*44/12</f>
        <v>1.7132652106990644E-5</v>
      </c>
      <c r="EY71" s="24">
        <f t="shared" si="75"/>
        <v>2.5730345811386521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16.7</v>
      </c>
      <c r="FE71" s="13">
        <f>IF('Données projet'!$A$218&gt;35,FE70+FD71-FM70,IF(A71&lt;'Données projet'!$A$218,$FB$205^A71,IF(A71='Données projet'!$A$218,'Données projet'!$B$218,FE70+FD71-FM70)))</f>
        <v>397.40000000000003</v>
      </c>
      <c r="FF71" s="18">
        <f>FE71*VLOOKUP('Données projet'!$B$16,Paramètres!$A$1:$I$89,3,0)*VLOOKUP('Données projet'!$B$16,Paramètres!$A$1:$I$89,5,0)</f>
        <v>185.98320000000001</v>
      </c>
      <c r="FG71" s="14">
        <f t="shared" si="101"/>
        <v>46.650794034675862</v>
      </c>
      <c r="FH71" s="22">
        <f t="shared" si="76"/>
        <v>405.17087294372715</v>
      </c>
      <c r="FI71" s="62">
        <f t="shared" si="77"/>
        <v>677.58899437247464</v>
      </c>
      <c r="FJ71" s="62">
        <f ca="1">AVERAGE(OFFSET($FI$3,0,0,'Données projet'!$E$16+1,1))-AVERAGE(OFFSET($H$3,0,0,'Données projet'!$E$16+1,1))</f>
        <v>344.55118007058775</v>
      </c>
      <c r="FK71" s="62">
        <f t="shared" si="102"/>
        <v>144.16931602355001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>
        <f>FZ71*VLOOKUP('Données projet'!$B$17,Paramètres!$A$1:$I$89,3,0)*VLOOKUP('Données projet'!$B$17,Paramètres!$A$1:$I$89,5,0)</f>
        <v>0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252.60122125520482</v>
      </c>
      <c r="GF71" s="62">
        <f t="shared" si="104"/>
        <v>357.56833754121317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3.5898868238445827</v>
      </c>
      <c r="GN71" s="23">
        <f>EXP(-LN(2)/2)*GN70+(1-EXP(-LN(2)/2))/(LN(2)/2)*GH71*GK71*VLOOKUP('Données projet'!$B$17,Paramètres!$A$1:$I$89,3,0)*0.475*44/12</f>
        <v>3.1507148515714262E-5</v>
      </c>
      <c r="GO71" s="23">
        <f t="shared" si="81"/>
        <v>3.5899183309930982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-1.1368683772161603E-13</v>
      </c>
      <c r="GV71" s="18">
        <f>GU71*VLOOKUP('Données projet'!$B$18,Paramètres!$A$1:$I$89,3,0)*VLOOKUP('Données projet'!$B$18,Paramètres!$A$1:$I$89,5,0)</f>
        <v>-9.2222762759774927E-14</v>
      </c>
      <c r="GW71" s="14" t="e">
        <f t="shared" si="105"/>
        <v>#NUM!</v>
      </c>
      <c r="GX71" s="22" t="e">
        <f t="shared" si="82"/>
        <v>#NUM!</v>
      </c>
      <c r="GY71" s="62" t="e">
        <f t="shared" si="83"/>
        <v>#NUM!</v>
      </c>
      <c r="GZ71" s="62">
        <f ca="1">AVERAGE(OFFSET($GY$3,0,0,'Données projet'!$E$18+1,1))-AVERAGE(OFFSET($H$3,0,0,'Données projet'!$E$18+1,1))</f>
        <v>268.57152522489537</v>
      </c>
      <c r="HA71" s="62">
        <f t="shared" si="106"/>
        <v>311.80303557283207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3.75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13.75</v>
      </c>
      <c r="H72" s="70">
        <f t="shared" si="56"/>
        <v>201.66666666666666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734.94596038950419</v>
      </c>
      <c r="S72" s="62">
        <f ca="1">AVERAGE(OFFSET($R$3,0,0,'Données projet'!$E$9+1,1))-AVERAGE(OFFSET($H$3,0,0,'Données projet'!$E$9+1,1))</f>
        <v>461.02780119093666</v>
      </c>
      <c r="T72" s="62">
        <f t="shared" si="88"/>
        <v>245.70016468438834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198.13247999999996</v>
      </c>
      <c r="AK72" s="14">
        <f t="shared" si="89"/>
        <v>49.333519530262095</v>
      </c>
      <c r="AL72" s="22">
        <f t="shared" si="58"/>
        <v>431.00328251520637</v>
      </c>
      <c r="AM72" s="62">
        <f t="shared" si="59"/>
        <v>703.78423611108963</v>
      </c>
      <c r="AN72" s="62">
        <f ca="1">AVERAGE(OFFSET($AM$3,0,0,'Données projet'!$E$10+1,1))-AVERAGE(OFFSET($H$3,0,0,'Données projet'!$E$10+1,1))</f>
        <v>434.22500776975596</v>
      </c>
      <c r="AO72" s="62">
        <f t="shared" si="90"/>
        <v>232.59777933076705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4.3589743589743595</v>
      </c>
      <c r="BD72" s="13">
        <f>IF('Données projet'!$A$88&gt;35,BD71+BC72-BL71,IF(A72&lt;'Données projet'!$A$88,$BA$205^A72,IF(A72='Données projet'!$A$88,'Données projet'!$B$88,BD71+BC72-BL71)))</f>
        <v>211.02564102564097</v>
      </c>
      <c r="BE72" s="14">
        <f>BD72*VLOOKUP('Données projet'!$B$11,Paramètres!$A$1:$I$89,3,0)*VLOOKUP('Données projet'!$B$11,Paramètres!$A$1:$I$89,5,0)</f>
        <v>200.81199999999993</v>
      </c>
      <c r="BF72" s="14">
        <f t="shared" si="91"/>
        <v>49.922578645138138</v>
      </c>
      <c r="BG72" s="22">
        <f t="shared" si="61"/>
        <v>436.69605780694877</v>
      </c>
      <c r="BH72" s="62">
        <f t="shared" si="62"/>
        <v>709.47701140283198</v>
      </c>
      <c r="BI72" s="62">
        <f ca="1">AVERAGE(OFFSET($BH$3,0,0,'Données projet'!$E$11+1,1))-AVERAGE(OFFSET($H$3,0,0,'Données projet'!$E$11+1,1))</f>
        <v>393.3005580838161</v>
      </c>
      <c r="BJ72" s="62">
        <f t="shared" si="92"/>
        <v>295.86019897822757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</v>
      </c>
      <c r="BY72" s="13">
        <f>IF('Données projet'!$A$114&gt;35,BY71+BX72-CG71,IF(A72&lt;'Données projet'!$A$114,$BV$205^A72,IF(A72='Données projet'!$A$114,'Données projet'!$B$114,BY71+BX72-CG71)))</f>
        <v>323.99999999999989</v>
      </c>
      <c r="BZ72" s="14">
        <f>BY72*VLOOKUP('Données projet'!$B$12,Paramètres!$A$1:$I$89,3,0)*VLOOKUP('Données projet'!$B$12,Paramètres!$A$1:$I$89,5,0)</f>
        <v>257.77439999999996</v>
      </c>
      <c r="CA72" s="14">
        <f t="shared" si="93"/>
        <v>62.247732872134293</v>
      </c>
      <c r="CB72" s="22">
        <f t="shared" si="64"/>
        <v>557.37188141896718</v>
      </c>
      <c r="CC72" s="62">
        <f t="shared" si="65"/>
        <v>830.15283501485044</v>
      </c>
      <c r="CD72" s="62">
        <f ca="1">AVERAGE(OFFSET($CC$3,0,0,'Données projet'!$E$12+1,1))-AVERAGE(OFFSET($H$3,0,0,'Données projet'!$E$12+1,1))</f>
        <v>388.52230330563884</v>
      </c>
      <c r="CE72" s="62">
        <f t="shared" si="94"/>
        <v>418.94833960687333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</v>
      </c>
      <c r="CT72" s="13">
        <f>IF('Données projet'!$A$140&gt;35,CT71+CS72-DB71,IF(A72&lt;'Données projet'!$A$140,$CQ$205^A72,IF(A72='Données projet'!$A$140,'Données projet'!$B$140,CT71+CS72-DB71)))</f>
        <v>323.99999999999989</v>
      </c>
      <c r="CU72" s="18">
        <f>CT72*VLOOKUP('Données projet'!$B$13,Paramètres!$A$1:$I$89,3,0)*VLOOKUP('Données projet'!$B$13,Paramètres!$A$1:$I$89,5,0)</f>
        <v>237.55679999999992</v>
      </c>
      <c r="CV72" s="14">
        <f t="shared" si="95"/>
        <v>57.913551469467308</v>
      </c>
      <c r="CW72" s="22">
        <f t="shared" si="67"/>
        <v>514.61086214265538</v>
      </c>
      <c r="CX72" s="62">
        <f t="shared" si="68"/>
        <v>787.39181573853864</v>
      </c>
      <c r="CY72" s="62">
        <f ca="1">AVERAGE(OFFSET($CX$3,0,0,'Données projet'!$E$13+1,1))-AVERAGE(OFFSET($H$3,0,0,'Données projet'!$E$13+1,1))</f>
        <v>362.38131866207266</v>
      </c>
      <c r="CZ72" s="62">
        <f t="shared" si="96"/>
        <v>390.74498763200336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4.2</v>
      </c>
      <c r="DO72" s="13">
        <f>IF('Données projet'!$A$166&gt;35,DO71+DN72-DW71,IF(A72&lt;'Données projet'!$A$166,$DL$205^A72,IF(A72='Données projet'!$A$166,'Données projet'!$B$166,DO71+DN72-DW71)))</f>
        <v>211.79999999999995</v>
      </c>
      <c r="DP72" s="18">
        <f>DO72*VLOOKUP('Données projet'!$B$14,Paramètres!$A$1:$I$89,3,0)*VLOOKUP('Données projet'!$B$14,Paramètres!$A$1:$I$89,5,0)</f>
        <v>185.02848</v>
      </c>
      <c r="DQ72" s="14">
        <f t="shared" si="97"/>
        <v>46.43913001874585</v>
      </c>
      <c r="DR72" s="22">
        <f t="shared" si="70"/>
        <v>403.13942078264904</v>
      </c>
      <c r="DS72" s="62">
        <f t="shared" si="71"/>
        <v>675.9203743785323</v>
      </c>
      <c r="DT72" s="62">
        <f ca="1">AVERAGE(OFFSET($DS$3,0,0,'Données projet'!$E$14+1,1))-AVERAGE(OFFSET($H$3,0,0,'Données projet'!$E$14+1,1))</f>
        <v>334.4692012109935</v>
      </c>
      <c r="DU72" s="62">
        <f t="shared" si="98"/>
        <v>316.360405424036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13.857142857142858</v>
      </c>
      <c r="EJ72" s="13">
        <f>IF('Données projet'!$A$192&gt;35,EJ71+EI72-ER71,IF(A72&lt;'Données projet'!$A$192,$EG$205^A72,IF(A72='Données projet'!$A$192,'Données projet'!$B$192,EJ71+EI72-ER71)))</f>
        <v>537.14285714285677</v>
      </c>
      <c r="EK72" s="18">
        <f>EJ72*VLOOKUP('Données projet'!$B$15,Paramètres!$A$1:$I$89,3,0)*VLOOKUP('Données projet'!$B$15,Paramètres!$A$1:$I$89,5,0)</f>
        <v>300.26285714285694</v>
      </c>
      <c r="EL72" s="14">
        <f t="shared" si="99"/>
        <v>71.231565620163408</v>
      </c>
      <c r="EM72" s="22">
        <f t="shared" si="73"/>
        <v>647.01945297892712</v>
      </c>
      <c r="EN72" s="62">
        <f t="shared" si="74"/>
        <v>919.80040657481038</v>
      </c>
      <c r="EO72" s="62">
        <f ca="1">AVERAGE(OFFSET($EN$3,0,0,'Données projet'!$E$15+1,1))-AVERAGE(OFFSET($H$3,0,0,'Données projet'!$E$15+1,1))</f>
        <v>390.09289316045653</v>
      </c>
      <c r="EP72" s="62">
        <f t="shared" si="100"/>
        <v>364.34913542817617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2.5026581510485739</v>
      </c>
      <c r="EX72" s="23">
        <f>EXP(-LN(2)/2)*EX71+(1-EXP(-LN(2)/2))/(LN(2)/2)*ER72*EU72*VLOOKUP('Données projet'!$B$15,Paramètres!$A$1:$I$89,3,0)*0.475*44/12</f>
        <v>1.2114614484563076E-5</v>
      </c>
      <c r="EY72" s="24">
        <f t="shared" si="75"/>
        <v>2.5026702656630584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16.7</v>
      </c>
      <c r="FE72" s="13">
        <f>IF('Données projet'!$A$218&gt;35,FE71+FD72-FM71,IF(A72&lt;'Données projet'!$A$218,$FB$205^A72,IF(A72='Données projet'!$A$218,'Données projet'!$B$218,FE71+FD72-FM71)))</f>
        <v>414.1</v>
      </c>
      <c r="FF72" s="18">
        <f>FE72*VLOOKUP('Données projet'!$B$16,Paramètres!$A$1:$I$89,3,0)*VLOOKUP('Données projet'!$B$16,Paramètres!$A$1:$I$89,5,0)</f>
        <v>193.7988</v>
      </c>
      <c r="FG72" s="14">
        <f t="shared" si="101"/>
        <v>48.378843501227415</v>
      </c>
      <c r="FH72" s="22">
        <f t="shared" si="76"/>
        <v>421.79272909797106</v>
      </c>
      <c r="FI72" s="62">
        <f t="shared" si="77"/>
        <v>694.57368269385438</v>
      </c>
      <c r="FJ72" s="62">
        <f ca="1">AVERAGE(OFFSET($FI$3,0,0,'Données projet'!$E$16+1,1))-AVERAGE(OFFSET($H$3,0,0,'Données projet'!$E$16+1,1))</f>
        <v>344.55118007058775</v>
      </c>
      <c r="FK72" s="62">
        <f t="shared" si="102"/>
        <v>144.16931602355001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>
        <f>FZ72*VLOOKUP('Données projet'!$B$17,Paramètres!$A$1:$I$89,3,0)*VLOOKUP('Données projet'!$B$17,Paramètres!$A$1:$I$89,5,0)</f>
        <v>0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252.60122125520482</v>
      </c>
      <c r="GF72" s="62">
        <f t="shared" si="104"/>
        <v>357.56833754121317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3.4917211798626093</v>
      </c>
      <c r="GN72" s="23">
        <f>EXP(-LN(2)/2)*GN71+(1-EXP(-LN(2)/2))/(LN(2)/2)*GH72*GK72*VLOOKUP('Données projet'!$B$17,Paramètres!$A$1:$I$89,3,0)*0.475*44/12</f>
        <v>2.227891837131322E-5</v>
      </c>
      <c r="GO72" s="23">
        <f t="shared" si="81"/>
        <v>3.4917434587809808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-1.1368683772161603E-13</v>
      </c>
      <c r="GV72" s="18">
        <f>GU72*VLOOKUP('Données projet'!$B$18,Paramètres!$A$1:$I$89,3,0)*VLOOKUP('Données projet'!$B$18,Paramètres!$A$1:$I$89,5,0)</f>
        <v>-9.2222762759774927E-14</v>
      </c>
      <c r="GW72" s="14" t="e">
        <f t="shared" si="105"/>
        <v>#NUM!</v>
      </c>
      <c r="GX72" s="22" t="e">
        <f t="shared" si="82"/>
        <v>#NUM!</v>
      </c>
      <c r="GY72" s="62" t="e">
        <f t="shared" si="83"/>
        <v>#NUM!</v>
      </c>
      <c r="GZ72" s="62">
        <f ca="1">AVERAGE(OFFSET($GY$3,0,0,'Données projet'!$E$18+1,1))-AVERAGE(OFFSET($H$3,0,0,'Données projet'!$E$18+1,1))</f>
        <v>268.57152522489537</v>
      </c>
      <c r="HA72" s="62">
        <f t="shared" si="106"/>
        <v>311.80303557283207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3.75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13.75</v>
      </c>
      <c r="H73" s="70">
        <f t="shared" si="56"/>
        <v>201.66666666666666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748.35251721338079</v>
      </c>
      <c r="S73" s="62">
        <f ca="1">AVERAGE(OFFSET($R$3,0,0,'Données projet'!$E$9+1,1))-AVERAGE(OFFSET($H$3,0,0,'Données projet'!$E$9+1,1))</f>
        <v>461.02780119093666</v>
      </c>
      <c r="T73" s="62">
        <f t="shared" si="88"/>
        <v>245.70016468438834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203.86079999999998</v>
      </c>
      <c r="AK73" s="14">
        <f t="shared" si="89"/>
        <v>50.591708220421786</v>
      </c>
      <c r="AL73" s="22">
        <f t="shared" si="58"/>
        <v>443.17145181723458</v>
      </c>
      <c r="AM73" s="62">
        <f t="shared" si="59"/>
        <v>716.30894325332497</v>
      </c>
      <c r="AN73" s="62">
        <f ca="1">AVERAGE(OFFSET($AM$3,0,0,'Données projet'!$E$10+1,1))-AVERAGE(OFFSET($H$3,0,0,'Données projet'!$E$10+1,1))</f>
        <v>434.22500776975596</v>
      </c>
      <c r="AO73" s="62">
        <f t="shared" si="90"/>
        <v>232.59777933076705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215.38461538461539</v>
      </c>
      <c r="BB73" s="13">
        <f>VLOOKUP(A73,'Données projet'!$A$87:$I$107,9,0)</f>
        <v>4.3589743589743595</v>
      </c>
      <c r="BC73" s="13">
        <f t="array" ref="BC73">INDEX(BB:BB,MIN(IF(ISNUMBER(BB73:BB269),ROW(BB73:BB269),"")))</f>
        <v>4.3589743589743595</v>
      </c>
      <c r="BD73" s="13">
        <f>IF('Données projet'!$A$88&gt;35,BD72+BC73-BL72,IF(A73&lt;'Données projet'!$A$88,$BA$205^A73,IF(A73='Données projet'!$A$88,'Données projet'!$B$88,BD72+BC73-BL72)))</f>
        <v>215.38461538461533</v>
      </c>
      <c r="BE73" s="14">
        <f>BD73*VLOOKUP('Données projet'!$B$11,Paramètres!$A$1:$I$89,3,0)*VLOOKUP('Données projet'!$B$11,Paramètres!$A$1:$I$89,5,0)</f>
        <v>204.95999999999998</v>
      </c>
      <c r="BF73" s="14">
        <f t="shared" si="91"/>
        <v>50.832666587809335</v>
      </c>
      <c r="BG73" s="22">
        <f t="shared" si="61"/>
        <v>445.50556097376784</v>
      </c>
      <c r="BH73" s="62">
        <f t="shared" si="62"/>
        <v>718.64305240985823</v>
      </c>
      <c r="BI73" s="62">
        <f ca="1">AVERAGE(OFFSET($BH$3,0,0,'Données projet'!$E$11+1,1))-AVERAGE(OFFSET($H$3,0,0,'Données projet'!$E$11+1,1))</f>
        <v>393.3005580838161</v>
      </c>
      <c r="BJ73" s="62">
        <f t="shared" si="92"/>
        <v>295.86019897822757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28.846153846153847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328.5</v>
      </c>
      <c r="BW73" s="13">
        <f>VLOOKUP(A73,'Données projet'!$A$113:$I$133,9,0)</f>
        <v>4.5</v>
      </c>
      <c r="BX73" s="13">
        <f t="array" ref="BX73">INDEX(BW:BW,MIN(IF(ISNUMBER(BW73:BW269),ROW(BW73:BW269),"")))</f>
        <v>4.5</v>
      </c>
      <c r="BY73" s="13">
        <f>IF('Données projet'!$A$114&gt;35,BY72+BX73-CG72,IF(A73&lt;'Données projet'!$A$114,$BV$205^A73,IF(A73='Données projet'!$A$114,'Données projet'!$B$114,BY72+BX73-CG72)))</f>
        <v>328.49999999999989</v>
      </c>
      <c r="BZ73" s="14">
        <f>BY73*VLOOKUP('Données projet'!$B$12,Paramètres!$A$1:$I$89,3,0)*VLOOKUP('Données projet'!$B$12,Paramètres!$A$1:$I$89,5,0)</f>
        <v>261.35459999999989</v>
      </c>
      <c r="CA73" s="14">
        <f t="shared" si="93"/>
        <v>63.01103655068848</v>
      </c>
      <c r="CB73" s="22">
        <f t="shared" si="64"/>
        <v>564.93681699244883</v>
      </c>
      <c r="CC73" s="62">
        <f t="shared" si="65"/>
        <v>838.07430842853933</v>
      </c>
      <c r="CD73" s="62">
        <f ca="1">AVERAGE(OFFSET($CC$3,0,0,'Données projet'!$E$12+1,1))-AVERAGE(OFFSET($H$3,0,0,'Données projet'!$E$12+1,1))</f>
        <v>388.52230330563884</v>
      </c>
      <c r="CE73" s="62">
        <f t="shared" si="94"/>
        <v>418.94833960687333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25.9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328.5</v>
      </c>
      <c r="CR73" s="13">
        <f>VLOOKUP(A73,'Données projet'!$A$139:$I$159,9,0)</f>
        <v>4.5</v>
      </c>
      <c r="CS73" s="13">
        <f t="array" ref="CS73">INDEX(CR:CR,MIN(IF(ISNUMBER(CR73:CR269),ROW(CR73:CR269),"")))</f>
        <v>4.5</v>
      </c>
      <c r="CT73" s="13">
        <f>IF('Données projet'!$A$140&gt;35,CT72+CS73-DB72,IF(A73&lt;'Données projet'!$A$140,$CQ$205^A73,IF(A73='Données projet'!$A$140,'Données projet'!$B$140,CT72+CS73-DB72)))</f>
        <v>328.49999999999989</v>
      </c>
      <c r="CU73" s="18">
        <f>CT73*VLOOKUP('Données projet'!$B$13,Paramètres!$A$1:$I$89,3,0)*VLOOKUP('Données projet'!$B$13,Paramètres!$A$1:$I$89,5,0)</f>
        <v>240.85619999999989</v>
      </c>
      <c r="CV73" s="14">
        <f t="shared" si="95"/>
        <v>58.623707885373882</v>
      </c>
      <c r="CW73" s="22">
        <f t="shared" si="67"/>
        <v>521.59417290035935</v>
      </c>
      <c r="CX73" s="62">
        <f t="shared" si="68"/>
        <v>794.73166433644974</v>
      </c>
      <c r="CY73" s="62">
        <f ca="1">AVERAGE(OFFSET($CX$3,0,0,'Données projet'!$E$13+1,1))-AVERAGE(OFFSET($H$3,0,0,'Données projet'!$E$13+1,1))</f>
        <v>362.38131866207266</v>
      </c>
      <c r="CZ73" s="62">
        <f t="shared" si="96"/>
        <v>390.74498763200336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25.9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216</v>
      </c>
      <c r="DM73" s="13">
        <f>VLOOKUP(A73,'Données projet'!$A$165:$I$185,9,0)</f>
        <v>4.2</v>
      </c>
      <c r="DN73" s="13">
        <f t="array" ref="DN73">INDEX(DM:DM,MIN(IF(ISNUMBER(DM73:DM269),ROW(DM73:DM269),"")))</f>
        <v>4.2</v>
      </c>
      <c r="DO73" s="13">
        <f>IF('Données projet'!$A$166&gt;35,DO72+DN73-DW72,IF(A73&lt;'Données projet'!$A$166,$DL$205^A73,IF(A73='Données projet'!$A$166,'Données projet'!$B$166,DO72+DN73-DW72)))</f>
        <v>215.99999999999994</v>
      </c>
      <c r="DP73" s="18">
        <f>DO73*VLOOKUP('Données projet'!$B$14,Paramètres!$A$1:$I$89,3,0)*VLOOKUP('Données projet'!$B$14,Paramètres!$A$1:$I$89,5,0)</f>
        <v>188.69759999999997</v>
      </c>
      <c r="DQ73" s="14">
        <f t="shared" si="97"/>
        <v>47.251895535609734</v>
      </c>
      <c r="DR73" s="22">
        <f t="shared" si="70"/>
        <v>410.94537139118688</v>
      </c>
      <c r="DS73" s="62">
        <f t="shared" si="71"/>
        <v>684.08286282727727</v>
      </c>
      <c r="DT73" s="62">
        <f ca="1">AVERAGE(OFFSET($DS$3,0,0,'Données projet'!$E$14+1,1))-AVERAGE(OFFSET($H$3,0,0,'Données projet'!$E$14+1,1))</f>
        <v>334.4692012109935</v>
      </c>
      <c r="DU73" s="62">
        <f t="shared" si="98"/>
        <v>316.360405424036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551</v>
      </c>
      <c r="EH73" s="13">
        <f>VLOOKUP(A73,'Données projet'!$A$191:$I$211,9,0)</f>
        <v>13.857142857142858</v>
      </c>
      <c r="EI73" s="13">
        <f t="array" ref="EI73">INDEX(EH:EH,MIN(IF(ISNUMBER(EH73:EH269),ROW(EH73:EH269),"")))</f>
        <v>13.857142857142858</v>
      </c>
      <c r="EJ73" s="13">
        <f>IF('Données projet'!$A$192&gt;35,EJ72+EI73-ER72,IF(A73&lt;'Données projet'!$A$192,$EG$205^A73,IF(A73='Données projet'!$A$192,'Données projet'!$B$192,EJ72+EI73-ER72)))</f>
        <v>550.99999999999966</v>
      </c>
      <c r="EK73" s="18">
        <f>EJ73*VLOOKUP('Données projet'!$B$15,Paramètres!$A$1:$I$89,3,0)*VLOOKUP('Données projet'!$B$15,Paramètres!$A$1:$I$89,5,0)</f>
        <v>308.00899999999979</v>
      </c>
      <c r="EL73" s="14">
        <f t="shared" si="99"/>
        <v>72.852874331417695</v>
      </c>
      <c r="EM73" s="22">
        <f t="shared" si="73"/>
        <v>663.33443112721886</v>
      </c>
      <c r="EN73" s="62">
        <f t="shared" si="74"/>
        <v>936.47192256330936</v>
      </c>
      <c r="EO73" s="62">
        <f ca="1">AVERAGE(OFFSET($EN$3,0,0,'Données projet'!$E$15+1,1))-AVERAGE(OFFSET($H$3,0,0,'Données projet'!$E$15+1,1))</f>
        <v>390.09289316045653</v>
      </c>
      <c r="EP73" s="62">
        <f t="shared" si="100"/>
        <v>364.34913542817617</v>
      </c>
      <c r="EQ73" s="16">
        <f>IF(ISNA(VLOOKUP(A73,'Données projet'!$A$191:$I$211,3,0)),0,VLOOKUP(A73,'Données projet'!$A$191:$I$211,3,0))</f>
        <v>8</v>
      </c>
      <c r="ER73" s="16">
        <f>IF(ISNA(VLOOKUP(A73,'Données projet'!$A$191:$I$211,4,0)),0,VLOOKUP(A73,'Données projet'!$A$191:$I$211,4,0))</f>
        <v>551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2.4342228322990782</v>
      </c>
      <c r="EX73" s="23">
        <f>EXP(-LN(2)/2)*EX72+(1-EXP(-LN(2)/2))/(LN(2)/2)*ER73*EU73*VLOOKUP('Données projet'!$B$15,Paramètres!$A$1:$I$89,3,0)*0.475*44/12</f>
        <v>8.566326053495322E-6</v>
      </c>
      <c r="EY73" s="24">
        <f t="shared" si="75"/>
        <v>2.4342313986251316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16.7</v>
      </c>
      <c r="FE73" s="13">
        <f>IF('Données projet'!$A$218&gt;35,FE72+FD73-FM72,IF(A73&lt;'Données projet'!$A$218,$FB$205^A73,IF(A73='Données projet'!$A$218,'Données projet'!$B$218,FE72+FD73-FM72)))</f>
        <v>430.8</v>
      </c>
      <c r="FF73" s="18">
        <f>FE73*VLOOKUP('Données projet'!$B$16,Paramètres!$A$1:$I$89,3,0)*VLOOKUP('Données projet'!$B$16,Paramètres!$A$1:$I$89,5,0)</f>
        <v>201.61439999999999</v>
      </c>
      <c r="FG73" s="14">
        <f t="shared" si="101"/>
        <v>50.098797801035609</v>
      </c>
      <c r="FH73" s="22">
        <f t="shared" si="76"/>
        <v>438.40048617013696</v>
      </c>
      <c r="FI73" s="62">
        <f t="shared" si="77"/>
        <v>711.5379776062274</v>
      </c>
      <c r="FJ73" s="62">
        <f ca="1">AVERAGE(OFFSET($FI$3,0,0,'Données projet'!$E$16+1,1))-AVERAGE(OFFSET($H$3,0,0,'Données projet'!$E$16+1,1))</f>
        <v>344.55118007058775</v>
      </c>
      <c r="FK73" s="62">
        <f t="shared" si="102"/>
        <v>144.16931602355001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>
        <f>FZ73*VLOOKUP('Données projet'!$B$17,Paramètres!$A$1:$I$89,3,0)*VLOOKUP('Données projet'!$B$17,Paramètres!$A$1:$I$89,5,0)</f>
        <v>0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252.60122125520482</v>
      </c>
      <c r="GF73" s="62">
        <f t="shared" si="104"/>
        <v>357.56833754121317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3.3962398805776299</v>
      </c>
      <c r="GN73" s="23">
        <f>EXP(-LN(2)/2)*GN72+(1-EXP(-LN(2)/2))/(LN(2)/2)*GH73*GK73*VLOOKUP('Données projet'!$B$17,Paramètres!$A$1:$I$89,3,0)*0.475*44/12</f>
        <v>1.5753574257857131E-5</v>
      </c>
      <c r="GO73" s="23">
        <f t="shared" si="81"/>
        <v>3.3962556341518879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-1.1368683772161603E-13</v>
      </c>
      <c r="GV73" s="18">
        <f>GU73*VLOOKUP('Données projet'!$B$18,Paramètres!$A$1:$I$89,3,0)*VLOOKUP('Données projet'!$B$18,Paramètres!$A$1:$I$89,5,0)</f>
        <v>-9.2222762759774927E-14</v>
      </c>
      <c r="GW73" s="14" t="e">
        <f t="shared" si="105"/>
        <v>#NUM!</v>
      </c>
      <c r="GX73" s="22" t="e">
        <f t="shared" si="82"/>
        <v>#NUM!</v>
      </c>
      <c r="GY73" s="62" t="e">
        <f t="shared" si="83"/>
        <v>#NUM!</v>
      </c>
      <c r="GZ73" s="62">
        <f ca="1">AVERAGE(OFFSET($GY$3,0,0,'Données projet'!$E$18+1,1))-AVERAGE(OFFSET($H$3,0,0,'Données projet'!$E$18+1,1))</f>
        <v>268.57152522489537</v>
      </c>
      <c r="HA73" s="62">
        <f t="shared" si="106"/>
        <v>311.80303557283207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3.75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13.75</v>
      </c>
      <c r="H74" s="70">
        <f t="shared" si="56"/>
        <v>201.66666666666666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760.59476678752571</v>
      </c>
      <c r="S74" s="62">
        <f ca="1">AVERAGE(OFFSET($R$3,0,0,'Données projet'!$E$9+1,1))-AVERAGE(OFFSET($H$3,0,0,'Données projet'!$E$9+1,1))</f>
        <v>461.02780119093666</v>
      </c>
      <c r="T74" s="62">
        <f t="shared" si="88"/>
        <v>245.70016468438834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209.08367999999996</v>
      </c>
      <c r="AK74" s="14">
        <f t="shared" si="89"/>
        <v>51.735295790267372</v>
      </c>
      <c r="AL74" s="22">
        <f t="shared" si="58"/>
        <v>454.25971616804895</v>
      </c>
      <c r="AM74" s="62">
        <f t="shared" si="59"/>
        <v>727.7475603099183</v>
      </c>
      <c r="AN74" s="62">
        <f ca="1">AVERAGE(OFFSET($AM$3,0,0,'Données projet'!$E$10+1,1))-AVERAGE(OFFSET($H$3,0,0,'Données projet'!$E$10+1,1))</f>
        <v>434.22500776975596</v>
      </c>
      <c r="AO74" s="62">
        <f t="shared" si="90"/>
        <v>232.59777933076705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4.2307692307692264</v>
      </c>
      <c r="BD74" s="13">
        <f>IF('Données projet'!$A$88&gt;35,BD73+BC74-BL73,IF(A74&lt;'Données projet'!$A$88,$BA$205^A74,IF(A74='Données projet'!$A$88,'Données projet'!$B$88,BD73+BC74-BL73)))</f>
        <v>190.76923076923072</v>
      </c>
      <c r="BE74" s="14">
        <f>BD74*VLOOKUP('Données projet'!$B$11,Paramètres!$A$1:$I$89,3,0)*VLOOKUP('Données projet'!$B$11,Paramètres!$A$1:$I$89,5,0)</f>
        <v>181.53599999999997</v>
      </c>
      <c r="BF74" s="14">
        <f t="shared" si="91"/>
        <v>45.663748686335545</v>
      </c>
      <c r="BG74" s="22">
        <f t="shared" si="61"/>
        <v>395.70622896203434</v>
      </c>
      <c r="BH74" s="62">
        <f t="shared" si="62"/>
        <v>669.19407310390363</v>
      </c>
      <c r="BI74" s="62">
        <f ca="1">AVERAGE(OFFSET($BH$3,0,0,'Données projet'!$E$11+1,1))-AVERAGE(OFFSET($H$3,0,0,'Données projet'!$E$11+1,1))</f>
        <v>393.3005580838161</v>
      </c>
      <c r="BJ74" s="62">
        <f t="shared" si="92"/>
        <v>295.86019897822757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4.1799999999999953</v>
      </c>
      <c r="BY74" s="13">
        <f>IF('Données projet'!$A$114&gt;35,BY73+BX74-CG73,IF(A74&lt;'Données projet'!$A$114,$BV$205^A74,IF(A74='Données projet'!$A$114,'Données projet'!$B$114,BY73+BX74-CG73)))</f>
        <v>306.77999999999992</v>
      </c>
      <c r="BZ74" s="14">
        <f>BY74*VLOOKUP('Données projet'!$B$12,Paramètres!$A$1:$I$89,3,0)*VLOOKUP('Données projet'!$B$12,Paramètres!$A$1:$I$89,5,0)</f>
        <v>244.07416799999996</v>
      </c>
      <c r="CA74" s="14">
        <f t="shared" si="93"/>
        <v>59.315246950995579</v>
      </c>
      <c r="CB74" s="22">
        <f t="shared" si="64"/>
        <v>528.40323103965056</v>
      </c>
      <c r="CC74" s="62">
        <f t="shared" si="65"/>
        <v>801.89107518151991</v>
      </c>
      <c r="CD74" s="62">
        <f ca="1">AVERAGE(OFFSET($CC$3,0,0,'Données projet'!$E$12+1,1))-AVERAGE(OFFSET($H$3,0,0,'Données projet'!$E$12+1,1))</f>
        <v>388.52230330563884</v>
      </c>
      <c r="CE74" s="62">
        <f t="shared" si="94"/>
        <v>418.94833960687333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4.1799999999999953</v>
      </c>
      <c r="CT74" s="13">
        <f>IF('Données projet'!$A$140&gt;35,CT73+CS74-DB73,IF(A74&lt;'Données projet'!$A$140,$CQ$205^A74,IF(A74='Données projet'!$A$140,'Données projet'!$B$140,CT73+CS74-DB73)))</f>
        <v>306.77999999999992</v>
      </c>
      <c r="CU74" s="18">
        <f>CT74*VLOOKUP('Données projet'!$B$13,Paramètres!$A$1:$I$89,3,0)*VLOOKUP('Données projet'!$B$13,Paramètres!$A$1:$I$89,5,0)</f>
        <v>224.93109599999991</v>
      </c>
      <c r="CV74" s="14">
        <f t="shared" si="95"/>
        <v>55.185248501771945</v>
      </c>
      <c r="CW74" s="22">
        <f t="shared" si="67"/>
        <v>487.8693000072526</v>
      </c>
      <c r="CX74" s="62">
        <f t="shared" si="68"/>
        <v>761.35714414912195</v>
      </c>
      <c r="CY74" s="62">
        <f ca="1">AVERAGE(OFFSET($CX$3,0,0,'Données projet'!$E$13+1,1))-AVERAGE(OFFSET($H$3,0,0,'Données projet'!$E$13+1,1))</f>
        <v>362.38131866207266</v>
      </c>
      <c r="CZ74" s="62">
        <f t="shared" si="96"/>
        <v>390.74498763200336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190.39999999999995</v>
      </c>
      <c r="DP74" s="18">
        <f>DO74*VLOOKUP('Données projet'!$B$14,Paramètres!$A$1:$I$89,3,0)*VLOOKUP('Données projet'!$B$14,Paramètres!$A$1:$I$89,5,0)</f>
        <v>166.33343999999997</v>
      </c>
      <c r="DQ74" s="14">
        <f t="shared" si="97"/>
        <v>42.267796944897761</v>
      </c>
      <c r="DR74" s="22">
        <f t="shared" si="70"/>
        <v>363.31382101236346</v>
      </c>
      <c r="DS74" s="62">
        <f t="shared" si="71"/>
        <v>636.80166515423275</v>
      </c>
      <c r="DT74" s="62">
        <f ca="1">AVERAGE(OFFSET($DS$3,0,0,'Données projet'!$E$14+1,1))-AVERAGE(OFFSET($H$3,0,0,'Données projet'!$E$14+1,1))</f>
        <v>334.4692012109935</v>
      </c>
      <c r="DU74" s="62">
        <f t="shared" si="98"/>
        <v>316.360405424036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-3.4106051316484809E-13</v>
      </c>
      <c r="EK74" s="18">
        <f>EJ74*VLOOKUP('Données projet'!$B$15,Paramètres!$A$1:$I$89,3,0)*VLOOKUP('Données projet'!$B$15,Paramètres!$A$1:$I$89,5,0)</f>
        <v>-1.9065282685915009E-13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390.09289316045653</v>
      </c>
      <c r="EP74" s="62">
        <f t="shared" si="100"/>
        <v>364.34913542817617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2.3676588809396448</v>
      </c>
      <c r="EX74" s="23">
        <f>EXP(-LN(2)/2)*EX73+(1-EXP(-LN(2)/2))/(LN(2)/2)*ER74*EU74*VLOOKUP('Données projet'!$B$15,Paramètres!$A$1:$I$89,3,0)*0.475*44/12</f>
        <v>6.0573072422815379E-6</v>
      </c>
      <c r="EY74" s="24">
        <f t="shared" si="75"/>
        <v>2.3676649382468873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16.7</v>
      </c>
      <c r="FE74" s="13">
        <f>IF('Données projet'!$A$218&gt;35,FE73+FD74-FM73,IF(A74&lt;'Données projet'!$A$218,$FB$205^A74,IF(A74='Données projet'!$A$218,'Données projet'!$B$218,FE73+FD74-FM73)))</f>
        <v>447.5</v>
      </c>
      <c r="FF74" s="18">
        <f>FE74*VLOOKUP('Données projet'!$B$16,Paramètres!$A$1:$I$89,3,0)*VLOOKUP('Données projet'!$B$16,Paramètres!$A$1:$I$89,5,0)</f>
        <v>209.43</v>
      </c>
      <c r="FG74" s="14">
        <f t="shared" si="101"/>
        <v>51.811006660589165</v>
      </c>
      <c r="FH74" s="22">
        <f t="shared" si="76"/>
        <v>454.99475326719272</v>
      </c>
      <c r="FI74" s="62">
        <f t="shared" si="77"/>
        <v>728.48259740906201</v>
      </c>
      <c r="FJ74" s="62">
        <f ca="1">AVERAGE(OFFSET($FI$3,0,0,'Données projet'!$E$16+1,1))-AVERAGE(OFFSET($H$3,0,0,'Données projet'!$E$16+1,1))</f>
        <v>344.55118007058775</v>
      </c>
      <c r="FK74" s="62">
        <f t="shared" si="102"/>
        <v>144.16931602355001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>
        <f>FZ74*VLOOKUP('Données projet'!$B$17,Paramètres!$A$1:$I$89,3,0)*VLOOKUP('Données projet'!$B$17,Paramètres!$A$1:$I$89,5,0)</f>
        <v>0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252.60122125520482</v>
      </c>
      <c r="GF74" s="62">
        <f t="shared" si="104"/>
        <v>357.56833754121317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3.3033695224427415</v>
      </c>
      <c r="GN74" s="23">
        <f>EXP(-LN(2)/2)*GN73+(1-EXP(-LN(2)/2))/(LN(2)/2)*GH74*GK74*VLOOKUP('Données projet'!$B$17,Paramètres!$A$1:$I$89,3,0)*0.475*44/12</f>
        <v>1.113945918565661E-5</v>
      </c>
      <c r="GO74" s="23">
        <f t="shared" si="81"/>
        <v>3.3033806619019273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-1.1368683772161603E-13</v>
      </c>
      <c r="GV74" s="18">
        <f>GU74*VLOOKUP('Données projet'!$B$18,Paramètres!$A$1:$I$89,3,0)*VLOOKUP('Données projet'!$B$18,Paramètres!$A$1:$I$89,5,0)</f>
        <v>-9.2222762759774927E-14</v>
      </c>
      <c r="GW74" s="14" t="e">
        <f t="shared" si="105"/>
        <v>#NUM!</v>
      </c>
      <c r="GX74" s="22" t="e">
        <f t="shared" si="82"/>
        <v>#NUM!</v>
      </c>
      <c r="GY74" s="62" t="e">
        <f t="shared" si="83"/>
        <v>#NUM!</v>
      </c>
      <c r="GZ74" s="62">
        <f ca="1">AVERAGE(OFFSET($GY$3,0,0,'Données projet'!$E$18+1,1))-AVERAGE(OFFSET($H$3,0,0,'Données projet'!$E$18+1,1))</f>
        <v>268.57152522489537</v>
      </c>
      <c r="HA74" s="62">
        <f t="shared" si="106"/>
        <v>311.80303557283207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3.75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13.75</v>
      </c>
      <c r="H75" s="70">
        <f t="shared" si="56"/>
        <v>201.66666666666666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772.82477802911671</v>
      </c>
      <c r="S75" s="62">
        <f ca="1">AVERAGE(OFFSET($R$3,0,0,'Données projet'!$E$9+1,1))-AVERAGE(OFFSET($H$3,0,0,'Données projet'!$E$9+1,1))</f>
        <v>461.02780119093666</v>
      </c>
      <c r="T75" s="62">
        <f t="shared" si="88"/>
        <v>245.70016468438834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214.30655999999996</v>
      </c>
      <c r="AK75" s="14">
        <f t="shared" si="89"/>
        <v>52.875562666416783</v>
      </c>
      <c r="AL75" s="22">
        <f t="shared" si="58"/>
        <v>465.34219697734244</v>
      </c>
      <c r="AM75" s="62">
        <f t="shared" si="59"/>
        <v>739.17431598881649</v>
      </c>
      <c r="AN75" s="62">
        <f ca="1">AVERAGE(OFFSET($AM$3,0,0,'Données projet'!$E$10+1,1))-AVERAGE(OFFSET($H$3,0,0,'Données projet'!$E$10+1,1))</f>
        <v>434.22500776975596</v>
      </c>
      <c r="AO75" s="62">
        <f t="shared" si="90"/>
        <v>232.59777933076705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4.2307692307692264</v>
      </c>
      <c r="BD75" s="13">
        <f>IF('Données projet'!$A$88&gt;35,BD74+BC75-BL74,IF(A75&lt;'Données projet'!$A$88,$BA$205^A75,IF(A75='Données projet'!$A$88,'Données projet'!$B$88,BD74+BC75-BL74)))</f>
        <v>194.99999999999994</v>
      </c>
      <c r="BE75" s="14">
        <f>BD75*VLOOKUP('Données projet'!$B$11,Paramètres!$A$1:$I$89,3,0)*VLOOKUP('Données projet'!$B$11,Paramètres!$A$1:$I$89,5,0)</f>
        <v>185.56199999999995</v>
      </c>
      <c r="BF75" s="14">
        <f t="shared" si="91"/>
        <v>46.557428480028591</v>
      </c>
      <c r="BG75" s="22">
        <f t="shared" si="61"/>
        <v>404.27467126938308</v>
      </c>
      <c r="BH75" s="62">
        <f t="shared" si="62"/>
        <v>678.10679028085724</v>
      </c>
      <c r="BI75" s="62">
        <f ca="1">AVERAGE(OFFSET($BH$3,0,0,'Données projet'!$E$11+1,1))-AVERAGE(OFFSET($H$3,0,0,'Données projet'!$E$11+1,1))</f>
        <v>393.3005580838161</v>
      </c>
      <c r="BJ75" s="62">
        <f t="shared" si="92"/>
        <v>295.86019897822757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4.1799999999999953</v>
      </c>
      <c r="BY75" s="13">
        <f>IF('Données projet'!$A$114&gt;35,BY74+BX75-CG74,IF(A75&lt;'Données projet'!$A$114,$BV$205^A75,IF(A75='Données projet'!$A$114,'Données projet'!$B$114,BY74+BX75-CG74)))</f>
        <v>310.95999999999992</v>
      </c>
      <c r="BZ75" s="14">
        <f>BY75*VLOOKUP('Données projet'!$B$12,Paramètres!$A$1:$I$89,3,0)*VLOOKUP('Données projet'!$B$12,Paramètres!$A$1:$I$89,5,0)</f>
        <v>247.39977599999995</v>
      </c>
      <c r="CA75" s="14">
        <f t="shared" si="93"/>
        <v>60.028803657797908</v>
      </c>
      <c r="CB75" s="22">
        <f t="shared" si="64"/>
        <v>535.43810957066455</v>
      </c>
      <c r="CC75" s="62">
        <f t="shared" si="65"/>
        <v>809.27022858213866</v>
      </c>
      <c r="CD75" s="62">
        <f ca="1">AVERAGE(OFFSET($CC$3,0,0,'Données projet'!$E$12+1,1))-AVERAGE(OFFSET($H$3,0,0,'Données projet'!$E$12+1,1))</f>
        <v>388.52230330563884</v>
      </c>
      <c r="CE75" s="62">
        <f t="shared" si="94"/>
        <v>418.94833960687333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4.1799999999999953</v>
      </c>
      <c r="CT75" s="13">
        <f>IF('Données projet'!$A$140&gt;35,CT74+CS75-DB74,IF(A75&lt;'Données projet'!$A$140,$CQ$205^A75,IF(A75='Données projet'!$A$140,'Données projet'!$B$140,CT74+CS75-DB74)))</f>
        <v>310.95999999999992</v>
      </c>
      <c r="CU75" s="18">
        <f>CT75*VLOOKUP('Données projet'!$B$13,Paramètres!$A$1:$I$89,3,0)*VLOOKUP('Données projet'!$B$13,Paramètres!$A$1:$I$89,5,0)</f>
        <v>227.99587199999993</v>
      </c>
      <c r="CV75" s="14">
        <f t="shared" si="95"/>
        <v>55.849121725085425</v>
      </c>
      <c r="CW75" s="22">
        <f t="shared" si="67"/>
        <v>494.36336407119035</v>
      </c>
      <c r="CX75" s="62">
        <f t="shared" si="68"/>
        <v>768.1954830826644</v>
      </c>
      <c r="CY75" s="62">
        <f ca="1">AVERAGE(OFFSET($CX$3,0,0,'Données projet'!$E$13+1,1))-AVERAGE(OFFSET($H$3,0,0,'Données projet'!$E$13+1,1))</f>
        <v>362.38131866207266</v>
      </c>
      <c r="CZ75" s="62">
        <f t="shared" si="96"/>
        <v>390.74498763200336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193.79999999999995</v>
      </c>
      <c r="DP75" s="18">
        <f>DO75*VLOOKUP('Données projet'!$B$14,Paramètres!$A$1:$I$89,3,0)*VLOOKUP('Données projet'!$B$14,Paramètres!$A$1:$I$89,5,0)</f>
        <v>169.30367999999999</v>
      </c>
      <c r="DQ75" s="14">
        <f t="shared" si="97"/>
        <v>42.934033834973214</v>
      </c>
      <c r="DR75" s="22">
        <f t="shared" si="70"/>
        <v>369.64735159591163</v>
      </c>
      <c r="DS75" s="62">
        <f t="shared" si="71"/>
        <v>643.47947060738579</v>
      </c>
      <c r="DT75" s="62">
        <f ca="1">AVERAGE(OFFSET($DS$3,0,0,'Données projet'!$E$14+1,1))-AVERAGE(OFFSET($H$3,0,0,'Données projet'!$E$14+1,1))</f>
        <v>334.4692012109935</v>
      </c>
      <c r="DU75" s="62">
        <f t="shared" si="98"/>
        <v>316.360405424036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-3.4106051316484809E-13</v>
      </c>
      <c r="EK75" s="18">
        <f>EJ75*VLOOKUP('Données projet'!$B$15,Paramètres!$A$1:$I$89,3,0)*VLOOKUP('Données projet'!$B$15,Paramètres!$A$1:$I$89,5,0)</f>
        <v>-1.9065282685915009E-13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390.09289316045653</v>
      </c>
      <c r="EP75" s="62">
        <f t="shared" si="100"/>
        <v>364.34913542817617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2.302915124330581</v>
      </c>
      <c r="EX75" s="23">
        <f>EXP(-LN(2)/2)*EX74+(1-EXP(-LN(2)/2))/(LN(2)/2)*ER75*EU75*VLOOKUP('Données projet'!$B$15,Paramètres!$A$1:$I$89,3,0)*0.475*44/12</f>
        <v>4.283163026747661E-6</v>
      </c>
      <c r="EY75" s="24">
        <f t="shared" si="75"/>
        <v>2.3029194074936079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16.7</v>
      </c>
      <c r="FE75" s="13">
        <f>IF('Données projet'!$A$218&gt;35,FE74+FD75-FM74,IF(A75&lt;'Données projet'!$A$218,$FB$205^A75,IF(A75='Données projet'!$A$218,'Données projet'!$B$218,FE74+FD75-FM74)))</f>
        <v>464.2</v>
      </c>
      <c r="FF75" s="18">
        <f>FE75*VLOOKUP('Données projet'!$B$16,Paramètres!$A$1:$I$89,3,0)*VLOOKUP('Données projet'!$B$16,Paramètres!$A$1:$I$89,5,0)</f>
        <v>217.2456</v>
      </c>
      <c r="FG75" s="14">
        <f t="shared" si="101"/>
        <v>53.515792225077334</v>
      </c>
      <c r="FH75" s="22">
        <f t="shared" si="76"/>
        <v>471.57609145867627</v>
      </c>
      <c r="FI75" s="62">
        <f t="shared" si="77"/>
        <v>745.40821047015038</v>
      </c>
      <c r="FJ75" s="62">
        <f ca="1">AVERAGE(OFFSET($FI$3,0,0,'Données projet'!$E$16+1,1))-AVERAGE(OFFSET($H$3,0,0,'Données projet'!$E$16+1,1))</f>
        <v>344.55118007058775</v>
      </c>
      <c r="FK75" s="62">
        <f t="shared" si="102"/>
        <v>144.16931602355001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>
        <f>FZ75*VLOOKUP('Données projet'!$B$17,Paramètres!$A$1:$I$89,3,0)*VLOOKUP('Données projet'!$B$17,Paramètres!$A$1:$I$89,5,0)</f>
        <v>0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252.60122125520482</v>
      </c>
      <c r="GF75" s="62">
        <f t="shared" si="104"/>
        <v>357.56833754121317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3.2130387091348913</v>
      </c>
      <c r="GN75" s="23">
        <f>EXP(-LN(2)/2)*GN74+(1-EXP(-LN(2)/2))/(LN(2)/2)*GH75*GK75*VLOOKUP('Données projet'!$B$17,Paramètres!$A$1:$I$89,3,0)*0.475*44/12</f>
        <v>7.8767871289285654E-6</v>
      </c>
      <c r="GO75" s="23">
        <f t="shared" si="81"/>
        <v>3.2130465859220201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-1.1368683772161603E-13</v>
      </c>
      <c r="GV75" s="18">
        <f>GU75*VLOOKUP('Données projet'!$B$18,Paramètres!$A$1:$I$89,3,0)*VLOOKUP('Données projet'!$B$18,Paramètres!$A$1:$I$89,5,0)</f>
        <v>-9.2222762759774927E-14</v>
      </c>
      <c r="GW75" s="14" t="e">
        <f t="shared" si="105"/>
        <v>#NUM!</v>
      </c>
      <c r="GX75" s="22" t="e">
        <f t="shared" si="82"/>
        <v>#NUM!</v>
      </c>
      <c r="GY75" s="62" t="e">
        <f t="shared" si="83"/>
        <v>#NUM!</v>
      </c>
      <c r="GZ75" s="62">
        <f ca="1">AVERAGE(OFFSET($GY$3,0,0,'Données projet'!$E$18+1,1))-AVERAGE(OFFSET($H$3,0,0,'Données projet'!$E$18+1,1))</f>
        <v>268.57152522489537</v>
      </c>
      <c r="HA75" s="62">
        <f t="shared" si="106"/>
        <v>311.80303557283207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3.75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13.75</v>
      </c>
      <c r="H76" s="70">
        <f t="shared" si="56"/>
        <v>201.66666666666666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785.04282378495373</v>
      </c>
      <c r="S76" s="62">
        <f ca="1">AVERAGE(OFFSET($R$3,0,0,'Données projet'!$E$9+1,1))-AVERAGE(OFFSET($H$3,0,0,'Données projet'!$E$9+1,1))</f>
        <v>461.02780119093666</v>
      </c>
      <c r="T76" s="62">
        <f t="shared" si="88"/>
        <v>245.70016468438834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219.52943999999994</v>
      </c>
      <c r="AK76" s="14">
        <f t="shared" si="89"/>
        <v>54.012599087881227</v>
      </c>
      <c r="AL76" s="22">
        <f t="shared" si="58"/>
        <v>476.41905141139301</v>
      </c>
      <c r="AM76" s="62">
        <f t="shared" si="59"/>
        <v>750.58947289316768</v>
      </c>
      <c r="AN76" s="62">
        <f ca="1">AVERAGE(OFFSET($AM$3,0,0,'Données projet'!$E$10+1,1))-AVERAGE(OFFSET($H$3,0,0,'Données projet'!$E$10+1,1))</f>
        <v>434.22500776975596</v>
      </c>
      <c r="AO76" s="62">
        <f t="shared" si="90"/>
        <v>232.59777933076705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4.2307692307692264</v>
      </c>
      <c r="BD76" s="13">
        <f>IF('Données projet'!$A$88&gt;35,BD75+BC76-BL75,IF(A76&lt;'Données projet'!$A$88,$BA$205^A76,IF(A76='Données projet'!$A$88,'Données projet'!$B$88,BD75+BC76-BL75)))</f>
        <v>199.23076923076917</v>
      </c>
      <c r="BE76" s="14">
        <f>BD76*VLOOKUP('Données projet'!$B$11,Paramètres!$A$1:$I$89,3,0)*VLOOKUP('Données projet'!$B$11,Paramètres!$A$1:$I$89,5,0)</f>
        <v>189.58799999999994</v>
      </c>
      <c r="BF76" s="14">
        <f t="shared" si="91"/>
        <v>47.44885399619001</v>
      </c>
      <c r="BG76" s="22">
        <f t="shared" si="61"/>
        <v>412.83918737669751</v>
      </c>
      <c r="BH76" s="62">
        <f t="shared" si="62"/>
        <v>687.00960885847212</v>
      </c>
      <c r="BI76" s="62">
        <f ca="1">AVERAGE(OFFSET($BH$3,0,0,'Données projet'!$E$11+1,1))-AVERAGE(OFFSET($H$3,0,0,'Données projet'!$E$11+1,1))</f>
        <v>393.3005580838161</v>
      </c>
      <c r="BJ76" s="62">
        <f t="shared" si="92"/>
        <v>295.86019897822757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4.1799999999999953</v>
      </c>
      <c r="BY76" s="13">
        <f>IF('Données projet'!$A$114&gt;35,BY75+BX76-CG75,IF(A76&lt;'Données projet'!$A$114,$BV$205^A76,IF(A76='Données projet'!$A$114,'Données projet'!$B$114,BY75+BX76-CG75)))</f>
        <v>315.13999999999993</v>
      </c>
      <c r="BZ76" s="14">
        <f>BY76*VLOOKUP('Données projet'!$B$12,Paramètres!$A$1:$I$89,3,0)*VLOOKUP('Données projet'!$B$12,Paramètres!$A$1:$I$89,5,0)</f>
        <v>250.72538399999993</v>
      </c>
      <c r="CA76" s="14">
        <f t="shared" si="93"/>
        <v>60.741244716227833</v>
      </c>
      <c r="CB76" s="22">
        <f t="shared" si="64"/>
        <v>542.47104501409672</v>
      </c>
      <c r="CC76" s="62">
        <f t="shared" si="65"/>
        <v>816.64146649587133</v>
      </c>
      <c r="CD76" s="62">
        <f ca="1">AVERAGE(OFFSET($CC$3,0,0,'Données projet'!$E$12+1,1))-AVERAGE(OFFSET($H$3,0,0,'Données projet'!$E$12+1,1))</f>
        <v>388.52230330563884</v>
      </c>
      <c r="CE76" s="62">
        <f t="shared" si="94"/>
        <v>418.94833960687333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4.1799999999999953</v>
      </c>
      <c r="CT76" s="13">
        <f>IF('Données projet'!$A$140&gt;35,CT75+CS76-DB75,IF(A76&lt;'Données projet'!$A$140,$CQ$205^A76,IF(A76='Données projet'!$A$140,'Données projet'!$B$140,CT75+CS76-DB75)))</f>
        <v>315.13999999999993</v>
      </c>
      <c r="CU76" s="18">
        <f>CT76*VLOOKUP('Données projet'!$B$13,Paramètres!$A$1:$I$89,3,0)*VLOOKUP('Données projet'!$B$13,Paramètres!$A$1:$I$89,5,0)</f>
        <v>231.06064799999993</v>
      </c>
      <c r="CV76" s="14">
        <f t="shared" si="95"/>
        <v>56.511956980324314</v>
      </c>
      <c r="CW76" s="22">
        <f t="shared" si="67"/>
        <v>500.85562034073132</v>
      </c>
      <c r="CX76" s="62">
        <f t="shared" si="68"/>
        <v>775.02604182250593</v>
      </c>
      <c r="CY76" s="62">
        <f ca="1">AVERAGE(OFFSET($CX$3,0,0,'Données projet'!$E$13+1,1))-AVERAGE(OFFSET($H$3,0,0,'Données projet'!$E$13+1,1))</f>
        <v>362.38131866207266</v>
      </c>
      <c r="CZ76" s="62">
        <f t="shared" si="96"/>
        <v>390.74498763200336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197.19999999999996</v>
      </c>
      <c r="DP76" s="18">
        <f>DO76*VLOOKUP('Données projet'!$B$14,Paramètres!$A$1:$I$89,3,0)*VLOOKUP('Données projet'!$B$14,Paramètres!$A$1:$I$89,5,0)</f>
        <v>172.27391999999998</v>
      </c>
      <c r="DQ76" s="14">
        <f t="shared" si="97"/>
        <v>43.598911513699605</v>
      </c>
      <c r="DR76" s="22">
        <f t="shared" si="70"/>
        <v>375.97851488636002</v>
      </c>
      <c r="DS76" s="62">
        <f t="shared" si="71"/>
        <v>650.14893636813463</v>
      </c>
      <c r="DT76" s="62">
        <f ca="1">AVERAGE(OFFSET($DS$3,0,0,'Données projet'!$E$14+1,1))-AVERAGE(OFFSET($H$3,0,0,'Données projet'!$E$14+1,1))</f>
        <v>334.4692012109935</v>
      </c>
      <c r="DU76" s="62">
        <f t="shared" si="98"/>
        <v>316.360405424036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-3.4106051316484809E-13</v>
      </c>
      <c r="EK76" s="18">
        <f>EJ76*VLOOKUP('Données projet'!$B$15,Paramètres!$A$1:$I$89,3,0)*VLOOKUP('Données projet'!$B$15,Paramètres!$A$1:$I$89,5,0)</f>
        <v>-1.9065282685915009E-13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390.09289316045653</v>
      </c>
      <c r="EP76" s="62">
        <f t="shared" si="100"/>
        <v>364.34913542817617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2.2399417891507181</v>
      </c>
      <c r="EX76" s="23">
        <f>EXP(-LN(2)/2)*EX75+(1-EXP(-LN(2)/2))/(LN(2)/2)*ER76*EU76*VLOOKUP('Données projet'!$B$15,Paramètres!$A$1:$I$89,3,0)*0.475*44/12</f>
        <v>3.0286536211407689E-6</v>
      </c>
      <c r="EY76" s="24">
        <f t="shared" si="75"/>
        <v>2.2399448178043393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16.7</v>
      </c>
      <c r="FE76" s="13">
        <f>IF('Données projet'!$A$218&gt;35,FE75+FD76-FM75,IF(A76&lt;'Données projet'!$A$218,$FB$205^A76,IF(A76='Données projet'!$A$218,'Données projet'!$B$218,FE75+FD76-FM75)))</f>
        <v>480.9</v>
      </c>
      <c r="FF76" s="18">
        <f>FE76*VLOOKUP('Données projet'!$B$16,Paramètres!$A$1:$I$89,3,0)*VLOOKUP('Données projet'!$B$16,Paramètres!$A$1:$I$89,5,0)</f>
        <v>225.06120000000001</v>
      </c>
      <c r="FG76" s="14">
        <f t="shared" si="101"/>
        <v>55.213452146942849</v>
      </c>
      <c r="FH76" s="22">
        <f t="shared" si="76"/>
        <v>488.14501915592547</v>
      </c>
      <c r="FI76" s="62">
        <f t="shared" si="77"/>
        <v>762.31544063770014</v>
      </c>
      <c r="FJ76" s="62">
        <f ca="1">AVERAGE(OFFSET($FI$3,0,0,'Données projet'!$E$16+1,1))-AVERAGE(OFFSET($H$3,0,0,'Données projet'!$E$16+1,1))</f>
        <v>344.55118007058775</v>
      </c>
      <c r="FK76" s="62">
        <f t="shared" si="102"/>
        <v>144.16931602355001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>
        <f>FZ76*VLOOKUP('Données projet'!$B$17,Paramètres!$A$1:$I$89,3,0)*VLOOKUP('Données projet'!$B$17,Paramètres!$A$1:$I$89,5,0)</f>
        <v>0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252.60122125520482</v>
      </c>
      <c r="GF76" s="62">
        <f t="shared" si="104"/>
        <v>357.56833754121317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3.1251779966672353</v>
      </c>
      <c r="GN76" s="23">
        <f>EXP(-LN(2)/2)*GN75+(1-EXP(-LN(2)/2))/(LN(2)/2)*GH76*GK76*VLOOKUP('Données projet'!$B$17,Paramètres!$A$1:$I$89,3,0)*0.475*44/12</f>
        <v>5.569729592828305E-6</v>
      </c>
      <c r="GO76" s="23">
        <f t="shared" si="81"/>
        <v>3.1251835663968279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-1.1368683772161603E-13</v>
      </c>
      <c r="GV76" s="18">
        <f>GU76*VLOOKUP('Données projet'!$B$18,Paramètres!$A$1:$I$89,3,0)*VLOOKUP('Données projet'!$B$18,Paramètres!$A$1:$I$89,5,0)</f>
        <v>-9.2222762759774927E-14</v>
      </c>
      <c r="GW76" s="14" t="e">
        <f t="shared" si="105"/>
        <v>#NUM!</v>
      </c>
      <c r="GX76" s="22" t="e">
        <f t="shared" si="82"/>
        <v>#NUM!</v>
      </c>
      <c r="GY76" s="62" t="e">
        <f t="shared" si="83"/>
        <v>#NUM!</v>
      </c>
      <c r="GZ76" s="62">
        <f ca="1">AVERAGE(OFFSET($GY$3,0,0,'Données projet'!$E$18+1,1))-AVERAGE(OFFSET($H$3,0,0,'Données projet'!$E$18+1,1))</f>
        <v>268.57152522489537</v>
      </c>
      <c r="HA76" s="62">
        <f t="shared" si="106"/>
        <v>311.80303557283207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3.75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13.75</v>
      </c>
      <c r="H77" s="70">
        <f t="shared" si="56"/>
        <v>201.66666666666666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797.24916665262049</v>
      </c>
      <c r="S77" s="62">
        <f ca="1">AVERAGE(OFFSET($R$3,0,0,'Données projet'!$E$9+1,1))-AVERAGE(OFFSET($H$3,0,0,'Données projet'!$E$9+1,1))</f>
        <v>461.02780119093666</v>
      </c>
      <c r="T77" s="62">
        <f t="shared" si="88"/>
        <v>245.70016468438834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224.75231999999991</v>
      </c>
      <c r="AK77" s="14">
        <f t="shared" si="89"/>
        <v>55.146490754971083</v>
      </c>
      <c r="AL77" s="22">
        <f t="shared" si="58"/>
        <v>487.49042873157447</v>
      </c>
      <c r="AM77" s="62">
        <f t="shared" si="59"/>
        <v>761.99328389212087</v>
      </c>
      <c r="AN77" s="62">
        <f ca="1">AVERAGE(OFFSET($AM$3,0,0,'Données projet'!$E$10+1,1))-AVERAGE(OFFSET($H$3,0,0,'Données projet'!$E$10+1,1))</f>
        <v>434.22500776975596</v>
      </c>
      <c r="AO77" s="62">
        <f t="shared" si="90"/>
        <v>232.59777933076705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4.2307692307692264</v>
      </c>
      <c r="BD77" s="13">
        <f>IF('Données projet'!$A$88&gt;35,BD76+BC77-BL76,IF(A77&lt;'Données projet'!$A$88,$BA$205^A77,IF(A77='Données projet'!$A$88,'Données projet'!$B$88,BD76+BC77-BL76)))</f>
        <v>203.4615384615384</v>
      </c>
      <c r="BE77" s="14">
        <f>BD77*VLOOKUP('Données projet'!$B$11,Paramètres!$A$1:$I$89,3,0)*VLOOKUP('Données projet'!$B$11,Paramètres!$A$1:$I$89,5,0)</f>
        <v>193.61399999999995</v>
      </c>
      <c r="BF77" s="14">
        <f t="shared" si="91"/>
        <v>48.338078619840999</v>
      </c>
      <c r="BG77" s="22">
        <f t="shared" si="61"/>
        <v>421.39987026288964</v>
      </c>
      <c r="BH77" s="62">
        <f t="shared" si="62"/>
        <v>695.9027254234361</v>
      </c>
      <c r="BI77" s="62">
        <f ca="1">AVERAGE(OFFSET($BH$3,0,0,'Données projet'!$E$11+1,1))-AVERAGE(OFFSET($H$3,0,0,'Données projet'!$E$11+1,1))</f>
        <v>393.3005580838161</v>
      </c>
      <c r="BJ77" s="62">
        <f t="shared" si="92"/>
        <v>295.86019897822757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4.1799999999999953</v>
      </c>
      <c r="BY77" s="13">
        <f>IF('Données projet'!$A$114&gt;35,BY76+BX77-CG76,IF(A77&lt;'Données projet'!$A$114,$BV$205^A77,IF(A77='Données projet'!$A$114,'Données projet'!$B$114,BY76+BX77-CG76)))</f>
        <v>319.31999999999994</v>
      </c>
      <c r="BZ77" s="14">
        <f>BY77*VLOOKUP('Données projet'!$B$12,Paramètres!$A$1:$I$89,3,0)*VLOOKUP('Données projet'!$B$12,Paramètres!$A$1:$I$89,5,0)</f>
        <v>254.05099199999995</v>
      </c>
      <c r="CA77" s="14">
        <f t="shared" si="93"/>
        <v>61.45258663488832</v>
      </c>
      <c r="CB77" s="22">
        <f t="shared" si="64"/>
        <v>549.50206612243039</v>
      </c>
      <c r="CC77" s="62">
        <f t="shared" si="65"/>
        <v>824.00492128297674</v>
      </c>
      <c r="CD77" s="62">
        <f ca="1">AVERAGE(OFFSET($CC$3,0,0,'Données projet'!$E$12+1,1))-AVERAGE(OFFSET($H$3,0,0,'Données projet'!$E$12+1,1))</f>
        <v>388.52230330563884</v>
      </c>
      <c r="CE77" s="62">
        <f t="shared" si="94"/>
        <v>418.94833960687333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4.1799999999999953</v>
      </c>
      <c r="CT77" s="13">
        <f>IF('Données projet'!$A$140&gt;35,CT76+CS77-DB76,IF(A77&lt;'Données projet'!$A$140,$CQ$205^A77,IF(A77='Données projet'!$A$140,'Données projet'!$B$140,CT76+CS77-DB76)))</f>
        <v>319.31999999999994</v>
      </c>
      <c r="CU77" s="18">
        <f>CT77*VLOOKUP('Données projet'!$B$13,Paramètres!$A$1:$I$89,3,0)*VLOOKUP('Données projet'!$B$13,Paramètres!$A$1:$I$89,5,0)</f>
        <v>234.12542399999995</v>
      </c>
      <c r="CV77" s="14">
        <f t="shared" si="95"/>
        <v>57.173769626631554</v>
      </c>
      <c r="CW77" s="22">
        <f t="shared" si="67"/>
        <v>507.34609556638321</v>
      </c>
      <c r="CX77" s="62">
        <f t="shared" si="68"/>
        <v>781.84895072692962</v>
      </c>
      <c r="CY77" s="62">
        <f ca="1">AVERAGE(OFFSET($CX$3,0,0,'Données projet'!$E$13+1,1))-AVERAGE(OFFSET($H$3,0,0,'Données projet'!$E$13+1,1))</f>
        <v>362.38131866207266</v>
      </c>
      <c r="CZ77" s="62">
        <f t="shared" si="96"/>
        <v>390.74498763200336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200.59999999999997</v>
      </c>
      <c r="DP77" s="18">
        <f>DO77*VLOOKUP('Données projet'!$B$14,Paramètres!$A$1:$I$89,3,0)*VLOOKUP('Données projet'!$B$14,Paramètres!$A$1:$I$89,5,0)</f>
        <v>175.24415999999999</v>
      </c>
      <c r="DQ77" s="14">
        <f t="shared" si="97"/>
        <v>44.262456119927037</v>
      </c>
      <c r="DR77" s="22">
        <f t="shared" si="70"/>
        <v>382.30735640887292</v>
      </c>
      <c r="DS77" s="62">
        <f t="shared" si="71"/>
        <v>656.81021156941938</v>
      </c>
      <c r="DT77" s="62">
        <f ca="1">AVERAGE(OFFSET($DS$3,0,0,'Données projet'!$E$14+1,1))-AVERAGE(OFFSET($H$3,0,0,'Données projet'!$E$14+1,1))</f>
        <v>334.4692012109935</v>
      </c>
      <c r="DU77" s="62">
        <f t="shared" si="98"/>
        <v>316.360405424036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-3.4106051316484809E-13</v>
      </c>
      <c r="EK77" s="18">
        <f>EJ77*VLOOKUP('Données projet'!$B$15,Paramètres!$A$1:$I$89,3,0)*VLOOKUP('Données projet'!$B$15,Paramètres!$A$1:$I$89,5,0)</f>
        <v>-1.9065282685915009E-13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390.09289316045653</v>
      </c>
      <c r="EP77" s="62">
        <f t="shared" si="100"/>
        <v>364.34913542817617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2.1786904631329724</v>
      </c>
      <c r="EX77" s="23">
        <f>EXP(-LN(2)/2)*EX76+(1-EXP(-LN(2)/2))/(LN(2)/2)*ER77*EU77*VLOOKUP('Données projet'!$B$15,Paramètres!$A$1:$I$89,3,0)*0.475*44/12</f>
        <v>2.1415815133738305E-6</v>
      </c>
      <c r="EY77" s="24">
        <f t="shared" si="75"/>
        <v>2.1786926047144859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16.7</v>
      </c>
      <c r="FE77" s="13">
        <f>IF('Données projet'!$A$218&gt;35,FE76+FD77-FM76,IF(A77&lt;'Données projet'!$A$218,$FB$205^A77,IF(A77='Données projet'!$A$218,'Données projet'!$B$218,FE76+FD77-FM76)))</f>
        <v>497.59999999999997</v>
      </c>
      <c r="FF77" s="18">
        <f>FE77*VLOOKUP('Données projet'!$B$16,Paramètres!$A$1:$I$89,3,0)*VLOOKUP('Données projet'!$B$16,Paramètres!$A$1:$I$89,5,0)</f>
        <v>232.87679999999997</v>
      </c>
      <c r="FG77" s="14">
        <f t="shared" si="101"/>
        <v>56.904262233361948</v>
      </c>
      <c r="FH77" s="22">
        <f t="shared" si="76"/>
        <v>504.70201672310532</v>
      </c>
      <c r="FI77" s="62">
        <f t="shared" si="77"/>
        <v>779.20487188365178</v>
      </c>
      <c r="FJ77" s="62">
        <f ca="1">AVERAGE(OFFSET($FI$3,0,0,'Données projet'!$E$16+1,1))-AVERAGE(OFFSET($H$3,0,0,'Données projet'!$E$16+1,1))</f>
        <v>344.55118007058775</v>
      </c>
      <c r="FK77" s="62">
        <f t="shared" si="102"/>
        <v>144.16931602355001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>
        <f>FZ77*VLOOKUP('Données projet'!$B$17,Paramètres!$A$1:$I$89,3,0)*VLOOKUP('Données projet'!$B$17,Paramètres!$A$1:$I$89,5,0)</f>
        <v>0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252.60122125520482</v>
      </c>
      <c r="GF77" s="62">
        <f t="shared" si="104"/>
        <v>357.56833754121317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3.0397198400024017</v>
      </c>
      <c r="GN77" s="23">
        <f>EXP(-LN(2)/2)*GN76+(1-EXP(-LN(2)/2))/(LN(2)/2)*GH77*GK77*VLOOKUP('Données projet'!$B$17,Paramètres!$A$1:$I$89,3,0)*0.475*44/12</f>
        <v>3.9383935644642827E-6</v>
      </c>
      <c r="GO77" s="23">
        <f t="shared" si="81"/>
        <v>3.0397237783959663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-1.1368683772161603E-13</v>
      </c>
      <c r="GV77" s="18">
        <f>GU77*VLOOKUP('Données projet'!$B$18,Paramètres!$A$1:$I$89,3,0)*VLOOKUP('Données projet'!$B$18,Paramètres!$A$1:$I$89,5,0)</f>
        <v>-9.2222762759774927E-14</v>
      </c>
      <c r="GW77" s="14" t="e">
        <f t="shared" si="105"/>
        <v>#NUM!</v>
      </c>
      <c r="GX77" s="22" t="e">
        <f t="shared" si="82"/>
        <v>#NUM!</v>
      </c>
      <c r="GY77" s="62" t="e">
        <f t="shared" si="83"/>
        <v>#NUM!</v>
      </c>
      <c r="GZ77" s="62">
        <f ca="1">AVERAGE(OFFSET($GY$3,0,0,'Données projet'!$E$18+1,1))-AVERAGE(OFFSET($H$3,0,0,'Données projet'!$E$18+1,1))</f>
        <v>268.57152522489537</v>
      </c>
      <c r="HA77" s="62">
        <f t="shared" si="106"/>
        <v>311.80303557283207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3.75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13.75</v>
      </c>
      <c r="H78" s="70">
        <f t="shared" si="56"/>
        <v>201.66666666666666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809.44405962139717</v>
      </c>
      <c r="S78" s="62">
        <f ca="1">AVERAGE(OFFSET($R$3,0,0,'Données projet'!$E$9+1,1))-AVERAGE(OFFSET($H$3,0,0,'Données projet'!$E$9+1,1))</f>
        <v>461.02780119093666</v>
      </c>
      <c r="T78" s="62">
        <f t="shared" si="88"/>
        <v>245.70016468438834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229.97519999999994</v>
      </c>
      <c r="AK78" s="14">
        <f t="shared" si="89"/>
        <v>56.277319157664266</v>
      </c>
      <c r="AL78" s="22">
        <f t="shared" si="58"/>
        <v>498.55647086626522</v>
      </c>
      <c r="AM78" s="62">
        <f t="shared" si="59"/>
        <v>773.3859927244672</v>
      </c>
      <c r="AN78" s="62">
        <f ca="1">AVERAGE(OFFSET($AM$3,0,0,'Données projet'!$E$10+1,1))-AVERAGE(OFFSET($H$3,0,0,'Données projet'!$E$10+1,1))</f>
        <v>434.22500776975596</v>
      </c>
      <c r="AO78" s="62">
        <f t="shared" si="90"/>
        <v>232.59777933076705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207.69230769230768</v>
      </c>
      <c r="BB78" s="13">
        <f>VLOOKUP(A78,'Données projet'!$A$87:$I$107,9,0)</f>
        <v>4.2307692307692264</v>
      </c>
      <c r="BC78" s="13">
        <f t="array" ref="BC78">INDEX(BB:BB,MIN(IF(ISNUMBER(BB78:BB274),ROW(BB78:BB274),"")))</f>
        <v>4.2307692307692264</v>
      </c>
      <c r="BD78" s="13">
        <f>IF('Données projet'!$A$88&gt;35,BD77+BC78-BL77,IF(A78&lt;'Données projet'!$A$88,$BA$205^A78,IF(A78='Données projet'!$A$88,'Données projet'!$B$88,BD77+BC78-BL77)))</f>
        <v>207.69230769230762</v>
      </c>
      <c r="BE78" s="14">
        <f>BD78*VLOOKUP('Données projet'!$B$11,Paramètres!$A$1:$I$89,3,0)*VLOOKUP('Données projet'!$B$11,Paramètres!$A$1:$I$89,5,0)</f>
        <v>197.63999999999993</v>
      </c>
      <c r="BF78" s="14">
        <f t="shared" si="91"/>
        <v>49.22515338895078</v>
      </c>
      <c r="BG78" s="22">
        <f t="shared" si="61"/>
        <v>429.95680881908919</v>
      </c>
      <c r="BH78" s="62">
        <f t="shared" si="62"/>
        <v>704.78633067729118</v>
      </c>
      <c r="BI78" s="62">
        <f ca="1">AVERAGE(OFFSET($BH$3,0,0,'Données projet'!$E$11+1,1))-AVERAGE(OFFSET($H$3,0,0,'Données projet'!$E$11+1,1))</f>
        <v>393.3005580838161</v>
      </c>
      <c r="BJ78" s="62">
        <f t="shared" si="92"/>
        <v>295.86019897822757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323.5</v>
      </c>
      <c r="BW78" s="13">
        <f>VLOOKUP(A78,'Données projet'!$A$113:$I$133,9,0)</f>
        <v>4.1799999999999953</v>
      </c>
      <c r="BX78" s="13">
        <f t="array" ref="BX78">INDEX(BW:BW,MIN(IF(ISNUMBER(BW78:BW274),ROW(BW78:BW274),"")))</f>
        <v>4.1799999999999953</v>
      </c>
      <c r="BY78" s="13">
        <f>IF('Données projet'!$A$114&gt;35,BY77+BX78-CG77,IF(A78&lt;'Données projet'!$A$114,$BV$205^A78,IF(A78='Données projet'!$A$114,'Données projet'!$B$114,BY77+BX78-CG77)))</f>
        <v>323.49999999999994</v>
      </c>
      <c r="BZ78" s="14">
        <f>BY78*VLOOKUP('Données projet'!$B$12,Paramètres!$A$1:$I$89,3,0)*VLOOKUP('Données projet'!$B$12,Paramètres!$A$1:$I$89,5,0)</f>
        <v>257.3766</v>
      </c>
      <c r="CA78" s="14">
        <f t="shared" si="93"/>
        <v>62.162845465331493</v>
      </c>
      <c r="CB78" s="22">
        <f t="shared" si="64"/>
        <v>556.53120085211901</v>
      </c>
      <c r="CC78" s="62">
        <f t="shared" si="65"/>
        <v>831.36072271032094</v>
      </c>
      <c r="CD78" s="62">
        <f ca="1">AVERAGE(OFFSET($CC$3,0,0,'Données projet'!$E$12+1,1))-AVERAGE(OFFSET($H$3,0,0,'Données projet'!$E$12+1,1))</f>
        <v>388.52230330563884</v>
      </c>
      <c r="CE78" s="62">
        <f t="shared" si="94"/>
        <v>418.94833960687333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323.5</v>
      </c>
      <c r="CR78" s="13">
        <f>VLOOKUP(A78,'Données projet'!$A$139:$I$159,9,0)</f>
        <v>4.1799999999999953</v>
      </c>
      <c r="CS78" s="13">
        <f t="array" ref="CS78">INDEX(CR:CR,MIN(IF(ISNUMBER(CR78:CR274),ROW(CR78:CR274),"")))</f>
        <v>4.1799999999999953</v>
      </c>
      <c r="CT78" s="13">
        <f>IF('Données projet'!$A$140&gt;35,CT77+CS78-DB77,IF(A78&lt;'Données projet'!$A$140,$CQ$205^A78,IF(A78='Données projet'!$A$140,'Données projet'!$B$140,CT77+CS78-DB77)))</f>
        <v>323.49999999999994</v>
      </c>
      <c r="CU78" s="18">
        <f>CT78*VLOOKUP('Données projet'!$B$13,Paramètres!$A$1:$I$89,3,0)*VLOOKUP('Données projet'!$B$13,Paramètres!$A$1:$I$89,5,0)</f>
        <v>237.19019999999995</v>
      </c>
      <c r="CV78" s="14">
        <f t="shared" si="95"/>
        <v>57.834574597922789</v>
      </c>
      <c r="CW78" s="22">
        <f t="shared" si="67"/>
        <v>513.83481575804865</v>
      </c>
      <c r="CX78" s="62">
        <f t="shared" si="68"/>
        <v>788.66433761625058</v>
      </c>
      <c r="CY78" s="62">
        <f ca="1">AVERAGE(OFFSET($CX$3,0,0,'Données projet'!$E$13+1,1))-AVERAGE(OFFSET($H$3,0,0,'Données projet'!$E$13+1,1))</f>
        <v>362.38131866207266</v>
      </c>
      <c r="CZ78" s="62">
        <f t="shared" si="96"/>
        <v>390.74498763200336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204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203.99999999999997</v>
      </c>
      <c r="DP78" s="18">
        <f>DO78*VLOOKUP('Données projet'!$B$14,Paramètres!$A$1:$I$89,3,0)*VLOOKUP('Données projet'!$B$14,Paramètres!$A$1:$I$89,5,0)</f>
        <v>178.21440000000001</v>
      </c>
      <c r="DQ78" s="14">
        <f t="shared" si="97"/>
        <v>44.924692855664368</v>
      </c>
      <c r="DR78" s="22">
        <f t="shared" si="70"/>
        <v>388.63392005694874</v>
      </c>
      <c r="DS78" s="62">
        <f t="shared" si="71"/>
        <v>663.46344191515072</v>
      </c>
      <c r="DT78" s="62">
        <f ca="1">AVERAGE(OFFSET($DS$3,0,0,'Données projet'!$E$14+1,1))-AVERAGE(OFFSET($H$3,0,0,'Données projet'!$E$14+1,1))</f>
        <v>334.4692012109935</v>
      </c>
      <c r="DU78" s="62">
        <f t="shared" si="98"/>
        <v>316.360405424036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-3.4106051316484809E-13</v>
      </c>
      <c r="EK78" s="18">
        <f>EJ78*VLOOKUP('Données projet'!$B$15,Paramètres!$A$1:$I$89,3,0)*VLOOKUP('Données projet'!$B$15,Paramètres!$A$1:$I$89,5,0)</f>
        <v>-1.9065282685915009E-13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390.09289316045653</v>
      </c>
      <c r="EP78" s="62">
        <f t="shared" si="100"/>
        <v>364.34913542817617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2.1191140578462493</v>
      </c>
      <c r="EX78" s="23">
        <f>EXP(-LN(2)/2)*EX77+(1-EXP(-LN(2)/2))/(LN(2)/2)*ER78*EU78*VLOOKUP('Données projet'!$B$15,Paramètres!$A$1:$I$89,3,0)*0.475*44/12</f>
        <v>1.5143268105703845E-6</v>
      </c>
      <c r="EY78" s="24">
        <f t="shared" si="75"/>
        <v>2.1191155721730599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16.7</v>
      </c>
      <c r="FE78" s="13">
        <f>IF('Données projet'!$A$218&gt;35,FE77+FD78-FM77,IF(A78&lt;'Données projet'!$A$218,$FB$205^A78,IF(A78='Données projet'!$A$218,'Données projet'!$B$218,FE77+FD78-FM77)))</f>
        <v>514.29999999999995</v>
      </c>
      <c r="FF78" s="18">
        <f>FE78*VLOOKUP('Données projet'!$B$16,Paramètres!$A$1:$I$89,3,0)*VLOOKUP('Données projet'!$B$16,Paramètres!$A$1:$I$89,5,0)</f>
        <v>240.69239999999996</v>
      </c>
      <c r="FG78" s="14">
        <f t="shared" si="101"/>
        <v>58.588478728331545</v>
      </c>
      <c r="FH78" s="22">
        <f t="shared" si="76"/>
        <v>521.247530451844</v>
      </c>
      <c r="FI78" s="62">
        <f t="shared" si="77"/>
        <v>796.07705231004593</v>
      </c>
      <c r="FJ78" s="62">
        <f ca="1">AVERAGE(OFFSET($FI$3,0,0,'Données projet'!$E$16+1,1))-AVERAGE(OFFSET($H$3,0,0,'Données projet'!$E$16+1,1))</f>
        <v>344.55118007058775</v>
      </c>
      <c r="FK78" s="62">
        <f t="shared" si="102"/>
        <v>144.16931602355001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>
        <f>FZ78*VLOOKUP('Données projet'!$B$17,Paramètres!$A$1:$I$89,3,0)*VLOOKUP('Données projet'!$B$17,Paramètres!$A$1:$I$89,5,0)</f>
        <v>0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252.60122125520482</v>
      </c>
      <c r="GF78" s="62">
        <f t="shared" si="104"/>
        <v>357.56833754121317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2.9565985411256168</v>
      </c>
      <c r="GN78" s="23">
        <f>EXP(-LN(2)/2)*GN77+(1-EXP(-LN(2)/2))/(LN(2)/2)*GH78*GK78*VLOOKUP('Données projet'!$B$17,Paramètres!$A$1:$I$89,3,0)*0.475*44/12</f>
        <v>2.7848647964141525E-6</v>
      </c>
      <c r="GO78" s="23">
        <f t="shared" si="81"/>
        <v>2.9566013259904134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-1.1368683772161603E-13</v>
      </c>
      <c r="GV78" s="18">
        <f>GU78*VLOOKUP('Données projet'!$B$18,Paramètres!$A$1:$I$89,3,0)*VLOOKUP('Données projet'!$B$18,Paramètres!$A$1:$I$89,5,0)</f>
        <v>-9.2222762759774927E-14</v>
      </c>
      <c r="GW78" s="14" t="e">
        <f t="shared" si="105"/>
        <v>#NUM!</v>
      </c>
      <c r="GX78" s="22" t="e">
        <f t="shared" si="82"/>
        <v>#NUM!</v>
      </c>
      <c r="GY78" s="62" t="e">
        <f t="shared" si="83"/>
        <v>#NUM!</v>
      </c>
      <c r="GZ78" s="62">
        <f ca="1">AVERAGE(OFFSET($GY$3,0,0,'Données projet'!$E$18+1,1))-AVERAGE(OFFSET($H$3,0,0,'Données projet'!$E$18+1,1))</f>
        <v>268.57152522489537</v>
      </c>
      <c r="HA78" s="62">
        <f t="shared" si="106"/>
        <v>311.80303557283207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3.75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13.75</v>
      </c>
      <c r="H79" s="70">
        <f t="shared" si="56"/>
        <v>201.66666666666666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2">
        <f t="shared" si="55"/>
        <v>740.57876104758179</v>
      </c>
      <c r="S79" s="62">
        <f ca="1">AVERAGE(OFFSET($R$3,0,0,'Données projet'!$E$9+1,1))-AVERAGE(OFFSET($H$3,0,0,'Données projet'!$E$9+1,1))</f>
        <v>461.02780119093666</v>
      </c>
      <c r="T79" s="62">
        <f t="shared" si="88"/>
        <v>245.70016468438834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236.89999999999986</v>
      </c>
      <c r="AJ79" s="14">
        <f>AI79*VLOOKUP('Données projet'!$B$10,Paramètres!$A$1:$I$89,3,0)*VLOOKUP('Données projet'!$B$10,Paramètres!$A$1:$I$89,5,0)</f>
        <v>199.56455999999989</v>
      </c>
      <c r="AK79" s="14">
        <f t="shared" si="89"/>
        <v>49.64845905700647</v>
      </c>
      <c r="AL79" s="22">
        <f t="shared" si="58"/>
        <v>434.04600819095276</v>
      </c>
      <c r="AM79" s="62">
        <f t="shared" si="59"/>
        <v>709.19652980992316</v>
      </c>
      <c r="AN79" s="62">
        <f ca="1">AVERAGE(OFFSET($AM$3,0,0,'Données projet'!$E$10+1,1))-AVERAGE(OFFSET($H$3,0,0,'Données projet'!$E$10+1,1))</f>
        <v>434.22500776975596</v>
      </c>
      <c r="AO79" s="62">
        <f t="shared" si="90"/>
        <v>232.59777933076705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3.974358974358978</v>
      </c>
      <c r="BD79" s="13">
        <f>IF('Données projet'!$A$88&gt;35,BD78+BC79-BL78,IF(A79&lt;'Données projet'!$A$88,$BA$205^A79,IF(A79='Données projet'!$A$88,'Données projet'!$B$88,BD78+BC79-BL78)))</f>
        <v>211.6666666666666</v>
      </c>
      <c r="BE79" s="14">
        <f>BD79*VLOOKUP('Données projet'!$B$11,Paramètres!$A$1:$I$89,3,0)*VLOOKUP('Données projet'!$B$11,Paramètres!$A$1:$I$89,5,0)</f>
        <v>201.42199999999994</v>
      </c>
      <c r="BF79" s="14">
        <f t="shared" si="91"/>
        <v>50.056551308279687</v>
      </c>
      <c r="BG79" s="22">
        <f t="shared" si="61"/>
        <v>437.99181019525372</v>
      </c>
      <c r="BH79" s="62">
        <f t="shared" si="62"/>
        <v>713.14233181422412</v>
      </c>
      <c r="BI79" s="62">
        <f ca="1">AVERAGE(OFFSET($BH$3,0,0,'Données projet'!$E$11+1,1))-AVERAGE(OFFSET($H$3,0,0,'Données projet'!$E$11+1,1))</f>
        <v>393.3005580838161</v>
      </c>
      <c r="BJ79" s="62">
        <f t="shared" si="92"/>
        <v>295.86019897822757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3.5600000000000023</v>
      </c>
      <c r="BY79" s="13">
        <f>IF('Données projet'!$A$114&gt;35,BY78+BX79-CG78,IF(A79&lt;'Données projet'!$A$114,$BV$205^A79,IF(A79='Données projet'!$A$114,'Données projet'!$B$114,BY78+BX79-CG78)))</f>
        <v>327.05999999999995</v>
      </c>
      <c r="BZ79" s="14">
        <f>BY79*VLOOKUP('Données projet'!$B$12,Paramètres!$A$1:$I$89,3,0)*VLOOKUP('Données projet'!$B$12,Paramètres!$A$1:$I$89,5,0)</f>
        <v>260.20893599999999</v>
      </c>
      <c r="CA79" s="14">
        <f t="shared" si="93"/>
        <v>62.766912585729685</v>
      </c>
      <c r="CB79" s="22">
        <f t="shared" si="64"/>
        <v>562.51626962014586</v>
      </c>
      <c r="CC79" s="62">
        <f t="shared" si="65"/>
        <v>837.66679123911626</v>
      </c>
      <c r="CD79" s="62">
        <f ca="1">AVERAGE(OFFSET($CC$3,0,0,'Données projet'!$E$12+1,1))-AVERAGE(OFFSET($H$3,0,0,'Données projet'!$E$12+1,1))</f>
        <v>388.52230330563884</v>
      </c>
      <c r="CE79" s="62">
        <f t="shared" si="94"/>
        <v>418.94833960687333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3.5600000000000023</v>
      </c>
      <c r="CT79" s="13">
        <f>IF('Données projet'!$A$140&gt;35,CT78+CS79-DB78,IF(A79&lt;'Données projet'!$A$140,$CQ$205^A79,IF(A79='Données projet'!$A$140,'Données projet'!$B$140,CT78+CS79-DB78)))</f>
        <v>327.05999999999995</v>
      </c>
      <c r="CU79" s="18">
        <f>CT79*VLOOKUP('Données projet'!$B$13,Paramètres!$A$1:$I$89,3,0)*VLOOKUP('Données projet'!$B$13,Paramètres!$A$1:$I$89,5,0)</f>
        <v>239.80039199999996</v>
      </c>
      <c r="CV79" s="14">
        <f t="shared" si="95"/>
        <v>58.396581769172833</v>
      </c>
      <c r="CW79" s="22">
        <f t="shared" si="67"/>
        <v>519.35972931464255</v>
      </c>
      <c r="CX79" s="62">
        <f t="shared" si="68"/>
        <v>794.51025093361295</v>
      </c>
      <c r="CY79" s="62">
        <f ca="1">AVERAGE(OFFSET($CX$3,0,0,'Données projet'!$E$13+1,1))-AVERAGE(OFFSET($H$3,0,0,'Données projet'!$E$13+1,1))</f>
        <v>362.38131866207266</v>
      </c>
      <c r="CZ79" s="62">
        <f t="shared" si="96"/>
        <v>390.74498763200336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3.2</v>
      </c>
      <c r="DO79" s="13">
        <f>IF('Données projet'!$A$166&gt;35,DO78+DN79-DW78,IF(A79&lt;'Données projet'!$A$166,$DL$205^A79,IF(A79='Données projet'!$A$166,'Données projet'!$B$166,DO78+DN79-DW78)))</f>
        <v>207.19999999999996</v>
      </c>
      <c r="DP79" s="18">
        <f>DO79*VLOOKUP('Données projet'!$B$14,Paramètres!$A$1:$I$89,3,0)*VLOOKUP('Données projet'!$B$14,Paramètres!$A$1:$I$89,5,0)</f>
        <v>181.00991999999997</v>
      </c>
      <c r="DQ79" s="14">
        <f t="shared" si="97"/>
        <v>45.546801542636274</v>
      </c>
      <c r="DR79" s="22">
        <f t="shared" si="70"/>
        <v>394.58629002009144</v>
      </c>
      <c r="DS79" s="62">
        <f t="shared" si="71"/>
        <v>669.7368116390619</v>
      </c>
      <c r="DT79" s="62">
        <f ca="1">AVERAGE(OFFSET($DS$3,0,0,'Données projet'!$E$14+1,1))-AVERAGE(OFFSET($H$3,0,0,'Données projet'!$E$14+1,1))</f>
        <v>334.4692012109935</v>
      </c>
      <c r="DU79" s="62">
        <f t="shared" si="98"/>
        <v>316.360405424036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-3.4106051316484809E-13</v>
      </c>
      <c r="EK79" s="18">
        <f>EJ79*VLOOKUP('Données projet'!$B$15,Paramètres!$A$1:$I$89,3,0)*VLOOKUP('Données projet'!$B$15,Paramètres!$A$1:$I$89,5,0)</f>
        <v>-1.9065282685915009E-13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390.09289316045653</v>
      </c>
      <c r="EP79" s="62">
        <f t="shared" si="100"/>
        <v>364.34913542817617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2.0611667724950786</v>
      </c>
      <c r="EX79" s="23">
        <f>EXP(-LN(2)/2)*EX78+(1-EXP(-LN(2)/2))/(LN(2)/2)*ER79*EU79*VLOOKUP('Données projet'!$B$15,Paramètres!$A$1:$I$89,3,0)*0.475*44/12</f>
        <v>1.0707907566869152E-6</v>
      </c>
      <c r="EY79" s="24">
        <f t="shared" si="75"/>
        <v>2.0611678432858351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>
        <f>VLOOKUP(A79,'Données projet'!$A$217:$I$237,2,0)</f>
        <v>531</v>
      </c>
      <c r="FC79" s="13">
        <f>VLOOKUP(A79,'Données projet'!$A$217:$I$237,9,0)</f>
        <v>16.7</v>
      </c>
      <c r="FD79" s="13">
        <f t="array" ref="FD79">INDEX(FC:FC,MIN(IF(ISNUMBER(FC79:FC275),ROW(FC79:FC275),"")))</f>
        <v>16.7</v>
      </c>
      <c r="FE79" s="13">
        <f>IF('Données projet'!$A$218&gt;35,FE78+FD79-FM78,IF(A79&lt;'Données projet'!$A$218,$FB$205^A79,IF(A79='Données projet'!$A$218,'Données projet'!$B$218,FE78+FD79-FM78)))</f>
        <v>531</v>
      </c>
      <c r="FF79" s="18">
        <f>FE79*VLOOKUP('Données projet'!$B$16,Paramètres!$A$1:$I$89,3,0)*VLOOKUP('Données projet'!$B$16,Paramètres!$A$1:$I$89,5,0)</f>
        <v>248.50800000000001</v>
      </c>
      <c r="FG79" s="14">
        <f t="shared" si="101"/>
        <v>60.266340290019677</v>
      </c>
      <c r="FH79" s="22">
        <f t="shared" si="76"/>
        <v>537.7819760051176</v>
      </c>
      <c r="FI79" s="62">
        <f t="shared" si="77"/>
        <v>812.932497624088</v>
      </c>
      <c r="FJ79" s="62">
        <f ca="1">AVERAGE(OFFSET($FI$3,0,0,'Données projet'!$E$16+1,1))-AVERAGE(OFFSET($H$3,0,0,'Données projet'!$E$16+1,1))</f>
        <v>344.55118007058775</v>
      </c>
      <c r="FK79" s="62">
        <f t="shared" si="102"/>
        <v>144.16931602355001</v>
      </c>
      <c r="FL79" s="16">
        <f>IF(ISNA(VLOOKUP(A79,'Données projet'!$A$217:$I$237,3,0)),0,VLOOKUP(A79,'Données projet'!$A$217:$I$237,3,0))</f>
        <v>4</v>
      </c>
      <c r="FM79" s="16">
        <f>IF(ISNA(VLOOKUP(A79,'Données projet'!$A$217:$I$237,4,0)),0,VLOOKUP(A79,'Données projet'!$A$217:$I$237,4,0))</f>
        <v>106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>
        <f>FZ79*VLOOKUP('Données projet'!$B$17,Paramètres!$A$1:$I$89,3,0)*VLOOKUP('Données projet'!$B$17,Paramètres!$A$1:$I$89,5,0)</f>
        <v>0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252.60122125520482</v>
      </c>
      <c r="GF79" s="62">
        <f t="shared" si="104"/>
        <v>357.56833754121317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2.8757501985377769</v>
      </c>
      <c r="GN79" s="23">
        <f>EXP(-LN(2)/2)*GN78+(1-EXP(-LN(2)/2))/(LN(2)/2)*GH79*GK79*VLOOKUP('Données projet'!$B$17,Paramètres!$A$1:$I$89,3,0)*0.475*44/12</f>
        <v>1.9691967822321413E-6</v>
      </c>
      <c r="GO79" s="23">
        <f t="shared" si="81"/>
        <v>2.875752167734559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-1.1368683772161603E-13</v>
      </c>
      <c r="GV79" s="18">
        <f>GU79*VLOOKUP('Données projet'!$B$18,Paramètres!$A$1:$I$89,3,0)*VLOOKUP('Données projet'!$B$18,Paramètres!$A$1:$I$89,5,0)</f>
        <v>-9.2222762759774927E-14</v>
      </c>
      <c r="GW79" s="14" t="e">
        <f t="shared" si="105"/>
        <v>#NUM!</v>
      </c>
      <c r="GX79" s="22" t="e">
        <f t="shared" si="82"/>
        <v>#NUM!</v>
      </c>
      <c r="GY79" s="62" t="e">
        <f t="shared" si="83"/>
        <v>#NUM!</v>
      </c>
      <c r="GZ79" s="62">
        <f ca="1">AVERAGE(OFFSET($GY$3,0,0,'Données projet'!$E$18+1,1))-AVERAGE(OFFSET($H$3,0,0,'Données projet'!$E$18+1,1))</f>
        <v>268.57152522489537</v>
      </c>
      <c r="HA79" s="62">
        <f t="shared" si="106"/>
        <v>311.80303557283207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3.75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13.75</v>
      </c>
      <c r="H80" s="70">
        <f t="shared" si="56"/>
        <v>201.66666666666666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2">
        <f t="shared" si="55"/>
        <v>752.21576909313853</v>
      </c>
      <c r="S80" s="62">
        <f ca="1">AVERAGE(OFFSET($R$3,0,0,'Données projet'!$E$9+1,1))-AVERAGE(OFFSET($H$3,0,0,'Données projet'!$E$9+1,1))</f>
        <v>461.02780119093666</v>
      </c>
      <c r="T80" s="62">
        <f t="shared" si="88"/>
        <v>245.70016468438834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242.79999999999987</v>
      </c>
      <c r="AJ80" s="14">
        <f>AI80*VLOOKUP('Données projet'!$B$10,Paramètres!$A$1:$I$89,3,0)*VLOOKUP('Données projet'!$B$10,Paramètres!$A$1:$I$89,5,0)</f>
        <v>204.53471999999991</v>
      </c>
      <c r="AK80" s="14">
        <f t="shared" si="89"/>
        <v>50.739457784944797</v>
      </c>
      <c r="AL80" s="22">
        <f t="shared" si="58"/>
        <v>444.60252630877864</v>
      </c>
      <c r="AM80" s="62">
        <f t="shared" si="59"/>
        <v>720.06847906031624</v>
      </c>
      <c r="AN80" s="62">
        <f ca="1">AVERAGE(OFFSET($AM$3,0,0,'Données projet'!$E$10+1,1))-AVERAGE(OFFSET($H$3,0,0,'Données projet'!$E$10+1,1))</f>
        <v>434.22500776975596</v>
      </c>
      <c r="AO80" s="62">
        <f t="shared" si="90"/>
        <v>232.59777933076705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3.974358974358978</v>
      </c>
      <c r="BD80" s="13">
        <f>IF('Données projet'!$A$88&gt;35,BD79+BC80-BL79,IF(A80&lt;'Données projet'!$A$88,$BA$205^A80,IF(A80='Données projet'!$A$88,'Données projet'!$B$88,BD79+BC80-BL79)))</f>
        <v>215.64102564102558</v>
      </c>
      <c r="BE80" s="14">
        <f>BD80*VLOOKUP('Données projet'!$B$11,Paramètres!$A$1:$I$89,3,0)*VLOOKUP('Données projet'!$B$11,Paramètres!$A$1:$I$89,5,0)</f>
        <v>205.20399999999995</v>
      </c>
      <c r="BF80" s="14">
        <f t="shared" si="91"/>
        <v>50.886134008708602</v>
      </c>
      <c r="BG80" s="22">
        <f t="shared" si="61"/>
        <v>446.02365006516737</v>
      </c>
      <c r="BH80" s="62">
        <f t="shared" si="62"/>
        <v>721.48960281670497</v>
      </c>
      <c r="BI80" s="62">
        <f ca="1">AVERAGE(OFFSET($BH$3,0,0,'Données projet'!$E$11+1,1))-AVERAGE(OFFSET($H$3,0,0,'Données projet'!$E$11+1,1))</f>
        <v>393.3005580838161</v>
      </c>
      <c r="BJ80" s="62">
        <f t="shared" si="92"/>
        <v>295.86019897822757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3.5600000000000023</v>
      </c>
      <c r="BY80" s="13">
        <f>IF('Données projet'!$A$114&gt;35,BY79+BX80-CG79,IF(A80&lt;'Données projet'!$A$114,$BV$205^A80,IF(A80='Données projet'!$A$114,'Données projet'!$B$114,BY79+BX80-CG79)))</f>
        <v>330.61999999999995</v>
      </c>
      <c r="BZ80" s="14">
        <f>BY80*VLOOKUP('Données projet'!$B$12,Paramètres!$A$1:$I$89,3,0)*VLOOKUP('Données projet'!$B$12,Paramètres!$A$1:$I$89,5,0)</f>
        <v>263.04127199999994</v>
      </c>
      <c r="CA80" s="14">
        <f t="shared" si="93"/>
        <v>63.370214823641057</v>
      </c>
      <c r="CB80" s="22">
        <f t="shared" si="64"/>
        <v>568.50000621784136</v>
      </c>
      <c r="CC80" s="62">
        <f t="shared" si="65"/>
        <v>843.96595896937902</v>
      </c>
      <c r="CD80" s="62">
        <f ca="1">AVERAGE(OFFSET($CC$3,0,0,'Données projet'!$E$12+1,1))-AVERAGE(OFFSET($H$3,0,0,'Données projet'!$E$12+1,1))</f>
        <v>388.52230330563884</v>
      </c>
      <c r="CE80" s="62">
        <f t="shared" si="94"/>
        <v>418.94833960687333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3.5600000000000023</v>
      </c>
      <c r="CT80" s="13">
        <f>IF('Données projet'!$A$140&gt;35,CT79+CS80-DB79,IF(A80&lt;'Données projet'!$A$140,$CQ$205^A80,IF(A80='Données projet'!$A$140,'Données projet'!$B$140,CT79+CS80-DB79)))</f>
        <v>330.61999999999995</v>
      </c>
      <c r="CU80" s="18">
        <f>CT80*VLOOKUP('Données projet'!$B$13,Paramètres!$A$1:$I$89,3,0)*VLOOKUP('Données projet'!$B$13,Paramètres!$A$1:$I$89,5,0)</f>
        <v>242.41058399999997</v>
      </c>
      <c r="CV80" s="14">
        <f t="shared" si="95"/>
        <v>58.957877315127767</v>
      </c>
      <c r="CW80" s="22">
        <f t="shared" si="67"/>
        <v>524.88340345718075</v>
      </c>
      <c r="CX80" s="62">
        <f t="shared" si="68"/>
        <v>800.34935620871829</v>
      </c>
      <c r="CY80" s="62">
        <f ca="1">AVERAGE(OFFSET($CX$3,0,0,'Données projet'!$E$13+1,1))-AVERAGE(OFFSET($H$3,0,0,'Données projet'!$E$13+1,1))</f>
        <v>362.38131866207266</v>
      </c>
      <c r="CZ80" s="62">
        <f t="shared" si="96"/>
        <v>390.74498763200336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3.2</v>
      </c>
      <c r="DO80" s="13">
        <f>IF('Données projet'!$A$166&gt;35,DO79+DN80-DW79,IF(A80&lt;'Données projet'!$A$166,$DL$205^A80,IF(A80='Données projet'!$A$166,'Données projet'!$B$166,DO79+DN80-DW79)))</f>
        <v>210.39999999999995</v>
      </c>
      <c r="DP80" s="18">
        <f>DO80*VLOOKUP('Données projet'!$B$14,Paramètres!$A$1:$I$89,3,0)*VLOOKUP('Données projet'!$B$14,Paramètres!$A$1:$I$89,5,0)</f>
        <v>183.80543999999998</v>
      </c>
      <c r="DQ80" s="14">
        <f t="shared" si="97"/>
        <v>46.167792832806036</v>
      </c>
      <c r="DR80" s="22">
        <f t="shared" si="70"/>
        <v>400.53671385047045</v>
      </c>
      <c r="DS80" s="62">
        <f t="shared" si="71"/>
        <v>676.00266660200805</v>
      </c>
      <c r="DT80" s="62">
        <f ca="1">AVERAGE(OFFSET($DS$3,0,0,'Données projet'!$E$14+1,1))-AVERAGE(OFFSET($H$3,0,0,'Données projet'!$E$14+1,1))</f>
        <v>334.4692012109935</v>
      </c>
      <c r="DU80" s="62">
        <f t="shared" si="98"/>
        <v>316.360405424036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-3.4106051316484809E-13</v>
      </c>
      <c r="EK80" s="18">
        <f>EJ80*VLOOKUP('Données projet'!$B$15,Paramètres!$A$1:$I$89,3,0)*VLOOKUP('Données projet'!$B$15,Paramètres!$A$1:$I$89,5,0)</f>
        <v>-1.9065282685915009E-13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390.09289316045653</v>
      </c>
      <c r="EP80" s="62">
        <f t="shared" si="100"/>
        <v>364.34913542817617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2.0048040587091509</v>
      </c>
      <c r="EX80" s="23">
        <f>EXP(-LN(2)/2)*EX79+(1-EXP(-LN(2)/2))/(LN(2)/2)*ER80*EU80*VLOOKUP('Données projet'!$B$15,Paramètres!$A$1:$I$89,3,0)*0.475*44/12</f>
        <v>7.5716340528519224E-7</v>
      </c>
      <c r="EY80" s="24">
        <f t="shared" si="75"/>
        <v>2.0048048158725562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14.2</v>
      </c>
      <c r="FE80" s="13">
        <f>IF('Données projet'!$A$218&gt;35,FE79+FD80-FM79,IF(A80&lt;'Données projet'!$A$218,$FB$205^A80,IF(A80='Données projet'!$A$218,'Données projet'!$B$218,FE79+FD80-FM79)))</f>
        <v>439.20000000000005</v>
      </c>
      <c r="FF80" s="18">
        <f>FE80*VLOOKUP('Données projet'!$B$16,Paramètres!$A$1:$I$89,3,0)*VLOOKUP('Données projet'!$B$16,Paramètres!$A$1:$I$89,5,0)</f>
        <v>205.54560000000004</v>
      </c>
      <c r="FG80" s="14">
        <f t="shared" si="101"/>
        <v>50.960975968608146</v>
      </c>
      <c r="FH80" s="22">
        <f t="shared" si="76"/>
        <v>446.74895314532586</v>
      </c>
      <c r="FI80" s="62">
        <f t="shared" si="77"/>
        <v>722.21490589686346</v>
      </c>
      <c r="FJ80" s="62">
        <f ca="1">AVERAGE(OFFSET($FI$3,0,0,'Données projet'!$E$16+1,1))-AVERAGE(OFFSET($H$3,0,0,'Données projet'!$E$16+1,1))</f>
        <v>344.55118007058775</v>
      </c>
      <c r="FK80" s="62">
        <f t="shared" si="102"/>
        <v>144.16931602355001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>
        <f>FZ80*VLOOKUP('Données projet'!$B$17,Paramètres!$A$1:$I$89,3,0)*VLOOKUP('Données projet'!$B$17,Paramètres!$A$1:$I$89,5,0)</f>
        <v>0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252.60122125520482</v>
      </c>
      <c r="GF80" s="62">
        <f t="shared" si="104"/>
        <v>357.56833754121317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2.7971126581296311</v>
      </c>
      <c r="GN80" s="23">
        <f>EXP(-LN(2)/2)*GN79+(1-EXP(-LN(2)/2))/(LN(2)/2)*GH80*GK80*VLOOKUP('Données projet'!$B$17,Paramètres!$A$1:$I$89,3,0)*0.475*44/12</f>
        <v>1.3924323982070763E-6</v>
      </c>
      <c r="GO80" s="23">
        <f t="shared" si="81"/>
        <v>2.7971140505620293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-1.1368683772161603E-13</v>
      </c>
      <c r="GV80" s="18">
        <f>GU80*VLOOKUP('Données projet'!$B$18,Paramètres!$A$1:$I$89,3,0)*VLOOKUP('Données projet'!$B$18,Paramètres!$A$1:$I$89,5,0)</f>
        <v>-9.2222762759774927E-14</v>
      </c>
      <c r="GW80" s="14" t="e">
        <f t="shared" si="105"/>
        <v>#NUM!</v>
      </c>
      <c r="GX80" s="22" t="e">
        <f t="shared" si="82"/>
        <v>#NUM!</v>
      </c>
      <c r="GY80" s="62" t="e">
        <f t="shared" si="83"/>
        <v>#NUM!</v>
      </c>
      <c r="GZ80" s="62">
        <f ca="1">AVERAGE(OFFSET($GY$3,0,0,'Données projet'!$E$18+1,1))-AVERAGE(OFFSET($H$3,0,0,'Données projet'!$E$18+1,1))</f>
        <v>268.57152522489537</v>
      </c>
      <c r="HA80" s="62">
        <f t="shared" si="106"/>
        <v>311.80303557283207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3.75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13.75</v>
      </c>
      <c r="H81" s="70">
        <f t="shared" si="56"/>
        <v>201.66666666666666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225.0237599999999</v>
      </c>
      <c r="P81" s="14">
        <f t="shared" si="87"/>
        <v>55.205336184590408</v>
      </c>
      <c r="Q81" s="22">
        <f t="shared" si="54"/>
        <v>488.06567585482804</v>
      </c>
      <c r="R81" s="62">
        <f t="shared" si="55"/>
        <v>763.84158771398097</v>
      </c>
      <c r="S81" s="62">
        <f ca="1">AVERAGE(OFFSET($R$3,0,0,'Données projet'!$E$9+1,1))-AVERAGE(OFFSET($H$3,0,0,'Données projet'!$E$9+1,1))</f>
        <v>461.02780119093666</v>
      </c>
      <c r="T81" s="62">
        <f t="shared" si="88"/>
        <v>245.70016468438834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248.69999999999987</v>
      </c>
      <c r="AJ81" s="14">
        <f>AI81*VLOOKUP('Données projet'!$B$10,Paramètres!$A$1:$I$89,3,0)*VLOOKUP('Données projet'!$B$10,Paramètres!$A$1:$I$89,5,0)</f>
        <v>209.50487999999993</v>
      </c>
      <c r="AK81" s="14">
        <f t="shared" si="89"/>
        <v>51.827374661652684</v>
      </c>
      <c r="AL81" s="22">
        <f t="shared" si="58"/>
        <v>455.15367686904489</v>
      </c>
      <c r="AM81" s="62">
        <f t="shared" si="59"/>
        <v>730.92958872819781</v>
      </c>
      <c r="AN81" s="62">
        <f ca="1">AVERAGE(OFFSET($AM$3,0,0,'Données projet'!$E$10+1,1))-AVERAGE(OFFSET($H$3,0,0,'Données projet'!$E$10+1,1))</f>
        <v>434.22500776975596</v>
      </c>
      <c r="AO81" s="62">
        <f t="shared" si="90"/>
        <v>232.59777933076705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3.974358974358978</v>
      </c>
      <c r="BD81" s="13">
        <f>IF('Données projet'!$A$88&gt;35,BD80+BC81-BL80,IF(A81&lt;'Données projet'!$A$88,$BA$205^A81,IF(A81='Données projet'!$A$88,'Données projet'!$B$88,BD80+BC81-BL80)))</f>
        <v>219.61538461538456</v>
      </c>
      <c r="BE81" s="14">
        <f>BD81*VLOOKUP('Données projet'!$B$11,Paramètres!$A$1:$I$89,3,0)*VLOOKUP('Données projet'!$B$11,Paramètres!$A$1:$I$89,5,0)</f>
        <v>208.98599999999996</v>
      </c>
      <c r="BF81" s="14">
        <f t="shared" si="91"/>
        <v>51.713938803941488</v>
      </c>
      <c r="BG81" s="22">
        <f t="shared" si="61"/>
        <v>454.05239341686462</v>
      </c>
      <c r="BH81" s="62">
        <f t="shared" si="62"/>
        <v>729.82830527601755</v>
      </c>
      <c r="BI81" s="62">
        <f ca="1">AVERAGE(OFFSET($BH$3,0,0,'Données projet'!$E$11+1,1))-AVERAGE(OFFSET($H$3,0,0,'Données projet'!$E$11+1,1))</f>
        <v>393.3005580838161</v>
      </c>
      <c r="BJ81" s="62">
        <f t="shared" si="92"/>
        <v>295.86019897822757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3.5600000000000023</v>
      </c>
      <c r="BY81" s="13">
        <f>IF('Données projet'!$A$114&gt;35,BY80+BX81-CG80,IF(A81&lt;'Données projet'!$A$114,$BV$205^A81,IF(A81='Données projet'!$A$114,'Données projet'!$B$114,BY80+BX81-CG80)))</f>
        <v>334.17999999999995</v>
      </c>
      <c r="BZ81" s="14">
        <f>BY81*VLOOKUP('Données projet'!$B$12,Paramètres!$A$1:$I$89,3,0)*VLOOKUP('Données projet'!$B$12,Paramètres!$A$1:$I$89,5,0)</f>
        <v>265.87360799999999</v>
      </c>
      <c r="CA81" s="14">
        <f t="shared" si="93"/>
        <v>63.972761368317435</v>
      </c>
      <c r="CB81" s="22">
        <f t="shared" si="64"/>
        <v>574.48242664981956</v>
      </c>
      <c r="CC81" s="62">
        <f t="shared" si="65"/>
        <v>850.25833850897254</v>
      </c>
      <c r="CD81" s="62">
        <f ca="1">AVERAGE(OFFSET($CC$3,0,0,'Données projet'!$E$12+1,1))-AVERAGE(OFFSET($H$3,0,0,'Données projet'!$E$12+1,1))</f>
        <v>388.52230330563884</v>
      </c>
      <c r="CE81" s="62">
        <f t="shared" si="94"/>
        <v>418.94833960687333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3.5600000000000023</v>
      </c>
      <c r="CT81" s="13">
        <f>IF('Données projet'!$A$140&gt;35,CT80+CS81-DB80,IF(A81&lt;'Données projet'!$A$140,$CQ$205^A81,IF(A81='Données projet'!$A$140,'Données projet'!$B$140,CT80+CS81-DB80)))</f>
        <v>334.17999999999995</v>
      </c>
      <c r="CU81" s="18">
        <f>CT81*VLOOKUP('Données projet'!$B$13,Paramètres!$A$1:$I$89,3,0)*VLOOKUP('Données projet'!$B$13,Paramètres!$A$1:$I$89,5,0)</f>
        <v>245.02077599999993</v>
      </c>
      <c r="CV81" s="14">
        <f t="shared" si="95"/>
        <v>59.518469785210911</v>
      </c>
      <c r="CW81" s="22">
        <f t="shared" si="67"/>
        <v>530.40585307590879</v>
      </c>
      <c r="CX81" s="62">
        <f t="shared" si="68"/>
        <v>806.18176493506178</v>
      </c>
      <c r="CY81" s="62">
        <f ca="1">AVERAGE(OFFSET($CX$3,0,0,'Données projet'!$E$13+1,1))-AVERAGE(OFFSET($H$3,0,0,'Données projet'!$E$13+1,1))</f>
        <v>362.38131866207266</v>
      </c>
      <c r="CZ81" s="62">
        <f t="shared" si="96"/>
        <v>390.74498763200336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3.2</v>
      </c>
      <c r="DO81" s="13">
        <f>IF('Données projet'!$A$166&gt;35,DO80+DN81-DW80,IF(A81&lt;'Données projet'!$A$166,$DL$205^A81,IF(A81='Données projet'!$A$166,'Données projet'!$B$166,DO80+DN81-DW80)))</f>
        <v>213.59999999999994</v>
      </c>
      <c r="DP81" s="18">
        <f>DO81*VLOOKUP('Données projet'!$B$14,Paramètres!$A$1:$I$89,3,0)*VLOOKUP('Données projet'!$B$14,Paramètres!$A$1:$I$89,5,0)</f>
        <v>186.60095999999996</v>
      </c>
      <c r="DQ81" s="14">
        <f t="shared" si="97"/>
        <v>46.787685683664144</v>
      </c>
      <c r="DR81" s="22">
        <f t="shared" si="70"/>
        <v>406.48522456571499</v>
      </c>
      <c r="DS81" s="62">
        <f t="shared" si="71"/>
        <v>682.26113642486803</v>
      </c>
      <c r="DT81" s="62">
        <f ca="1">AVERAGE(OFFSET($DS$3,0,0,'Données projet'!$E$14+1,1))-AVERAGE(OFFSET($H$3,0,0,'Données projet'!$E$14+1,1))</f>
        <v>334.4692012109935</v>
      </c>
      <c r="DU81" s="62">
        <f t="shared" si="98"/>
        <v>316.360405424036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-3.4106051316484809E-13</v>
      </c>
      <c r="EK81" s="18">
        <f>EJ81*VLOOKUP('Données projet'!$B$15,Paramètres!$A$1:$I$89,3,0)*VLOOKUP('Données projet'!$B$15,Paramètres!$A$1:$I$89,5,0)</f>
        <v>-1.9065282685915009E-13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390.09289316045653</v>
      </c>
      <c r="EP81" s="62">
        <f t="shared" si="100"/>
        <v>364.34913542817617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1.9499825862956857</v>
      </c>
      <c r="EX81" s="23">
        <f>EXP(-LN(2)/2)*EX80+(1-EXP(-LN(2)/2))/(LN(2)/2)*ER81*EU81*VLOOKUP('Données projet'!$B$15,Paramètres!$A$1:$I$89,3,0)*0.475*44/12</f>
        <v>5.3539537834345762E-7</v>
      </c>
      <c r="EY81" s="24">
        <f t="shared" si="75"/>
        <v>1.9499831216910639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14.2</v>
      </c>
      <c r="FE81" s="13">
        <f>IF('Données projet'!$A$218&gt;35,FE80+FD81-FM80,IF(A81&lt;'Données projet'!$A$218,$FB$205^A81,IF(A81='Données projet'!$A$218,'Données projet'!$B$218,FE80+FD81-FM80)))</f>
        <v>453.40000000000003</v>
      </c>
      <c r="FF81" s="18">
        <f>FE81*VLOOKUP('Données projet'!$B$16,Paramètres!$A$1:$I$89,3,0)*VLOOKUP('Données projet'!$B$16,Paramètres!$A$1:$I$89,5,0)</f>
        <v>212.19120000000004</v>
      </c>
      <c r="FG81" s="14">
        <f t="shared" si="101"/>
        <v>52.414128367883173</v>
      </c>
      <c r="FH81" s="22">
        <f t="shared" si="76"/>
        <v>460.85428024072991</v>
      </c>
      <c r="FI81" s="62">
        <f t="shared" si="77"/>
        <v>736.63019209988283</v>
      </c>
      <c r="FJ81" s="62">
        <f ca="1">AVERAGE(OFFSET($FI$3,0,0,'Données projet'!$E$16+1,1))-AVERAGE(OFFSET($H$3,0,0,'Données projet'!$E$16+1,1))</f>
        <v>344.55118007058775</v>
      </c>
      <c r="FK81" s="62">
        <f t="shared" si="102"/>
        <v>144.16931602355001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>
        <f>FZ81*VLOOKUP('Données projet'!$B$17,Paramètres!$A$1:$I$89,3,0)*VLOOKUP('Données projet'!$B$17,Paramètres!$A$1:$I$89,5,0)</f>
        <v>0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252.60122125520482</v>
      </c>
      <c r="GF81" s="62">
        <f t="shared" si="104"/>
        <v>357.56833754121317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2.7206254653993147</v>
      </c>
      <c r="GN81" s="23">
        <f>EXP(-LN(2)/2)*GN80+(1-EXP(-LN(2)/2))/(LN(2)/2)*GH81*GK81*VLOOKUP('Données projet'!$B$17,Paramètres!$A$1:$I$89,3,0)*0.475*44/12</f>
        <v>9.8459839111607067E-7</v>
      </c>
      <c r="GO81" s="23">
        <f t="shared" si="81"/>
        <v>2.720626449997706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-1.1368683772161603E-13</v>
      </c>
      <c r="GV81" s="18">
        <f>GU81*VLOOKUP('Données projet'!$B$18,Paramètres!$A$1:$I$89,3,0)*VLOOKUP('Données projet'!$B$18,Paramètres!$A$1:$I$89,5,0)</f>
        <v>-9.2222762759774927E-14</v>
      </c>
      <c r="GW81" s="14" t="e">
        <f t="shared" si="105"/>
        <v>#NUM!</v>
      </c>
      <c r="GX81" s="22" t="e">
        <f t="shared" si="82"/>
        <v>#NUM!</v>
      </c>
      <c r="GY81" s="62" t="e">
        <f t="shared" si="83"/>
        <v>#NUM!</v>
      </c>
      <c r="GZ81" s="62">
        <f ca="1">AVERAGE(OFFSET($GY$3,0,0,'Données projet'!$E$18+1,1))-AVERAGE(OFFSET($H$3,0,0,'Données projet'!$E$18+1,1))</f>
        <v>268.57152522489537</v>
      </c>
      <c r="HA81" s="62">
        <f t="shared" si="106"/>
        <v>311.80303557283207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3.75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13.75</v>
      </c>
      <c r="H82" s="70">
        <f t="shared" si="56"/>
        <v>201.66666666666666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2">
        <f t="shared" si="55"/>
        <v>775.45646308127755</v>
      </c>
      <c r="S82" s="62">
        <f ca="1">AVERAGE(OFFSET($R$3,0,0,'Données projet'!$E$9+1,1))-AVERAGE(OFFSET($H$3,0,0,'Données projet'!$E$9+1,1))</f>
        <v>461.02780119093666</v>
      </c>
      <c r="T82" s="62">
        <f t="shared" si="88"/>
        <v>245.70016468438834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254.59999999999988</v>
      </c>
      <c r="AJ82" s="14">
        <f>AI82*VLOOKUP('Données projet'!$B$10,Paramètres!$A$1:$I$89,3,0)*VLOOKUP('Données projet'!$B$10,Paramètres!$A$1:$I$89,5,0)</f>
        <v>214.47503999999992</v>
      </c>
      <c r="AK82" s="14">
        <f t="shared" si="89"/>
        <v>52.912291212091354</v>
      </c>
      <c r="AL82" s="22">
        <f t="shared" si="58"/>
        <v>465.69960186105891</v>
      </c>
      <c r="AM82" s="62">
        <f t="shared" si="59"/>
        <v>741.78009573027498</v>
      </c>
      <c r="AN82" s="62">
        <f ca="1">AVERAGE(OFFSET($AM$3,0,0,'Données projet'!$E$10+1,1))-AVERAGE(OFFSET($H$3,0,0,'Données projet'!$E$10+1,1))</f>
        <v>434.22500776975596</v>
      </c>
      <c r="AO82" s="62">
        <f t="shared" si="90"/>
        <v>232.59777933076705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3.974358974358978</v>
      </c>
      <c r="BD82" s="13">
        <f>IF('Données projet'!$A$88&gt;35,BD81+BC82-BL81,IF(A82&lt;'Données projet'!$A$88,$BA$205^A82,IF(A82='Données projet'!$A$88,'Données projet'!$B$88,BD81+BC82-BL81)))</f>
        <v>223.58974358974353</v>
      </c>
      <c r="BE82" s="14">
        <f>BD82*VLOOKUP('Données projet'!$B$11,Paramètres!$A$1:$I$89,3,0)*VLOOKUP('Données projet'!$B$11,Paramètres!$A$1:$I$89,5,0)</f>
        <v>212.76799999999994</v>
      </c>
      <c r="BF82" s="14">
        <f t="shared" si="91"/>
        <v>52.540001579827234</v>
      </c>
      <c r="BG82" s="22">
        <f t="shared" si="61"/>
        <v>462.0781027515323</v>
      </c>
      <c r="BH82" s="62">
        <f t="shared" si="62"/>
        <v>738.15859662074831</v>
      </c>
      <c r="BI82" s="62">
        <f ca="1">AVERAGE(OFFSET($BH$3,0,0,'Données projet'!$E$11+1,1))-AVERAGE(OFFSET($H$3,0,0,'Données projet'!$E$11+1,1))</f>
        <v>393.3005580838161</v>
      </c>
      <c r="BJ82" s="62">
        <f t="shared" si="92"/>
        <v>295.86019897822757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3.5600000000000023</v>
      </c>
      <c r="BY82" s="13">
        <f>IF('Données projet'!$A$114&gt;35,BY81+BX82-CG81,IF(A82&lt;'Données projet'!$A$114,$BV$205^A82,IF(A82='Données projet'!$A$114,'Données projet'!$B$114,BY81+BX82-CG81)))</f>
        <v>337.73999999999995</v>
      </c>
      <c r="BZ82" s="14">
        <f>BY82*VLOOKUP('Données projet'!$B$12,Paramètres!$A$1:$I$89,3,0)*VLOOKUP('Données projet'!$B$12,Paramètres!$A$1:$I$89,5,0)</f>
        <v>268.70594399999999</v>
      </c>
      <c r="CA82" s="14">
        <f t="shared" si="93"/>
        <v>64.574561201947517</v>
      </c>
      <c r="CB82" s="22">
        <f t="shared" si="64"/>
        <v>580.46354656005849</v>
      </c>
      <c r="CC82" s="62">
        <f t="shared" si="65"/>
        <v>856.54404042927445</v>
      </c>
      <c r="CD82" s="62">
        <f ca="1">AVERAGE(OFFSET($CC$3,0,0,'Données projet'!$E$12+1,1))-AVERAGE(OFFSET($H$3,0,0,'Données projet'!$E$12+1,1))</f>
        <v>388.52230330563884</v>
      </c>
      <c r="CE82" s="62">
        <f t="shared" si="94"/>
        <v>418.94833960687333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3.5600000000000023</v>
      </c>
      <c r="CT82" s="13">
        <f>IF('Données projet'!$A$140&gt;35,CT81+CS82-DB81,IF(A82&lt;'Données projet'!$A$140,$CQ$205^A82,IF(A82='Données projet'!$A$140,'Données projet'!$B$140,CT81+CS82-DB81)))</f>
        <v>337.73999999999995</v>
      </c>
      <c r="CU82" s="18">
        <f>CT82*VLOOKUP('Données projet'!$B$13,Paramètres!$A$1:$I$89,3,0)*VLOOKUP('Données projet'!$B$13,Paramètres!$A$1:$I$89,5,0)</f>
        <v>247.63096799999994</v>
      </c>
      <c r="CV82" s="14">
        <f t="shared" si="95"/>
        <v>60.078367536199657</v>
      </c>
      <c r="CW82" s="22">
        <f t="shared" si="67"/>
        <v>535.9270927255476</v>
      </c>
      <c r="CX82" s="62">
        <f t="shared" si="68"/>
        <v>812.00758659476355</v>
      </c>
      <c r="CY82" s="62">
        <f ca="1">AVERAGE(OFFSET($CX$3,0,0,'Données projet'!$E$13+1,1))-AVERAGE(OFFSET($H$3,0,0,'Données projet'!$E$13+1,1))</f>
        <v>362.38131866207266</v>
      </c>
      <c r="CZ82" s="62">
        <f t="shared" si="96"/>
        <v>390.74498763200336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3.2</v>
      </c>
      <c r="DO82" s="13">
        <f>IF('Données projet'!$A$166&gt;35,DO81+DN82-DW81,IF(A82&lt;'Données projet'!$A$166,$DL$205^A82,IF(A82='Données projet'!$A$166,'Données projet'!$B$166,DO81+DN82-DW81)))</f>
        <v>216.79999999999993</v>
      </c>
      <c r="DP82" s="18">
        <f>DO82*VLOOKUP('Données projet'!$B$14,Paramètres!$A$1:$I$89,3,0)*VLOOKUP('Données projet'!$B$14,Paramètres!$A$1:$I$89,5,0)</f>
        <v>189.39647999999997</v>
      </c>
      <c r="DQ82" s="14">
        <f t="shared" si="97"/>
        <v>47.406498452084506</v>
      </c>
      <c r="DR82" s="22">
        <f t="shared" si="70"/>
        <v>412.43185413738041</v>
      </c>
      <c r="DS82" s="62">
        <f t="shared" si="71"/>
        <v>688.51234800659643</v>
      </c>
      <c r="DT82" s="62">
        <f ca="1">AVERAGE(OFFSET($DS$3,0,0,'Données projet'!$E$14+1,1))-AVERAGE(OFFSET($H$3,0,0,'Données projet'!$E$14+1,1))</f>
        <v>334.4692012109935</v>
      </c>
      <c r="DU82" s="62">
        <f t="shared" si="98"/>
        <v>316.360405424036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-3.4106051316484809E-13</v>
      </c>
      <c r="EK82" s="18">
        <f>EJ82*VLOOKUP('Données projet'!$B$15,Paramètres!$A$1:$I$89,3,0)*VLOOKUP('Données projet'!$B$15,Paramètres!$A$1:$I$89,5,0)</f>
        <v>-1.9065282685915009E-13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390.09289316045653</v>
      </c>
      <c r="EP82" s="62">
        <f t="shared" si="100"/>
        <v>364.34913542817617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1.8966602099283028</v>
      </c>
      <c r="EX82" s="23">
        <f>EXP(-LN(2)/2)*EX81+(1-EXP(-LN(2)/2))/(LN(2)/2)*ER82*EU82*VLOOKUP('Données projet'!$B$15,Paramètres!$A$1:$I$89,3,0)*0.475*44/12</f>
        <v>3.7858170264259612E-7</v>
      </c>
      <c r="EY82" s="24">
        <f t="shared" si="75"/>
        <v>1.8966605885100054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14.2</v>
      </c>
      <c r="FE82" s="13">
        <f>IF('Données projet'!$A$218&gt;35,FE81+FD82-FM81,IF(A82&lt;'Données projet'!$A$218,$FB$205^A82,IF(A82='Données projet'!$A$218,'Données projet'!$B$218,FE81+FD82-FM81)))</f>
        <v>467.6</v>
      </c>
      <c r="FF82" s="18">
        <f>FE82*VLOOKUP('Données projet'!$B$16,Paramètres!$A$1:$I$89,3,0)*VLOOKUP('Données projet'!$B$16,Paramètres!$A$1:$I$89,5,0)</f>
        <v>218.83680000000001</v>
      </c>
      <c r="FG82" s="14">
        <f t="shared" si="101"/>
        <v>53.861991997956267</v>
      </c>
      <c r="FH82" s="22">
        <f t="shared" si="76"/>
        <v>474.95039606310712</v>
      </c>
      <c r="FI82" s="62">
        <f t="shared" si="77"/>
        <v>751.03088993232313</v>
      </c>
      <c r="FJ82" s="62">
        <f ca="1">AVERAGE(OFFSET($FI$3,0,0,'Données projet'!$E$16+1,1))-AVERAGE(OFFSET($H$3,0,0,'Données projet'!$E$16+1,1))</f>
        <v>344.55118007058775</v>
      </c>
      <c r="FK82" s="62">
        <f t="shared" si="102"/>
        <v>144.16931602355001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>
        <f>FZ82*VLOOKUP('Données projet'!$B$17,Paramètres!$A$1:$I$89,3,0)*VLOOKUP('Données projet'!$B$17,Paramètres!$A$1:$I$89,5,0)</f>
        <v>0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252.60122125520482</v>
      </c>
      <c r="GF82" s="62">
        <f t="shared" si="104"/>
        <v>357.56833754121317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2.6462298189764955</v>
      </c>
      <c r="GN82" s="23">
        <f>EXP(-LN(2)/2)*GN81+(1-EXP(-LN(2)/2))/(LN(2)/2)*GH82*GK82*VLOOKUP('Données projet'!$B$17,Paramètres!$A$1:$I$89,3,0)*0.475*44/12</f>
        <v>6.9621619910353813E-7</v>
      </c>
      <c r="GO82" s="23">
        <f t="shared" si="81"/>
        <v>2.6462305151926944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-1.1368683772161603E-13</v>
      </c>
      <c r="GV82" s="18">
        <f>GU82*VLOOKUP('Données projet'!$B$18,Paramètres!$A$1:$I$89,3,0)*VLOOKUP('Données projet'!$B$18,Paramètres!$A$1:$I$89,5,0)</f>
        <v>-9.2222762759774927E-14</v>
      </c>
      <c r="GW82" s="14" t="e">
        <f t="shared" si="105"/>
        <v>#NUM!</v>
      </c>
      <c r="GX82" s="22" t="e">
        <f t="shared" si="82"/>
        <v>#NUM!</v>
      </c>
      <c r="GY82" s="62" t="e">
        <f t="shared" si="83"/>
        <v>#NUM!</v>
      </c>
      <c r="GZ82" s="62">
        <f ca="1">AVERAGE(OFFSET($GY$3,0,0,'Données projet'!$E$18+1,1))-AVERAGE(OFFSET($H$3,0,0,'Données projet'!$E$18+1,1))</f>
        <v>268.57152522489537</v>
      </c>
      <c r="HA82" s="62">
        <f t="shared" si="106"/>
        <v>311.80303557283207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3.75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13.75</v>
      </c>
      <c r="H83" s="70">
        <f t="shared" si="56"/>
        <v>201.66666666666666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2">
        <f t="shared" si="55"/>
        <v>787.06063230972416</v>
      </c>
      <c r="S83" s="62">
        <f ca="1">AVERAGE(OFFSET($R$3,0,0,'Données projet'!$E$9+1,1))-AVERAGE(OFFSET($H$3,0,0,'Données projet'!$E$9+1,1))</f>
        <v>461.02780119093666</v>
      </c>
      <c r="T83" s="62">
        <f t="shared" si="88"/>
        <v>245.70016468438834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260.49999999999989</v>
      </c>
      <c r="AJ83" s="14">
        <f>AI83*VLOOKUP('Données projet'!$B$10,Paramètres!$A$1:$I$89,3,0)*VLOOKUP('Données projet'!$B$10,Paramètres!$A$1:$I$89,5,0)</f>
        <v>219.44519999999994</v>
      </c>
      <c r="AK83" s="14">
        <f t="shared" si="89"/>
        <v>53.994284967173513</v>
      </c>
      <c r="AL83" s="22">
        <f t="shared" si="58"/>
        <v>476.24043631782706</v>
      </c>
      <c r="AM83" s="62">
        <f t="shared" si="59"/>
        <v>752.62022838017492</v>
      </c>
      <c r="AN83" s="62">
        <f ca="1">AVERAGE(OFFSET($AM$3,0,0,'Données projet'!$E$10+1,1))-AVERAGE(OFFSET($H$3,0,0,'Données projet'!$E$10+1,1))</f>
        <v>434.22500776975596</v>
      </c>
      <c r="AO83" s="62">
        <f t="shared" si="90"/>
        <v>232.59777933076705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227.56410256410257</v>
      </c>
      <c r="BB83" s="13">
        <f>VLOOKUP(A83,'Données projet'!$A$87:$I$107,9,0)</f>
        <v>3.974358974358978</v>
      </c>
      <c r="BC83" s="13">
        <f t="array" ref="BC83">INDEX(BB:BB,MIN(IF(ISNUMBER(BB83:BB279),ROW(BB83:BB279),"")))</f>
        <v>3.974358974358978</v>
      </c>
      <c r="BD83" s="13">
        <f>IF('Données projet'!$A$88&gt;35,BD82+BC83-BL82,IF(A83&lt;'Données projet'!$A$88,$BA$205^A83,IF(A83='Données projet'!$A$88,'Données projet'!$B$88,BD82+BC83-BL82)))</f>
        <v>227.56410256410251</v>
      </c>
      <c r="BE83" s="14">
        <f>BD83*VLOOKUP('Données projet'!$B$11,Paramètres!$A$1:$I$89,3,0)*VLOOKUP('Données projet'!$B$11,Paramètres!$A$1:$I$89,5,0)</f>
        <v>216.54999999999998</v>
      </c>
      <c r="BF83" s="14">
        <f t="shared" si="91"/>
        <v>53.364356873390378</v>
      </c>
      <c r="BG83" s="22">
        <f t="shared" si="61"/>
        <v>470.1008382211549</v>
      </c>
      <c r="BH83" s="62">
        <f t="shared" si="62"/>
        <v>746.48063028350282</v>
      </c>
      <c r="BI83" s="62">
        <f ca="1">AVERAGE(OFFSET($BH$3,0,0,'Données projet'!$E$11+1,1))-AVERAGE(OFFSET($H$3,0,0,'Données projet'!$E$11+1,1))</f>
        <v>393.3005580838161</v>
      </c>
      <c r="BJ83" s="62">
        <f t="shared" si="92"/>
        <v>295.86019897822757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27.564102564102562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341.3</v>
      </c>
      <c r="BW83" s="13">
        <f>VLOOKUP(A83,'Données projet'!$A$113:$I$133,9,0)</f>
        <v>3.5600000000000023</v>
      </c>
      <c r="BX83" s="13">
        <f t="array" ref="BX83">INDEX(BW:BW,MIN(IF(ISNUMBER(BW83:BW279),ROW(BW83:BW279),"")))</f>
        <v>3.5600000000000023</v>
      </c>
      <c r="BY83" s="13">
        <f>IF('Données projet'!$A$114&gt;35,BY82+BX83-CG82,IF(A83&lt;'Données projet'!$A$114,$BV$205^A83,IF(A83='Données projet'!$A$114,'Données projet'!$B$114,BY82+BX83-CG82)))</f>
        <v>341.29999999999995</v>
      </c>
      <c r="BZ83" s="14">
        <f>BY83*VLOOKUP('Données projet'!$B$12,Paramètres!$A$1:$I$89,3,0)*VLOOKUP('Données projet'!$B$12,Paramètres!$A$1:$I$89,5,0)</f>
        <v>271.53827999999999</v>
      </c>
      <c r="CA83" s="14">
        <f t="shared" si="93"/>
        <v>65.17562310645522</v>
      </c>
      <c r="CB83" s="22">
        <f t="shared" si="64"/>
        <v>586.44338124374281</v>
      </c>
      <c r="CC83" s="62">
        <f t="shared" si="65"/>
        <v>862.82317330609067</v>
      </c>
      <c r="CD83" s="62">
        <f ca="1">AVERAGE(OFFSET($CC$3,0,0,'Données projet'!$E$12+1,1))-AVERAGE(OFFSET($H$3,0,0,'Données projet'!$E$12+1,1))</f>
        <v>388.52230330563884</v>
      </c>
      <c r="CE83" s="62">
        <f t="shared" si="94"/>
        <v>418.94833960687333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341.3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341.3</v>
      </c>
      <c r="CR83" s="13">
        <f>VLOOKUP(A83,'Données projet'!$A$139:$I$159,9,0)</f>
        <v>3.5600000000000023</v>
      </c>
      <c r="CS83" s="13">
        <f t="array" ref="CS83">INDEX(CR:CR,MIN(IF(ISNUMBER(CR83:CR279),ROW(CR83:CR279),"")))</f>
        <v>3.5600000000000023</v>
      </c>
      <c r="CT83" s="13">
        <f>IF('Données projet'!$A$140&gt;35,CT82+CS83-DB82,IF(A83&lt;'Données projet'!$A$140,$CQ$205^A83,IF(A83='Données projet'!$A$140,'Données projet'!$B$140,CT82+CS83-DB82)))</f>
        <v>341.29999999999995</v>
      </c>
      <c r="CU83" s="18">
        <f>CT83*VLOOKUP('Données projet'!$B$13,Paramètres!$A$1:$I$89,3,0)*VLOOKUP('Données projet'!$B$13,Paramètres!$A$1:$I$89,5,0)</f>
        <v>250.24115999999998</v>
      </c>
      <c r="CV83" s="14">
        <f t="shared" si="95"/>
        <v>60.637578738550481</v>
      </c>
      <c r="CW83" s="22">
        <f t="shared" si="67"/>
        <v>541.44713663630864</v>
      </c>
      <c r="CX83" s="62">
        <f t="shared" si="68"/>
        <v>817.8269286986565</v>
      </c>
      <c r="CY83" s="62">
        <f ca="1">AVERAGE(OFFSET($CX$3,0,0,'Données projet'!$E$13+1,1))-AVERAGE(OFFSET($H$3,0,0,'Données projet'!$E$13+1,1))</f>
        <v>362.38131866207266</v>
      </c>
      <c r="CZ83" s="62">
        <f t="shared" si="96"/>
        <v>390.74498763200336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341.3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220</v>
      </c>
      <c r="DM83" s="13">
        <f>VLOOKUP(A83,'Données projet'!$A$165:$I$185,9,0)</f>
        <v>3.2</v>
      </c>
      <c r="DN83" s="13">
        <f t="array" ref="DN83">INDEX(DM:DM,MIN(IF(ISNUMBER(DM83:DM279),ROW(DM83:DM279),"")))</f>
        <v>3.2</v>
      </c>
      <c r="DO83" s="13">
        <f>IF('Données projet'!$A$166&gt;35,DO82+DN83-DW82,IF(A83&lt;'Données projet'!$A$166,$DL$205^A83,IF(A83='Données projet'!$A$166,'Données projet'!$B$166,DO82+DN83-DW82)))</f>
        <v>219.99999999999991</v>
      </c>
      <c r="DP83" s="18">
        <f>DO83*VLOOKUP('Données projet'!$B$14,Paramètres!$A$1:$I$89,3,0)*VLOOKUP('Données projet'!$B$14,Paramètres!$A$1:$I$89,5,0)</f>
        <v>192.19199999999995</v>
      </c>
      <c r="DQ83" s="14">
        <f t="shared" si="97"/>
        <v>48.02424892193244</v>
      </c>
      <c r="DR83" s="22">
        <f t="shared" si="70"/>
        <v>418.37663353903218</v>
      </c>
      <c r="DS83" s="62">
        <f t="shared" si="71"/>
        <v>694.7564256013801</v>
      </c>
      <c r="DT83" s="62">
        <f ca="1">AVERAGE(OFFSET($DS$3,0,0,'Données projet'!$E$14+1,1))-AVERAGE(OFFSET($H$3,0,0,'Données projet'!$E$14+1,1))</f>
        <v>334.4692012109935</v>
      </c>
      <c r="DU83" s="62">
        <f t="shared" si="98"/>
        <v>316.360405424036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23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-3.4106051316484809E-13</v>
      </c>
      <c r="EK83" s="18">
        <f>EJ83*VLOOKUP('Données projet'!$B$15,Paramètres!$A$1:$I$89,3,0)*VLOOKUP('Données projet'!$B$15,Paramètres!$A$1:$I$89,5,0)</f>
        <v>-1.9065282685915009E-13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390.09289316045653</v>
      </c>
      <c r="EP83" s="62">
        <f t="shared" si="100"/>
        <v>364.34913542817617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1.8447959367467877</v>
      </c>
      <c r="EX83" s="23">
        <f>EXP(-LN(2)/2)*EX82+(1-EXP(-LN(2)/2))/(LN(2)/2)*ER83*EU83*VLOOKUP('Données projet'!$B$15,Paramètres!$A$1:$I$89,3,0)*0.475*44/12</f>
        <v>2.6769768917172881E-7</v>
      </c>
      <c r="EY83" s="24">
        <f t="shared" si="75"/>
        <v>1.8447962044444768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14.2</v>
      </c>
      <c r="FE83" s="13">
        <f>IF('Données projet'!$A$218&gt;35,FE82+FD83-FM82,IF(A83&lt;'Données projet'!$A$218,$FB$205^A83,IF(A83='Données projet'!$A$218,'Données projet'!$B$218,FE82+FD83-FM82)))</f>
        <v>481.8</v>
      </c>
      <c r="FF83" s="18">
        <f>FE83*VLOOKUP('Données projet'!$B$16,Paramètres!$A$1:$I$89,3,0)*VLOOKUP('Données projet'!$B$16,Paramètres!$A$1:$I$89,5,0)</f>
        <v>225.48240000000001</v>
      </c>
      <c r="FG83" s="14">
        <f t="shared" si="101"/>
        <v>55.304745901414371</v>
      </c>
      <c r="FH83" s="22">
        <f t="shared" si="76"/>
        <v>489.03761244496337</v>
      </c>
      <c r="FI83" s="62">
        <f t="shared" si="77"/>
        <v>765.41740450731129</v>
      </c>
      <c r="FJ83" s="62">
        <f ca="1">AVERAGE(OFFSET($FI$3,0,0,'Données projet'!$E$16+1,1))-AVERAGE(OFFSET($H$3,0,0,'Données projet'!$E$16+1,1))</f>
        <v>344.55118007058775</v>
      </c>
      <c r="FK83" s="62">
        <f t="shared" si="102"/>
        <v>144.16931602355001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>
        <f>FZ83*VLOOKUP('Données projet'!$B$17,Paramètres!$A$1:$I$89,3,0)*VLOOKUP('Données projet'!$B$17,Paramètres!$A$1:$I$89,5,0)</f>
        <v>0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252.60122125520482</v>
      </c>
      <c r="GF83" s="62">
        <f t="shared" si="104"/>
        <v>357.56833754121317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2.5738685254174052</v>
      </c>
      <c r="GN83" s="23">
        <f>EXP(-LN(2)/2)*GN82+(1-EXP(-LN(2)/2))/(LN(2)/2)*GH83*GK83*VLOOKUP('Données projet'!$B$17,Paramètres!$A$1:$I$89,3,0)*0.475*44/12</f>
        <v>4.9229919555803534E-7</v>
      </c>
      <c r="GO83" s="23">
        <f t="shared" si="81"/>
        <v>2.5738690177166008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-1.1368683772161603E-13</v>
      </c>
      <c r="GV83" s="18">
        <f>GU83*VLOOKUP('Données projet'!$B$18,Paramètres!$A$1:$I$89,3,0)*VLOOKUP('Données projet'!$B$18,Paramètres!$A$1:$I$89,5,0)</f>
        <v>-9.2222762759774927E-14</v>
      </c>
      <c r="GW83" s="14" t="e">
        <f t="shared" si="105"/>
        <v>#NUM!</v>
      </c>
      <c r="GX83" s="22" t="e">
        <f t="shared" si="82"/>
        <v>#NUM!</v>
      </c>
      <c r="GY83" s="62" t="e">
        <f t="shared" si="83"/>
        <v>#NUM!</v>
      </c>
      <c r="GZ83" s="62">
        <f ca="1">AVERAGE(OFFSET($GY$3,0,0,'Données projet'!$E$18+1,1))-AVERAGE(OFFSET($H$3,0,0,'Données projet'!$E$18+1,1))</f>
        <v>268.57152522489537</v>
      </c>
      <c r="HA83" s="62">
        <f t="shared" si="106"/>
        <v>311.80303557283207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3.75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13.75</v>
      </c>
      <c r="H84" s="70">
        <f t="shared" si="56"/>
        <v>201.66666666666666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241.03871999999987</v>
      </c>
      <c r="P84" s="14">
        <f t="shared" si="87"/>
        <v>58.66295994697046</v>
      </c>
      <c r="Q84" s="22">
        <f t="shared" si="54"/>
        <v>521.98042590763998</v>
      </c>
      <c r="R84" s="62">
        <f t="shared" si="55"/>
        <v>798.65432400859936</v>
      </c>
      <c r="S84" s="62">
        <f ca="1">AVERAGE(OFFSET($R$3,0,0,'Données projet'!$E$9+1,1))-AVERAGE(OFFSET($H$3,0,0,'Données projet'!$E$9+1,1))</f>
        <v>461.02780119093666</v>
      </c>
      <c r="T84" s="62">
        <f t="shared" si="88"/>
        <v>245.70016468438834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266.39999999999986</v>
      </c>
      <c r="AJ84" s="14">
        <f>AI84*VLOOKUP('Données projet'!$B$10,Paramètres!$A$1:$I$89,3,0)*VLOOKUP('Données projet'!$B$10,Paramètres!$A$1:$I$89,5,0)</f>
        <v>224.41535999999991</v>
      </c>
      <c r="AK84" s="14">
        <f t="shared" si="89"/>
        <v>55.073429745398819</v>
      </c>
      <c r="AL84" s="22">
        <f t="shared" si="58"/>
        <v>486.77630880656943</v>
      </c>
      <c r="AM84" s="62">
        <f t="shared" si="59"/>
        <v>763.45020690752881</v>
      </c>
      <c r="AN84" s="62">
        <f ca="1">AVERAGE(OFFSET($AM$3,0,0,'Données projet'!$E$10+1,1))-AVERAGE(OFFSET($H$3,0,0,'Données projet'!$E$10+1,1))</f>
        <v>434.22500776975596</v>
      </c>
      <c r="AO84" s="62">
        <f t="shared" si="90"/>
        <v>232.59777933076705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3.8461538461538454</v>
      </c>
      <c r="BD84" s="13">
        <f>IF('Données projet'!$A$88&gt;35,BD83+BC84-BL83,IF(A84&lt;'Données projet'!$A$88,$BA$205^A84,IF(A84='Données projet'!$A$88,'Données projet'!$B$88,BD83+BC84-BL83)))</f>
        <v>203.84615384615378</v>
      </c>
      <c r="BE84" s="14">
        <f>BD84*VLOOKUP('Données projet'!$B$11,Paramètres!$A$1:$I$89,3,0)*VLOOKUP('Données projet'!$B$11,Paramètres!$A$1:$I$89,5,0)</f>
        <v>193.97999999999996</v>
      </c>
      <c r="BF84" s="14">
        <f t="shared" si="91"/>
        <v>48.418809868414776</v>
      </c>
      <c r="BG84" s="22">
        <f t="shared" si="61"/>
        <v>422.17792718748893</v>
      </c>
      <c r="BH84" s="62">
        <f t="shared" si="62"/>
        <v>698.85182528844825</v>
      </c>
      <c r="BI84" s="62">
        <f ca="1">AVERAGE(OFFSET($BH$3,0,0,'Données projet'!$E$11+1,1))-AVERAGE(OFFSET($H$3,0,0,'Données projet'!$E$11+1,1))</f>
        <v>393.3005580838161</v>
      </c>
      <c r="BJ84" s="62">
        <f t="shared" si="92"/>
        <v>295.86019897822757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-4.5224624045658861E-14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388.52230330563884</v>
      </c>
      <c r="CE84" s="62">
        <f t="shared" si="94"/>
        <v>418.94833960687333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-4.1677594708744434E-14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362.38131866207266</v>
      </c>
      <c r="CZ84" s="62">
        <f t="shared" si="96"/>
        <v>390.74498763200336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2.8</v>
      </c>
      <c r="DO84" s="13">
        <f>IF('Données projet'!$A$166&gt;35,DO83+DN84-DW83,IF(A84&lt;'Données projet'!$A$166,$DL$205^A84,IF(A84='Données projet'!$A$166,'Données projet'!$B$166,DO83+DN84-DW83)))</f>
        <v>199.79999999999993</v>
      </c>
      <c r="DP84" s="18">
        <f>DO84*VLOOKUP('Données projet'!$B$14,Paramètres!$A$1:$I$89,3,0)*VLOOKUP('Données projet'!$B$14,Paramètres!$A$1:$I$89,5,0)</f>
        <v>174.54527999999993</v>
      </c>
      <c r="DQ84" s="14">
        <f t="shared" si="97"/>
        <v>44.106446559111959</v>
      </c>
      <c r="DR84" s="22">
        <f t="shared" si="70"/>
        <v>380.81842375711989</v>
      </c>
      <c r="DS84" s="62">
        <f t="shared" si="71"/>
        <v>657.49232185807932</v>
      </c>
      <c r="DT84" s="62">
        <f ca="1">AVERAGE(OFFSET($DS$3,0,0,'Données projet'!$E$14+1,1))-AVERAGE(OFFSET($H$3,0,0,'Données projet'!$E$14+1,1))</f>
        <v>334.4692012109935</v>
      </c>
      <c r="DU84" s="62">
        <f t="shared" si="98"/>
        <v>316.360405424036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-3.4106051316484809E-13</v>
      </c>
      <c r="EK84" s="18">
        <f>EJ84*VLOOKUP('Données projet'!$B$15,Paramètres!$A$1:$I$89,3,0)*VLOOKUP('Données projet'!$B$15,Paramètres!$A$1:$I$89,5,0)</f>
        <v>-1.9065282685915009E-13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390.09289316045653</v>
      </c>
      <c r="EP84" s="62">
        <f t="shared" si="100"/>
        <v>364.34913542817617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1.7943498948428447</v>
      </c>
      <c r="EX84" s="23">
        <f>EXP(-LN(2)/2)*EX83+(1-EXP(-LN(2)/2))/(LN(2)/2)*ER84*EU84*VLOOKUP('Données projet'!$B$15,Paramètres!$A$1:$I$89,3,0)*0.475*44/12</f>
        <v>1.8929085132129806E-7</v>
      </c>
      <c r="EY84" s="24">
        <f t="shared" si="75"/>
        <v>1.7943500841336959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14.2</v>
      </c>
      <c r="FE84" s="13">
        <f>IF('Données projet'!$A$218&gt;35,FE83+FD84-FM83,IF(A84&lt;'Données projet'!$A$218,$FB$205^A84,IF(A84='Données projet'!$A$218,'Données projet'!$B$218,FE83+FD84-FM83)))</f>
        <v>496</v>
      </c>
      <c r="FF84" s="18">
        <f>FE84*VLOOKUP('Données projet'!$B$16,Paramètres!$A$1:$I$89,3,0)*VLOOKUP('Données projet'!$B$16,Paramètres!$A$1:$I$89,5,0)</f>
        <v>232.12800000000001</v>
      </c>
      <c r="FG84" s="14">
        <f t="shared" si="101"/>
        <v>56.742557967082398</v>
      </c>
      <c r="FH84" s="22">
        <f t="shared" si="76"/>
        <v>503.11622179266845</v>
      </c>
      <c r="FI84" s="62">
        <f t="shared" si="77"/>
        <v>779.79011989362789</v>
      </c>
      <c r="FJ84" s="62">
        <f ca="1">AVERAGE(OFFSET($FI$3,0,0,'Données projet'!$E$16+1,1))-AVERAGE(OFFSET($H$3,0,0,'Données projet'!$E$16+1,1))</f>
        <v>344.55118007058775</v>
      </c>
      <c r="FK84" s="62">
        <f t="shared" si="102"/>
        <v>144.16931602355001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>
        <f>FZ84*VLOOKUP('Données projet'!$B$17,Paramètres!$A$1:$I$89,3,0)*VLOOKUP('Données projet'!$B$17,Paramètres!$A$1:$I$89,5,0)</f>
        <v>0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252.60122125520482</v>
      </c>
      <c r="GF84" s="62">
        <f t="shared" si="104"/>
        <v>357.56833754121317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2.5034859552360031</v>
      </c>
      <c r="GN84" s="23">
        <f>EXP(-LN(2)/2)*GN83+(1-EXP(-LN(2)/2))/(LN(2)/2)*GH84*GK84*VLOOKUP('Données projet'!$B$17,Paramètres!$A$1:$I$89,3,0)*0.475*44/12</f>
        <v>3.4810809955176907E-7</v>
      </c>
      <c r="GO84" s="23">
        <f t="shared" si="81"/>
        <v>2.5034863033441028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-1.1368683772161603E-13</v>
      </c>
      <c r="GV84" s="18">
        <f>GU84*VLOOKUP('Données projet'!$B$18,Paramètres!$A$1:$I$89,3,0)*VLOOKUP('Données projet'!$B$18,Paramètres!$A$1:$I$89,5,0)</f>
        <v>-9.2222762759774927E-14</v>
      </c>
      <c r="GW84" s="14" t="e">
        <f t="shared" si="105"/>
        <v>#NUM!</v>
      </c>
      <c r="GX84" s="22" t="e">
        <f t="shared" si="82"/>
        <v>#NUM!</v>
      </c>
      <c r="GY84" s="62" t="e">
        <f t="shared" si="83"/>
        <v>#NUM!</v>
      </c>
      <c r="GZ84" s="62">
        <f ca="1">AVERAGE(OFFSET($GY$3,0,0,'Données projet'!$E$18+1,1))-AVERAGE(OFFSET($H$3,0,0,'Données projet'!$E$18+1,1))</f>
        <v>268.57152522489537</v>
      </c>
      <c r="HA84" s="62">
        <f t="shared" si="106"/>
        <v>311.80303557283207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3.75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13.75</v>
      </c>
      <c r="H85" s="70">
        <f t="shared" si="56"/>
        <v>201.66666666666666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2">
        <f t="shared" si="55"/>
        <v>810.23775878473145</v>
      </c>
      <c r="S85" s="62">
        <f ca="1">AVERAGE(OFFSET($R$3,0,0,'Données projet'!$E$9+1,1))-AVERAGE(OFFSET($H$3,0,0,'Données projet'!$E$9+1,1))</f>
        <v>461.02780119093666</v>
      </c>
      <c r="T85" s="62">
        <f t="shared" si="88"/>
        <v>245.70016468438834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272.29999999999984</v>
      </c>
      <c r="AJ85" s="14">
        <f>AI85*VLOOKUP('Données projet'!$B$10,Paramètres!$A$1:$I$89,3,0)*VLOOKUP('Données projet'!$B$10,Paramètres!$A$1:$I$89,5,0)</f>
        <v>229.38551999999987</v>
      </c>
      <c r="AK85" s="14">
        <f t="shared" si="89"/>
        <v>56.149795908836779</v>
      </c>
      <c r="AL85" s="22">
        <f t="shared" si="58"/>
        <v>497.3073418745571</v>
      </c>
      <c r="AM85" s="62">
        <f t="shared" si="59"/>
        <v>774.27024393188071</v>
      </c>
      <c r="AN85" s="62">
        <f ca="1">AVERAGE(OFFSET($AM$3,0,0,'Données projet'!$E$10+1,1))-AVERAGE(OFFSET($H$3,0,0,'Données projet'!$E$10+1,1))</f>
        <v>434.22500776975596</v>
      </c>
      <c r="AO85" s="62">
        <f t="shared" si="90"/>
        <v>232.59777933076705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3.8461538461538454</v>
      </c>
      <c r="BD85" s="13">
        <f>IF('Données projet'!$A$88&gt;35,BD84+BC85-BL84,IF(A85&lt;'Données projet'!$A$88,$BA$205^A85,IF(A85='Données projet'!$A$88,'Données projet'!$B$88,BD84+BC85-BL84)))</f>
        <v>207.69230769230762</v>
      </c>
      <c r="BE85" s="14">
        <f>BD85*VLOOKUP('Données projet'!$B$11,Paramètres!$A$1:$I$89,3,0)*VLOOKUP('Données projet'!$B$11,Paramètres!$A$1:$I$89,5,0)</f>
        <v>197.63999999999993</v>
      </c>
      <c r="BF85" s="14">
        <f t="shared" si="91"/>
        <v>49.22515338895078</v>
      </c>
      <c r="BG85" s="22">
        <f t="shared" si="61"/>
        <v>429.95680881908919</v>
      </c>
      <c r="BH85" s="62">
        <f t="shared" si="62"/>
        <v>706.91971087641286</v>
      </c>
      <c r="BI85" s="62">
        <f ca="1">AVERAGE(OFFSET($BH$3,0,0,'Données projet'!$E$11+1,1))-AVERAGE(OFFSET($H$3,0,0,'Données projet'!$E$11+1,1))</f>
        <v>393.3005580838161</v>
      </c>
      <c r="BJ85" s="62">
        <f t="shared" si="92"/>
        <v>295.86019897822757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-4.5224624045658861E-14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388.52230330563884</v>
      </c>
      <c r="CE85" s="62">
        <f t="shared" si="94"/>
        <v>418.94833960687333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-4.1677594708744434E-14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362.38131866207266</v>
      </c>
      <c r="CZ85" s="62">
        <f t="shared" si="96"/>
        <v>390.74498763200336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2.8</v>
      </c>
      <c r="DO85" s="13">
        <f>IF('Données projet'!$A$166&gt;35,DO84+DN85-DW84,IF(A85&lt;'Données projet'!$A$166,$DL$205^A85,IF(A85='Données projet'!$A$166,'Données projet'!$B$166,DO84+DN85-DW84)))</f>
        <v>202.59999999999994</v>
      </c>
      <c r="DP85" s="18">
        <f>DO85*VLOOKUP('Données projet'!$B$14,Paramètres!$A$1:$I$89,3,0)*VLOOKUP('Données projet'!$B$14,Paramètres!$A$1:$I$89,5,0)</f>
        <v>176.99135999999996</v>
      </c>
      <c r="DQ85" s="14">
        <f t="shared" si="97"/>
        <v>44.65216395512175</v>
      </c>
      <c r="DR85" s="22">
        <f t="shared" si="70"/>
        <v>386.02913755517028</v>
      </c>
      <c r="DS85" s="62">
        <f t="shared" si="71"/>
        <v>662.99203961249395</v>
      </c>
      <c r="DT85" s="62">
        <f ca="1">AVERAGE(OFFSET($DS$3,0,0,'Données projet'!$E$14+1,1))-AVERAGE(OFFSET($H$3,0,0,'Données projet'!$E$14+1,1))</f>
        <v>334.4692012109935</v>
      </c>
      <c r="DU85" s="62">
        <f t="shared" si="98"/>
        <v>316.360405424036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-3.4106051316484809E-13</v>
      </c>
      <c r="EK85" s="18">
        <f>EJ85*VLOOKUP('Données projet'!$B$15,Paramètres!$A$1:$I$89,3,0)*VLOOKUP('Données projet'!$B$15,Paramètres!$A$1:$I$89,5,0)</f>
        <v>-1.9065282685915009E-13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390.09289316045653</v>
      </c>
      <c r="EP85" s="62">
        <f t="shared" si="100"/>
        <v>364.34913542817617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1.7452833026076071</v>
      </c>
      <c r="EX85" s="23">
        <f>EXP(-LN(2)/2)*EX84+(1-EXP(-LN(2)/2))/(LN(2)/2)*ER85*EU85*VLOOKUP('Données projet'!$B$15,Paramètres!$A$1:$I$89,3,0)*0.475*44/12</f>
        <v>1.3384884458586441E-7</v>
      </c>
      <c r="EY85" s="24">
        <f t="shared" si="75"/>
        <v>1.7452834364564518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14.2</v>
      </c>
      <c r="FE85" s="13">
        <f>IF('Données projet'!$A$218&gt;35,FE84+FD85-FM84,IF(A85&lt;'Données projet'!$A$218,$FB$205^A85,IF(A85='Données projet'!$A$218,'Données projet'!$B$218,FE84+FD85-FM84)))</f>
        <v>510.2</v>
      </c>
      <c r="FF85" s="18">
        <f>FE85*VLOOKUP('Données projet'!$B$16,Paramètres!$A$1:$I$89,3,0)*VLOOKUP('Données projet'!$B$16,Paramètres!$A$1:$I$89,5,0)</f>
        <v>238.77360000000002</v>
      </c>
      <c r="FG85" s="14">
        <f t="shared" si="101"/>
        <v>58.175585924051269</v>
      </c>
      <c r="FH85" s="22">
        <f t="shared" si="76"/>
        <v>517.18649881772251</v>
      </c>
      <c r="FI85" s="62">
        <f t="shared" si="77"/>
        <v>794.14940087504613</v>
      </c>
      <c r="FJ85" s="62">
        <f ca="1">AVERAGE(OFFSET($FI$3,0,0,'Données projet'!$E$16+1,1))-AVERAGE(OFFSET($H$3,0,0,'Données projet'!$E$16+1,1))</f>
        <v>344.55118007058775</v>
      </c>
      <c r="FK85" s="62">
        <f t="shared" si="102"/>
        <v>144.16931602355001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>
        <f>FZ85*VLOOKUP('Données projet'!$B$17,Paramètres!$A$1:$I$89,3,0)*VLOOKUP('Données projet'!$B$17,Paramètres!$A$1:$I$89,5,0)</f>
        <v>0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252.60122125520482</v>
      </c>
      <c r="GF85" s="62">
        <f t="shared" si="104"/>
        <v>357.56833754121317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2.43502800013747</v>
      </c>
      <c r="GN85" s="23">
        <f>EXP(-LN(2)/2)*GN84+(1-EXP(-LN(2)/2))/(LN(2)/2)*GH85*GK85*VLOOKUP('Données projet'!$B$17,Paramètres!$A$1:$I$89,3,0)*0.475*44/12</f>
        <v>2.4614959777901767E-7</v>
      </c>
      <c r="GO85" s="23">
        <f t="shared" si="81"/>
        <v>2.4350282462870676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-1.1368683772161603E-13</v>
      </c>
      <c r="GV85" s="18">
        <f>GU85*VLOOKUP('Données projet'!$B$18,Paramètres!$A$1:$I$89,3,0)*VLOOKUP('Données projet'!$B$18,Paramètres!$A$1:$I$89,5,0)</f>
        <v>-9.2222762759774927E-14</v>
      </c>
      <c r="GW85" s="14" t="e">
        <f t="shared" si="105"/>
        <v>#NUM!</v>
      </c>
      <c r="GX85" s="22" t="e">
        <f t="shared" si="82"/>
        <v>#NUM!</v>
      </c>
      <c r="GY85" s="62" t="e">
        <f t="shared" si="83"/>
        <v>#NUM!</v>
      </c>
      <c r="GZ85" s="62">
        <f ca="1">AVERAGE(OFFSET($GY$3,0,0,'Données projet'!$E$18+1,1))-AVERAGE(OFFSET($H$3,0,0,'Données projet'!$E$18+1,1))</f>
        <v>268.57152522489537</v>
      </c>
      <c r="HA85" s="62">
        <f t="shared" si="106"/>
        <v>311.80303557283207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3.75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13.75</v>
      </c>
      <c r="H86" s="70">
        <f t="shared" si="56"/>
        <v>201.66666666666666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251.71535999999983</v>
      </c>
      <c r="P86" s="14">
        <f t="shared" si="87"/>
        <v>60.953113068801812</v>
      </c>
      <c r="Q86" s="22">
        <f t="shared" si="54"/>
        <v>544.5642572614961</v>
      </c>
      <c r="R86" s="62">
        <f t="shared" si="55"/>
        <v>821.81114970265708</v>
      </c>
      <c r="S86" s="62">
        <f ca="1">AVERAGE(OFFSET($R$3,0,0,'Données projet'!$E$9+1,1))-AVERAGE(OFFSET($H$3,0,0,'Données projet'!$E$9+1,1))</f>
        <v>461.02780119093666</v>
      </c>
      <c r="T86" s="62">
        <f t="shared" si="88"/>
        <v>245.70016468438834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278.19999999999982</v>
      </c>
      <c r="AJ86" s="14">
        <f>AI86*VLOOKUP('Données projet'!$B$10,Paramètres!$A$1:$I$89,3,0)*VLOOKUP('Données projet'!$B$10,Paramètres!$A$1:$I$89,5,0)</f>
        <v>234.35567999999989</v>
      </c>
      <c r="AK86" s="14">
        <f t="shared" si="89"/>
        <v>57.223450596296843</v>
      </c>
      <c r="AL86" s="22">
        <f t="shared" si="58"/>
        <v>507.83365245521685</v>
      </c>
      <c r="AM86" s="62">
        <f t="shared" si="59"/>
        <v>785.08054489637777</v>
      </c>
      <c r="AN86" s="62">
        <f ca="1">AVERAGE(OFFSET($AM$3,0,0,'Données projet'!$E$10+1,1))-AVERAGE(OFFSET($H$3,0,0,'Données projet'!$E$10+1,1))</f>
        <v>434.22500776975596</v>
      </c>
      <c r="AO86" s="62">
        <f t="shared" si="90"/>
        <v>232.59777933076705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3.8461538461538454</v>
      </c>
      <c r="BD86" s="13">
        <f>IF('Données projet'!$A$88&gt;35,BD85+BC86-BL85,IF(A86&lt;'Données projet'!$A$88,$BA$205^A86,IF(A86='Données projet'!$A$88,'Données projet'!$B$88,BD85+BC86-BL85)))</f>
        <v>211.53846153846146</v>
      </c>
      <c r="BE86" s="14">
        <f>BD86*VLOOKUP('Données projet'!$B$11,Paramètres!$A$1:$I$89,3,0)*VLOOKUP('Données projet'!$B$11,Paramètres!$A$1:$I$89,5,0)</f>
        <v>201.29999999999993</v>
      </c>
      <c r="BF86" s="14">
        <f t="shared" si="91"/>
        <v>50.029760558277118</v>
      </c>
      <c r="BG86" s="22">
        <f t="shared" si="61"/>
        <v>437.73266630566582</v>
      </c>
      <c r="BH86" s="62">
        <f t="shared" si="62"/>
        <v>714.9795587468268</v>
      </c>
      <c r="BI86" s="62">
        <f ca="1">AVERAGE(OFFSET($BH$3,0,0,'Données projet'!$E$11+1,1))-AVERAGE(OFFSET($H$3,0,0,'Données projet'!$E$11+1,1))</f>
        <v>393.3005580838161</v>
      </c>
      <c r="BJ86" s="62">
        <f t="shared" si="92"/>
        <v>295.86019897822757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-4.5224624045658861E-14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388.52230330563884</v>
      </c>
      <c r="CE86" s="62">
        <f t="shared" si="94"/>
        <v>418.94833960687333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-4.1677594708744434E-14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362.38131866207266</v>
      </c>
      <c r="CZ86" s="62">
        <f t="shared" si="96"/>
        <v>390.74498763200336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2.8</v>
      </c>
      <c r="DO86" s="13">
        <f>IF('Données projet'!$A$166&gt;35,DO85+DN86-DW85,IF(A86&lt;'Données projet'!$A$166,$DL$205^A86,IF(A86='Données projet'!$A$166,'Données projet'!$B$166,DO85+DN86-DW85)))</f>
        <v>205.39999999999995</v>
      </c>
      <c r="DP86" s="18">
        <f>DO86*VLOOKUP('Données projet'!$B$14,Paramètres!$A$1:$I$89,3,0)*VLOOKUP('Données projet'!$B$14,Paramètres!$A$1:$I$89,5,0)</f>
        <v>179.43743999999998</v>
      </c>
      <c r="DQ86" s="14">
        <f t="shared" si="97"/>
        <v>45.197004138831623</v>
      </c>
      <c r="DR86" s="22">
        <f t="shared" si="70"/>
        <v>391.23832354179837</v>
      </c>
      <c r="DS86" s="62">
        <f t="shared" si="71"/>
        <v>668.48521598295929</v>
      </c>
      <c r="DT86" s="62">
        <f ca="1">AVERAGE(OFFSET($DS$3,0,0,'Données projet'!$E$14+1,1))-AVERAGE(OFFSET($H$3,0,0,'Données projet'!$E$14+1,1))</f>
        <v>334.4692012109935</v>
      </c>
      <c r="DU86" s="62">
        <f t="shared" si="98"/>
        <v>316.360405424036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-3.4106051316484809E-13</v>
      </c>
      <c r="EK86" s="18">
        <f>EJ86*VLOOKUP('Données projet'!$B$15,Paramètres!$A$1:$I$89,3,0)*VLOOKUP('Données projet'!$B$15,Paramètres!$A$1:$I$89,5,0)</f>
        <v>-1.9065282685915009E-13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390.09289316045653</v>
      </c>
      <c r="EP86" s="62">
        <f t="shared" si="100"/>
        <v>364.34913542817617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1.6975584389173421</v>
      </c>
      <c r="EX86" s="23">
        <f>EXP(-LN(2)/2)*EX85+(1-EXP(-LN(2)/2))/(LN(2)/2)*ER86*EU86*VLOOKUP('Données projet'!$B$15,Paramètres!$A$1:$I$89,3,0)*0.475*44/12</f>
        <v>9.464542566064903E-8</v>
      </c>
      <c r="EY86" s="24">
        <f t="shared" si="75"/>
        <v>1.6975585335627679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14.2</v>
      </c>
      <c r="FE86" s="13">
        <f>IF('Données projet'!$A$218&gt;35,FE85+FD86-FM85,IF(A86&lt;'Données projet'!$A$218,$FB$205^A86,IF(A86='Données projet'!$A$218,'Données projet'!$B$218,FE85+FD86-FM85)))</f>
        <v>524.4</v>
      </c>
      <c r="FF86" s="18">
        <f>FE86*VLOOKUP('Données projet'!$B$16,Paramètres!$A$1:$I$89,3,0)*VLOOKUP('Données projet'!$B$16,Paramètres!$A$1:$I$89,5,0)</f>
        <v>245.41919999999999</v>
      </c>
      <c r="FG86" s="14">
        <f t="shared" si="101"/>
        <v>59.603978221930504</v>
      </c>
      <c r="FH86" s="22">
        <f t="shared" si="76"/>
        <v>531.24870206986225</v>
      </c>
      <c r="FI86" s="62">
        <f t="shared" si="77"/>
        <v>808.49559451102323</v>
      </c>
      <c r="FJ86" s="62">
        <f ca="1">AVERAGE(OFFSET($FI$3,0,0,'Données projet'!$E$16+1,1))-AVERAGE(OFFSET($H$3,0,0,'Données projet'!$E$16+1,1))</f>
        <v>344.55118007058775</v>
      </c>
      <c r="FK86" s="62">
        <f t="shared" si="102"/>
        <v>144.16931602355001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252.60122125520482</v>
      </c>
      <c r="GF86" s="62">
        <f t="shared" si="104"/>
        <v>357.56833754121317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2.3684420314211536</v>
      </c>
      <c r="GN86" s="23">
        <f>EXP(-LN(2)/2)*GN85+(1-EXP(-LN(2)/2))/(LN(2)/2)*GH86*GK86*VLOOKUP('Données projet'!$B$17,Paramètres!$A$1:$I$89,3,0)*0.475*44/12</f>
        <v>1.7405404977588453E-7</v>
      </c>
      <c r="GO86" s="23">
        <f t="shared" si="81"/>
        <v>2.3684422054752035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-1.1368683772161603E-13</v>
      </c>
      <c r="GV86" s="18">
        <f>GU86*VLOOKUP('Données projet'!$B$18,Paramètres!$A$1:$I$89,3,0)*VLOOKUP('Données projet'!$B$18,Paramètres!$A$1:$I$89,5,0)</f>
        <v>-9.2222762759774927E-14</v>
      </c>
      <c r="GW86" s="14" t="e">
        <f t="shared" si="105"/>
        <v>#NUM!</v>
      </c>
      <c r="GX86" s="22" t="e">
        <f t="shared" si="82"/>
        <v>#NUM!</v>
      </c>
      <c r="GY86" s="62" t="e">
        <f t="shared" si="83"/>
        <v>#NUM!</v>
      </c>
      <c r="GZ86" s="62">
        <f ca="1">AVERAGE(OFFSET($GY$3,0,0,'Données projet'!$E$18+1,1))-AVERAGE(OFFSET($H$3,0,0,'Données projet'!$E$18+1,1))</f>
        <v>268.57152522489537</v>
      </c>
      <c r="HA86" s="62">
        <f t="shared" si="106"/>
        <v>311.80303557283207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3.75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13.75</v>
      </c>
      <c r="H87" s="70">
        <f t="shared" si="56"/>
        <v>201.66666666666666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2">
        <f t="shared" si="55"/>
        <v>833.37470270657241</v>
      </c>
      <c r="S87" s="62">
        <f ca="1">AVERAGE(OFFSET($R$3,0,0,'Données projet'!$E$9+1,1))-AVERAGE(OFFSET($H$3,0,0,'Données projet'!$E$9+1,1))</f>
        <v>461.02780119093666</v>
      </c>
      <c r="T87" s="62">
        <f t="shared" si="88"/>
        <v>245.70016468438834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284.0999999999998</v>
      </c>
      <c r="AJ87" s="14">
        <f>AI87*VLOOKUP('Données projet'!$B$10,Paramètres!$A$1:$I$89,3,0)*VLOOKUP('Données projet'!$B$10,Paramètres!$A$1:$I$89,5,0)</f>
        <v>239.32583999999986</v>
      </c>
      <c r="AK87" s="14">
        <f t="shared" si="89"/>
        <v>58.294457936161763</v>
      </c>
      <c r="AL87" s="22">
        <f t="shared" si="58"/>
        <v>518.3553522388147</v>
      </c>
      <c r="AM87" s="62">
        <f t="shared" si="59"/>
        <v>795.88130846556078</v>
      </c>
      <c r="AN87" s="62">
        <f ca="1">AVERAGE(OFFSET($AM$3,0,0,'Données projet'!$E$10+1,1))-AVERAGE(OFFSET($H$3,0,0,'Données projet'!$E$10+1,1))</f>
        <v>434.22500776975596</v>
      </c>
      <c r="AO87" s="62">
        <f t="shared" si="90"/>
        <v>232.59777933076705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3.8461538461538454</v>
      </c>
      <c r="BD87" s="13">
        <f>IF('Données projet'!$A$88&gt;35,BD86+BC87-BL86,IF(A87&lt;'Données projet'!$A$88,$BA$205^A87,IF(A87='Données projet'!$A$88,'Données projet'!$B$88,BD86+BC87-BL86)))</f>
        <v>215.3846153846153</v>
      </c>
      <c r="BE87" s="14">
        <f>BD87*VLOOKUP('Données projet'!$B$11,Paramètres!$A$1:$I$89,3,0)*VLOOKUP('Données projet'!$B$11,Paramètres!$A$1:$I$89,5,0)</f>
        <v>204.95999999999992</v>
      </c>
      <c r="BF87" s="14">
        <f t="shared" si="91"/>
        <v>50.832666587809335</v>
      </c>
      <c r="BG87" s="22">
        <f t="shared" si="61"/>
        <v>445.50556097376779</v>
      </c>
      <c r="BH87" s="62">
        <f t="shared" si="62"/>
        <v>723.0315172005138</v>
      </c>
      <c r="BI87" s="62">
        <f ca="1">AVERAGE(OFFSET($BH$3,0,0,'Données projet'!$E$11+1,1))-AVERAGE(OFFSET($H$3,0,0,'Données projet'!$E$11+1,1))</f>
        <v>393.3005580838161</v>
      </c>
      <c r="BJ87" s="62">
        <f t="shared" si="92"/>
        <v>295.86019897822757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-4.5224624045658861E-14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388.52230330563884</v>
      </c>
      <c r="CE87" s="62">
        <f t="shared" si="94"/>
        <v>418.94833960687333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-4.1677594708744434E-14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362.38131866207266</v>
      </c>
      <c r="CZ87" s="62">
        <f t="shared" si="96"/>
        <v>390.74498763200336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2.8</v>
      </c>
      <c r="DO87" s="13">
        <f>IF('Données projet'!$A$166&gt;35,DO86+DN87-DW86,IF(A87&lt;'Données projet'!$A$166,$DL$205^A87,IF(A87='Données projet'!$A$166,'Données projet'!$B$166,DO86+DN87-DW86)))</f>
        <v>208.19999999999996</v>
      </c>
      <c r="DP87" s="18">
        <f>DO87*VLOOKUP('Données projet'!$B$14,Paramètres!$A$1:$I$89,3,0)*VLOOKUP('Données projet'!$B$14,Paramètres!$A$1:$I$89,5,0)</f>
        <v>181.88351999999998</v>
      </c>
      <c r="DQ87" s="14">
        <f t="shared" si="97"/>
        <v>45.740980450513447</v>
      </c>
      <c r="DR87" s="22">
        <f t="shared" si="70"/>
        <v>396.4460049513109</v>
      </c>
      <c r="DS87" s="62">
        <f t="shared" si="71"/>
        <v>673.97196117805697</v>
      </c>
      <c r="DT87" s="62">
        <f ca="1">AVERAGE(OFFSET($DS$3,0,0,'Données projet'!$E$14+1,1))-AVERAGE(OFFSET($H$3,0,0,'Données projet'!$E$14+1,1))</f>
        <v>334.4692012109935</v>
      </c>
      <c r="DU87" s="62">
        <f t="shared" si="98"/>
        <v>316.360405424036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-3.4106051316484809E-13</v>
      </c>
      <c r="EK87" s="18">
        <f>EJ87*VLOOKUP('Données projet'!$B$15,Paramètres!$A$1:$I$89,3,0)*VLOOKUP('Données projet'!$B$15,Paramètres!$A$1:$I$89,5,0)</f>
        <v>-1.9065282685915009E-13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390.09289316045653</v>
      </c>
      <c r="EP87" s="62">
        <f t="shared" si="100"/>
        <v>364.34913542817617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1.6511386141344289</v>
      </c>
      <c r="EX87" s="23">
        <f>EXP(-LN(2)/2)*EX86+(1-EXP(-LN(2)/2))/(LN(2)/2)*ER87*EU87*VLOOKUP('Données projet'!$B$15,Paramètres!$A$1:$I$89,3,0)*0.475*44/12</f>
        <v>6.6924422292932203E-8</v>
      </c>
      <c r="EY87" s="24">
        <f t="shared" si="75"/>
        <v>1.6511386810588511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14.2</v>
      </c>
      <c r="FE87" s="13">
        <f>IF('Données projet'!$A$218&gt;35,FE86+FD87-FM86,IF(A87&lt;'Données projet'!$A$218,$FB$205^A87,IF(A87='Données projet'!$A$218,'Données projet'!$B$218,FE86+FD87-FM86)))</f>
        <v>538.6</v>
      </c>
      <c r="FF87" s="18">
        <f>FE87*VLOOKUP('Données projet'!$B$16,Paramètres!$A$1:$I$89,3,0)*VLOOKUP('Données projet'!$B$16,Paramètres!$A$1:$I$89,5,0)</f>
        <v>252.06480000000002</v>
      </c>
      <c r="FG87" s="14">
        <f t="shared" si="101"/>
        <v>61.027874813075776</v>
      </c>
      <c r="FH87" s="22">
        <f t="shared" si="76"/>
        <v>545.30307529944037</v>
      </c>
      <c r="FI87" s="62">
        <f t="shared" si="77"/>
        <v>822.82903152618633</v>
      </c>
      <c r="FJ87" s="62">
        <f ca="1">AVERAGE(OFFSET($FI$3,0,0,'Données projet'!$E$16+1,1))-AVERAGE(OFFSET($H$3,0,0,'Données projet'!$E$16+1,1))</f>
        <v>344.55118007058775</v>
      </c>
      <c r="FK87" s="62">
        <f t="shared" si="102"/>
        <v>144.16931602355001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252.60122125520482</v>
      </c>
      <c r="GF87" s="62">
        <f t="shared" si="104"/>
        <v>357.56833754121317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2.3036768595209889</v>
      </c>
      <c r="GN87" s="23">
        <f>EXP(-LN(2)/2)*GN86+(1-EXP(-LN(2)/2))/(LN(2)/2)*GH87*GK87*VLOOKUP('Données projet'!$B$17,Paramètres!$A$1:$I$89,3,0)*0.475*44/12</f>
        <v>1.2307479888950883E-7</v>
      </c>
      <c r="GO87" s="23">
        <f t="shared" si="81"/>
        <v>2.3036769825957877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-1.1368683772161603E-13</v>
      </c>
      <c r="GV87" s="18">
        <f>GU87*VLOOKUP('Données projet'!$B$18,Paramètres!$A$1:$I$89,3,0)*VLOOKUP('Données projet'!$B$18,Paramètres!$A$1:$I$89,5,0)</f>
        <v>-9.2222762759774927E-14</v>
      </c>
      <c r="GW87" s="14" t="e">
        <f t="shared" si="105"/>
        <v>#NUM!</v>
      </c>
      <c r="GX87" s="22" t="e">
        <f t="shared" si="82"/>
        <v>#NUM!</v>
      </c>
      <c r="GY87" s="62" t="e">
        <f t="shared" si="83"/>
        <v>#NUM!</v>
      </c>
      <c r="GZ87" s="62">
        <f ca="1">AVERAGE(OFFSET($GY$3,0,0,'Données projet'!$E$18+1,1))-AVERAGE(OFFSET($H$3,0,0,'Données projet'!$E$18+1,1))</f>
        <v>268.57152522489537</v>
      </c>
      <c r="HA87" s="62">
        <f t="shared" si="106"/>
        <v>311.80303557283207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3.75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13.75</v>
      </c>
      <c r="H88" s="70">
        <f t="shared" si="56"/>
        <v>201.66666666666666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2">
        <f t="shared" si="55"/>
        <v>844.92861700808771</v>
      </c>
      <c r="S88" s="62">
        <f ca="1">AVERAGE(OFFSET($R$3,0,0,'Données projet'!$E$9+1,1))-AVERAGE(OFFSET($H$3,0,0,'Données projet'!$E$9+1,1))</f>
        <v>461.02780119093666</v>
      </c>
      <c r="T88" s="62">
        <f t="shared" si="88"/>
        <v>245.70016468438834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289.99999999999977</v>
      </c>
      <c r="AJ88" s="14">
        <f>AI88*VLOOKUP('Données projet'!$B$10,Paramètres!$A$1:$I$89,3,0)*VLOOKUP('Données projet'!$B$10,Paramètres!$A$1:$I$89,5,0)</f>
        <v>244.29599999999982</v>
      </c>
      <c r="AK88" s="14">
        <f t="shared" si="89"/>
        <v>59.362879241040318</v>
      </c>
      <c r="AL88" s="22">
        <f t="shared" si="58"/>
        <v>528.87254801147822</v>
      </c>
      <c r="AM88" s="62">
        <f t="shared" si="59"/>
        <v>806.67272689102265</v>
      </c>
      <c r="AN88" s="62">
        <f ca="1">AVERAGE(OFFSET($AM$3,0,0,'Données projet'!$E$10+1,1))-AVERAGE(OFFSET($H$3,0,0,'Données projet'!$E$10+1,1))</f>
        <v>434.22500776975596</v>
      </c>
      <c r="AO88" s="62">
        <f t="shared" si="90"/>
        <v>232.59777933076705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219.23076923076923</v>
      </c>
      <c r="BB88" s="13">
        <f>VLOOKUP(A88,'Données projet'!$A$87:$I$107,9,0)</f>
        <v>3.8461538461538454</v>
      </c>
      <c r="BC88" s="13">
        <f t="array" ref="BC88">INDEX(BB:BB,MIN(IF(ISNUMBER(BB88:BB284),ROW(BB88:BB284),"")))</f>
        <v>3.8461538461538454</v>
      </c>
      <c r="BD88" s="13">
        <f>IF('Données projet'!$A$88&gt;35,BD87+BC88-BL87,IF(A88&lt;'Données projet'!$A$88,$BA$205^A88,IF(A88='Données projet'!$A$88,'Données projet'!$B$88,BD87+BC88-BL87)))</f>
        <v>219.23076923076914</v>
      </c>
      <c r="BE88" s="14">
        <f>BD88*VLOOKUP('Données projet'!$B$11,Paramètres!$A$1:$I$89,3,0)*VLOOKUP('Données projet'!$B$11,Paramètres!$A$1:$I$89,5,0)</f>
        <v>208.61999999999992</v>
      </c>
      <c r="BF88" s="14">
        <f t="shared" si="91"/>
        <v>51.63390535939368</v>
      </c>
      <c r="BG88" s="22">
        <f t="shared" si="61"/>
        <v>453.27555183427711</v>
      </c>
      <c r="BH88" s="62">
        <f t="shared" si="62"/>
        <v>731.0757307138216</v>
      </c>
      <c r="BI88" s="62">
        <f ca="1">AVERAGE(OFFSET($BH$3,0,0,'Données projet'!$E$11+1,1))-AVERAGE(OFFSET($H$3,0,0,'Données projet'!$E$11+1,1))</f>
        <v>393.3005580838161</v>
      </c>
      <c r="BJ88" s="62">
        <f t="shared" si="92"/>
        <v>295.86019897822757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-4.5224624045658861E-14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388.52230330563884</v>
      </c>
      <c r="CE88" s="62">
        <f t="shared" si="94"/>
        <v>418.94833960687333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-4.1677594708744434E-14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362.38131866207266</v>
      </c>
      <c r="CZ88" s="62">
        <f t="shared" si="96"/>
        <v>390.74498763200336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211</v>
      </c>
      <c r="DM88" s="13">
        <f>VLOOKUP(A88,'Données projet'!$A$165:$I$185,9,0)</f>
        <v>2.8</v>
      </c>
      <c r="DN88" s="13">
        <f t="array" ref="DN88">INDEX(DM:DM,MIN(IF(ISNUMBER(DM88:DM284),ROW(DM88:DM284),"")))</f>
        <v>2.8</v>
      </c>
      <c r="DO88" s="13">
        <f>IF('Données projet'!$A$166&gt;35,DO87+DN88-DW87,IF(A88&lt;'Données projet'!$A$166,$DL$205^A88,IF(A88='Données projet'!$A$166,'Données projet'!$B$166,DO87+DN88-DW87)))</f>
        <v>210.99999999999997</v>
      </c>
      <c r="DP88" s="18">
        <f>DO88*VLOOKUP('Données projet'!$B$14,Paramètres!$A$1:$I$89,3,0)*VLOOKUP('Données projet'!$B$14,Paramètres!$A$1:$I$89,5,0)</f>
        <v>184.3296</v>
      </c>
      <c r="DQ88" s="14">
        <f t="shared" si="97"/>
        <v>46.284105851003062</v>
      </c>
      <c r="DR88" s="22">
        <f t="shared" si="70"/>
        <v>401.65220435716361</v>
      </c>
      <c r="DS88" s="62">
        <f t="shared" si="71"/>
        <v>679.4523832367081</v>
      </c>
      <c r="DT88" s="62">
        <f ca="1">AVERAGE(OFFSET($DS$3,0,0,'Données projet'!$E$14+1,1))-AVERAGE(OFFSET($H$3,0,0,'Données projet'!$E$14+1,1))</f>
        <v>334.4692012109935</v>
      </c>
      <c r="DU88" s="62">
        <f t="shared" si="98"/>
        <v>316.360405424036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-3.4106051316484809E-13</v>
      </c>
      <c r="EK88" s="18">
        <f>EJ88*VLOOKUP('Données projet'!$B$15,Paramètres!$A$1:$I$89,3,0)*VLOOKUP('Données projet'!$B$15,Paramètres!$A$1:$I$89,5,0)</f>
        <v>-1.9065282685915009E-13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390.09289316045653</v>
      </c>
      <c r="EP88" s="62">
        <f t="shared" si="100"/>
        <v>364.34913542817617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1.6059881419013169</v>
      </c>
      <c r="EX88" s="23">
        <f>EXP(-LN(2)/2)*EX87+(1-EXP(-LN(2)/2))/(LN(2)/2)*ER88*EU88*VLOOKUP('Données projet'!$B$15,Paramètres!$A$1:$I$89,3,0)*0.475*44/12</f>
        <v>4.7322712830324515E-8</v>
      </c>
      <c r="EY88" s="24">
        <f t="shared" si="75"/>
        <v>1.6059881892240297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14.2</v>
      </c>
      <c r="FE88" s="13">
        <f>IF('Données projet'!$A$218&gt;35,FE87+FD88-FM87,IF(A88&lt;'Données projet'!$A$218,$FB$205^A88,IF(A88='Données projet'!$A$218,'Données projet'!$B$218,FE87+FD88-FM87)))</f>
        <v>552.80000000000007</v>
      </c>
      <c r="FF88" s="18">
        <f>FE88*VLOOKUP('Données projet'!$B$16,Paramètres!$A$1:$I$89,3,0)*VLOOKUP('Données projet'!$B$16,Paramètres!$A$1:$I$89,5,0)</f>
        <v>258.71040000000005</v>
      </c>
      <c r="FG88" s="14">
        <f t="shared" si="101"/>
        <v>62.447407850003529</v>
      </c>
      <c r="FH88" s="22">
        <f t="shared" si="76"/>
        <v>559.34984867208948</v>
      </c>
      <c r="FI88" s="62">
        <f t="shared" si="77"/>
        <v>837.15002755163391</v>
      </c>
      <c r="FJ88" s="62">
        <f ca="1">AVERAGE(OFFSET($FI$3,0,0,'Données projet'!$E$16+1,1))-AVERAGE(OFFSET($H$3,0,0,'Données projet'!$E$16+1,1))</f>
        <v>344.55118007058775</v>
      </c>
      <c r="FK88" s="62">
        <f t="shared" si="102"/>
        <v>144.16931602355001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252.60122125520482</v>
      </c>
      <c r="GF88" s="62">
        <f t="shared" si="104"/>
        <v>357.56833754121317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2.2406826946522864</v>
      </c>
      <c r="GN88" s="23">
        <f>EXP(-LN(2)/2)*GN87+(1-EXP(-LN(2)/2))/(LN(2)/2)*GH88*GK88*VLOOKUP('Données projet'!$B$17,Paramètres!$A$1:$I$89,3,0)*0.475*44/12</f>
        <v>8.7027024887942266E-8</v>
      </c>
      <c r="GO88" s="23">
        <f t="shared" si="81"/>
        <v>2.2406827816793111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-1.1368683772161603E-13</v>
      </c>
      <c r="GV88" s="18">
        <f>GU88*VLOOKUP('Données projet'!$B$18,Paramètres!$A$1:$I$89,3,0)*VLOOKUP('Données projet'!$B$18,Paramètres!$A$1:$I$89,5,0)</f>
        <v>-9.2222762759774927E-14</v>
      </c>
      <c r="GW88" s="14" t="e">
        <f t="shared" si="105"/>
        <v>#NUM!</v>
      </c>
      <c r="GX88" s="22" t="e">
        <f t="shared" si="82"/>
        <v>#NUM!</v>
      </c>
      <c r="GY88" s="62" t="e">
        <f t="shared" si="83"/>
        <v>#NUM!</v>
      </c>
      <c r="GZ88" s="62">
        <f ca="1">AVERAGE(OFFSET($GY$3,0,0,'Données projet'!$E$18+1,1))-AVERAGE(OFFSET($H$3,0,0,'Données projet'!$E$18+1,1))</f>
        <v>268.57152522489537</v>
      </c>
      <c r="HA88" s="62">
        <f t="shared" si="106"/>
        <v>311.80303557283207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3.75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13.75</v>
      </c>
      <c r="H89" s="70">
        <f t="shared" si="56"/>
        <v>201.66666666666666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2">
        <f t="shared" si="55"/>
        <v>774.76231109444234</v>
      </c>
      <c r="S89" s="62">
        <f ca="1">AVERAGE(OFFSET($R$3,0,0,'Données projet'!$E$9+1,1))-AVERAGE(OFFSET($H$3,0,0,'Données projet'!$E$9+1,1))</f>
        <v>461.02780119093666</v>
      </c>
      <c r="T89" s="62">
        <f t="shared" si="88"/>
        <v>245.70016468438834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253.19999999999976</v>
      </c>
      <c r="AJ89" s="14">
        <f>AI89*VLOOKUP('Données projet'!$B$10,Paramètres!$A$1:$I$89,3,0)*VLOOKUP('Données projet'!$B$10,Paramètres!$A$1:$I$89,5,0)</f>
        <v>213.29567999999981</v>
      </c>
      <c r="AK89" s="14">
        <f t="shared" si="89"/>
        <v>52.655120704446709</v>
      </c>
      <c r="AL89" s="22">
        <f t="shared" si="58"/>
        <v>463.19764456024433</v>
      </c>
      <c r="AM89" s="62">
        <f t="shared" si="59"/>
        <v>741.26728894263124</v>
      </c>
      <c r="AN89" s="62">
        <f ca="1">AVERAGE(OFFSET($AM$3,0,0,'Données projet'!$E$10+1,1))-AVERAGE(OFFSET($H$3,0,0,'Données projet'!$E$10+1,1))</f>
        <v>434.22500776975596</v>
      </c>
      <c r="AO89" s="62">
        <f t="shared" si="90"/>
        <v>232.59777933076705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3.5897435897435912</v>
      </c>
      <c r="BD89" s="13">
        <f>IF('Données projet'!$A$88&gt;35,BD88+BC89-BL88,IF(A89&lt;'Données projet'!$A$88,$BA$205^A89,IF(A89='Données projet'!$A$88,'Données projet'!$B$88,BD88+BC89-BL88)))</f>
        <v>222.82051282051273</v>
      </c>
      <c r="BE89" s="14">
        <f>BD89*VLOOKUP('Données projet'!$B$11,Paramètres!$A$1:$I$89,3,0)*VLOOKUP('Données projet'!$B$11,Paramètres!$A$1:$I$89,5,0)</f>
        <v>212.03599999999992</v>
      </c>
      <c r="BF89" s="14">
        <f t="shared" si="91"/>
        <v>52.380252774201118</v>
      </c>
      <c r="BG89" s="22">
        <f t="shared" si="61"/>
        <v>460.52497358173349</v>
      </c>
      <c r="BH89" s="62">
        <f t="shared" si="62"/>
        <v>738.59461796412029</v>
      </c>
      <c r="BI89" s="62">
        <f ca="1">AVERAGE(OFFSET($BH$3,0,0,'Données projet'!$E$11+1,1))-AVERAGE(OFFSET($H$3,0,0,'Données projet'!$E$11+1,1))</f>
        <v>393.3005580838161</v>
      </c>
      <c r="BJ89" s="62">
        <f t="shared" si="92"/>
        <v>295.86019897822757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-4.5224624045658861E-14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388.52230330563884</v>
      </c>
      <c r="CE89" s="62">
        <f t="shared" si="94"/>
        <v>418.94833960687333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-4.1677594708744434E-14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362.38131866207266</v>
      </c>
      <c r="CZ89" s="62">
        <f t="shared" si="96"/>
        <v>390.74498763200336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2.8</v>
      </c>
      <c r="DO89" s="13">
        <f>IF('Données projet'!$A$166&gt;35,DO88+DN89-DW88,IF(A89&lt;'Données projet'!$A$166,$DL$205^A89,IF(A89='Données projet'!$A$166,'Données projet'!$B$166,DO88+DN89-DW88)))</f>
        <v>213.79999999999998</v>
      </c>
      <c r="DP89" s="18">
        <f>DO89*VLOOKUP('Données projet'!$B$14,Paramètres!$A$1:$I$89,3,0)*VLOOKUP('Données projet'!$B$14,Paramètres!$A$1:$I$89,5,0)</f>
        <v>186.77568000000002</v>
      </c>
      <c r="DQ89" s="14">
        <f t="shared" si="97"/>
        <v>46.826392937381165</v>
      </c>
      <c r="DR89" s="22">
        <f t="shared" si="70"/>
        <v>406.85694369927222</v>
      </c>
      <c r="DS89" s="62">
        <f t="shared" si="71"/>
        <v>684.92658808165902</v>
      </c>
      <c r="DT89" s="62">
        <f ca="1">AVERAGE(OFFSET($DS$3,0,0,'Données projet'!$E$14+1,1))-AVERAGE(OFFSET($H$3,0,0,'Données projet'!$E$14+1,1))</f>
        <v>334.4692012109935</v>
      </c>
      <c r="DU89" s="62">
        <f t="shared" si="98"/>
        <v>316.360405424036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-3.4106051316484809E-13</v>
      </c>
      <c r="EK89" s="18">
        <f>EJ89*VLOOKUP('Données projet'!$B$15,Paramètres!$A$1:$I$89,3,0)*VLOOKUP('Données projet'!$B$15,Paramètres!$A$1:$I$89,5,0)</f>
        <v>-1.9065282685915009E-13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390.09289316045653</v>
      </c>
      <c r="EP89" s="62">
        <f t="shared" si="100"/>
        <v>364.34913542817617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1.5620723117057795</v>
      </c>
      <c r="EX89" s="23">
        <f>EXP(-LN(2)/2)*EX88+(1-EXP(-LN(2)/2))/(LN(2)/2)*ER89*EU89*VLOOKUP('Données projet'!$B$15,Paramètres!$A$1:$I$89,3,0)*0.475*44/12</f>
        <v>3.3462211146466102E-8</v>
      </c>
      <c r="EY89" s="24">
        <f t="shared" si="75"/>
        <v>1.5620723451679908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>
        <f>VLOOKUP(A89,'Données projet'!$A$217:$I$237,2,0)</f>
        <v>567</v>
      </c>
      <c r="FC89" s="13">
        <f>VLOOKUP(A89,'Données projet'!$A$217:$I$237,9,0)</f>
        <v>14.2</v>
      </c>
      <c r="FD89" s="13">
        <f t="array" ref="FD89">INDEX(FC:FC,MIN(IF(ISNUMBER(FC89:FC285),ROW(FC89:FC285),"")))</f>
        <v>14.2</v>
      </c>
      <c r="FE89" s="13">
        <f>IF('Données projet'!$A$218&gt;35,FE88+FD89-FM88,IF(A89&lt;'Données projet'!$A$218,$FB$205^A89,IF(A89='Données projet'!$A$218,'Données projet'!$B$218,FE88+FD89-FM88)))</f>
        <v>567.00000000000011</v>
      </c>
      <c r="FF89" s="18">
        <f>FE89*VLOOKUP('Données projet'!$B$16,Paramètres!$A$1:$I$89,3,0)*VLOOKUP('Données projet'!$B$16,Paramètres!$A$1:$I$89,5,0)</f>
        <v>265.35600000000005</v>
      </c>
      <c r="FG89" s="14">
        <f t="shared" si="101"/>
        <v>63.862702309129887</v>
      </c>
      <c r="FH89" s="22">
        <f t="shared" si="76"/>
        <v>573.38923985506801</v>
      </c>
      <c r="FI89" s="62">
        <f t="shared" si="77"/>
        <v>851.45888423745487</v>
      </c>
      <c r="FJ89" s="62">
        <f ca="1">AVERAGE(OFFSET($FI$3,0,0,'Données projet'!$E$16+1,1))-AVERAGE(OFFSET($H$3,0,0,'Données projet'!$E$16+1,1))</f>
        <v>344.55118007058775</v>
      </c>
      <c r="FK89" s="62">
        <f t="shared" si="102"/>
        <v>144.16931602355001</v>
      </c>
      <c r="FL89" s="16">
        <f>IF(ISNA(VLOOKUP(A89,'Données projet'!$A$217:$I$237,3,0)),0,VLOOKUP(A89,'Données projet'!$A$217:$I$237,3,0))</f>
        <v>5</v>
      </c>
      <c r="FM89" s="16">
        <f>IF(ISNA(VLOOKUP(A89,'Données projet'!$A$217:$I$237,4,0)),0,VLOOKUP(A89,'Données projet'!$A$217:$I$237,4,0))</f>
        <v>108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252.60122125520482</v>
      </c>
      <c r="GF89" s="62">
        <f t="shared" si="104"/>
        <v>357.56833754121317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2.1794111085346377</v>
      </c>
      <c r="GN89" s="23">
        <f>EXP(-LN(2)/2)*GN88+(1-EXP(-LN(2)/2))/(LN(2)/2)*GH89*GK89*VLOOKUP('Données projet'!$B$17,Paramètres!$A$1:$I$89,3,0)*0.475*44/12</f>
        <v>6.1537399444754417E-8</v>
      </c>
      <c r="GO89" s="23">
        <f t="shared" si="81"/>
        <v>2.1794111700720373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-1.1368683772161603E-13</v>
      </c>
      <c r="GV89" s="18">
        <f>GU89*VLOOKUP('Données projet'!$B$18,Paramètres!$A$1:$I$89,3,0)*VLOOKUP('Données projet'!$B$18,Paramètres!$A$1:$I$89,5,0)</f>
        <v>-9.2222762759774927E-14</v>
      </c>
      <c r="GW89" s="14" t="e">
        <f t="shared" si="105"/>
        <v>#NUM!</v>
      </c>
      <c r="GX89" s="22" t="e">
        <f t="shared" si="82"/>
        <v>#NUM!</v>
      </c>
      <c r="GY89" s="62" t="e">
        <f t="shared" si="83"/>
        <v>#NUM!</v>
      </c>
      <c r="GZ89" s="62">
        <f ca="1">AVERAGE(OFFSET($GY$3,0,0,'Données projet'!$E$18+1,1))-AVERAGE(OFFSET($H$3,0,0,'Données projet'!$E$18+1,1))</f>
        <v>268.57152522489537</v>
      </c>
      <c r="HA89" s="62">
        <f t="shared" si="106"/>
        <v>311.80303557283207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3.75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13.75</v>
      </c>
      <c r="H90" s="70">
        <f t="shared" si="56"/>
        <v>201.66666666666666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2">
        <f t="shared" si="55"/>
        <v>784.99212062708159</v>
      </c>
      <c r="S90" s="62">
        <f ca="1">AVERAGE(OFFSET($R$3,0,0,'Données projet'!$E$9+1,1))-AVERAGE(OFFSET($H$3,0,0,'Données projet'!$E$9+1,1))</f>
        <v>461.02780119093666</v>
      </c>
      <c r="T90" s="62">
        <f t="shared" si="88"/>
        <v>245.70016468438834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258.39999999999975</v>
      </c>
      <c r="AJ90" s="14">
        <f>AI90*VLOOKUP('Données projet'!$B$10,Paramètres!$A$1:$I$89,3,0)*VLOOKUP('Données projet'!$B$10,Paramètres!$A$1:$I$89,5,0)</f>
        <v>217.67615999999984</v>
      </c>
      <c r="AK90" s="14">
        <f t="shared" si="89"/>
        <v>53.609498850196708</v>
      </c>
      <c r="AL90" s="22">
        <f t="shared" si="58"/>
        <v>472.48918916409229</v>
      </c>
      <c r="AM90" s="62">
        <f t="shared" si="59"/>
        <v>750.82362442528165</v>
      </c>
      <c r="AN90" s="62">
        <f ca="1">AVERAGE(OFFSET($AM$3,0,0,'Données projet'!$E$10+1,1))-AVERAGE(OFFSET($H$3,0,0,'Données projet'!$E$10+1,1))</f>
        <v>434.22500776975596</v>
      </c>
      <c r="AO90" s="62">
        <f t="shared" si="90"/>
        <v>232.59777933076705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3.5897435897435912</v>
      </c>
      <c r="BD90" s="13">
        <f>IF('Données projet'!$A$88&gt;35,BD89+BC90-BL89,IF(A90&lt;'Données projet'!$A$88,$BA$205^A90,IF(A90='Données projet'!$A$88,'Données projet'!$B$88,BD89+BC90-BL89)))</f>
        <v>226.41025641025632</v>
      </c>
      <c r="BE90" s="14">
        <f>BD90*VLOOKUP('Données projet'!$B$11,Paramètres!$A$1:$I$89,3,0)*VLOOKUP('Données projet'!$B$11,Paramètres!$A$1:$I$89,5,0)</f>
        <v>215.45199999999988</v>
      </c>
      <c r="BF90" s="14">
        <f t="shared" si="91"/>
        <v>53.125201841889961</v>
      </c>
      <c r="BG90" s="22">
        <f t="shared" si="61"/>
        <v>467.77195987462483</v>
      </c>
      <c r="BH90" s="62">
        <f t="shared" si="62"/>
        <v>746.10639513581418</v>
      </c>
      <c r="BI90" s="62">
        <f ca="1">AVERAGE(OFFSET($BH$3,0,0,'Données projet'!$E$11+1,1))-AVERAGE(OFFSET($H$3,0,0,'Données projet'!$E$11+1,1))</f>
        <v>393.3005580838161</v>
      </c>
      <c r="BJ90" s="62">
        <f t="shared" si="92"/>
        <v>295.86019897822757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-4.5224624045658861E-14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388.52230330563884</v>
      </c>
      <c r="CE90" s="62">
        <f t="shared" si="94"/>
        <v>418.94833960687333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-4.1677594708744434E-14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362.38131866207266</v>
      </c>
      <c r="CZ90" s="62">
        <f t="shared" si="96"/>
        <v>390.74498763200336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2.8</v>
      </c>
      <c r="DO90" s="13">
        <f>IF('Données projet'!$A$166&gt;35,DO89+DN90-DW89,IF(A90&lt;'Données projet'!$A$166,$DL$205^A90,IF(A90='Données projet'!$A$166,'Données projet'!$B$166,DO89+DN90-DW89)))</f>
        <v>216.6</v>
      </c>
      <c r="DP90" s="18">
        <f>DO90*VLOOKUP('Données projet'!$B$14,Paramètres!$A$1:$I$89,3,0)*VLOOKUP('Données projet'!$B$14,Paramètres!$A$1:$I$89,5,0)</f>
        <v>189.22176000000002</v>
      </c>
      <c r="DQ90" s="14">
        <f t="shared" si="97"/>
        <v>47.367853957810077</v>
      </c>
      <c r="DR90" s="22">
        <f t="shared" si="70"/>
        <v>412.06024430985258</v>
      </c>
      <c r="DS90" s="62">
        <f t="shared" si="71"/>
        <v>690.39467957104193</v>
      </c>
      <c r="DT90" s="62">
        <f ca="1">AVERAGE(OFFSET($DS$3,0,0,'Données projet'!$E$14+1,1))-AVERAGE(OFFSET($H$3,0,0,'Données projet'!$E$14+1,1))</f>
        <v>334.4692012109935</v>
      </c>
      <c r="DU90" s="62">
        <f t="shared" si="98"/>
        <v>316.360405424036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-3.4106051316484809E-13</v>
      </c>
      <c r="EK90" s="18">
        <f>EJ90*VLOOKUP('Données projet'!$B$15,Paramètres!$A$1:$I$89,3,0)*VLOOKUP('Données projet'!$B$15,Paramètres!$A$1:$I$89,5,0)</f>
        <v>-1.9065282685915009E-13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390.09289316045653</v>
      </c>
      <c r="EP90" s="62">
        <f t="shared" si="100"/>
        <v>364.34913542817617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1.5193573621963723</v>
      </c>
      <c r="EX90" s="23">
        <f>EXP(-LN(2)/2)*EX89+(1-EXP(-LN(2)/2))/(LN(2)/2)*ER90*EU90*VLOOKUP('Données projet'!$B$15,Paramètres!$A$1:$I$89,3,0)*0.475*44/12</f>
        <v>2.3661356415162257E-8</v>
      </c>
      <c r="EY90" s="24">
        <f t="shared" si="75"/>
        <v>1.5193573858577287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13</v>
      </c>
      <c r="FE90" s="13">
        <f>IF('Données projet'!$A$218&gt;35,FE89+FD90-FM89,IF(A90&lt;'Données projet'!$A$218,$FB$205^A90,IF(A90='Données projet'!$A$218,'Données projet'!$B$218,FE89+FD90-FM89)))</f>
        <v>472.00000000000011</v>
      </c>
      <c r="FF90" s="18">
        <f>FE90*VLOOKUP('Données projet'!$B$16,Paramètres!$A$1:$I$89,3,0)*VLOOKUP('Données projet'!$B$16,Paramètres!$A$1:$I$89,5,0)</f>
        <v>220.89600000000007</v>
      </c>
      <c r="FG90" s="14">
        <f t="shared" si="101"/>
        <v>54.309580803412281</v>
      </c>
      <c r="FH90" s="22">
        <f t="shared" si="76"/>
        <v>479.31638656594322</v>
      </c>
      <c r="FI90" s="62">
        <f t="shared" si="77"/>
        <v>757.65082182713263</v>
      </c>
      <c r="FJ90" s="62">
        <f ca="1">AVERAGE(OFFSET($FI$3,0,0,'Données projet'!$E$16+1,1))-AVERAGE(OFFSET($H$3,0,0,'Données projet'!$E$16+1,1))</f>
        <v>344.55118007058775</v>
      </c>
      <c r="FK90" s="62">
        <f t="shared" si="102"/>
        <v>144.16931602355001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252.60122125520482</v>
      </c>
      <c r="GF90" s="62">
        <f t="shared" si="104"/>
        <v>357.56833754121317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2.1198149971615088</v>
      </c>
      <c r="GN90" s="23">
        <f>EXP(-LN(2)/2)*GN89+(1-EXP(-LN(2)/2))/(LN(2)/2)*GH90*GK90*VLOOKUP('Données projet'!$B$17,Paramètres!$A$1:$I$89,3,0)*0.475*44/12</f>
        <v>4.3513512443971133E-8</v>
      </c>
      <c r="GO90" s="23">
        <f t="shared" si="81"/>
        <v>2.1198150406750211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-1.1368683772161603E-13</v>
      </c>
      <c r="GV90" s="18">
        <f>GU90*VLOOKUP('Données projet'!$B$18,Paramètres!$A$1:$I$89,3,0)*VLOOKUP('Données projet'!$B$18,Paramètres!$A$1:$I$89,5,0)</f>
        <v>-9.2222762759774927E-14</v>
      </c>
      <c r="GW90" s="14" t="e">
        <f t="shared" si="105"/>
        <v>#NUM!</v>
      </c>
      <c r="GX90" s="22" t="e">
        <f t="shared" si="82"/>
        <v>#NUM!</v>
      </c>
      <c r="GY90" s="62" t="e">
        <f t="shared" si="83"/>
        <v>#NUM!</v>
      </c>
      <c r="GZ90" s="62">
        <f ca="1">AVERAGE(OFFSET($GY$3,0,0,'Données projet'!$E$18+1,1))-AVERAGE(OFFSET($H$3,0,0,'Données projet'!$E$18+1,1))</f>
        <v>268.57152522489537</v>
      </c>
      <c r="HA90" s="62">
        <f t="shared" si="106"/>
        <v>311.80303557283207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3.75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13.75</v>
      </c>
      <c r="H91" s="70">
        <f t="shared" si="56"/>
        <v>201.66666666666666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2">
        <f t="shared" si="55"/>
        <v>795.2131938332127</v>
      </c>
      <c r="S91" s="62">
        <f ca="1">AVERAGE(OFFSET($R$3,0,0,'Données projet'!$E$9+1,1))-AVERAGE(OFFSET($H$3,0,0,'Données projet'!$E$9+1,1))</f>
        <v>461.02780119093666</v>
      </c>
      <c r="T91" s="62">
        <f t="shared" si="88"/>
        <v>245.70016468438834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263.59999999999974</v>
      </c>
      <c r="AJ91" s="14">
        <f>AI91*VLOOKUP('Données projet'!$B$10,Paramètres!$A$1:$I$89,3,0)*VLOOKUP('Données projet'!$B$10,Paramètres!$A$1:$I$89,5,0)</f>
        <v>222.05663999999982</v>
      </c>
      <c r="AK91" s="14">
        <f t="shared" si="89"/>
        <v>54.561643903321261</v>
      </c>
      <c r="AL91" s="22">
        <f t="shared" si="58"/>
        <v>481.77684446495078</v>
      </c>
      <c r="AM91" s="62">
        <f t="shared" si="59"/>
        <v>760.37147707517943</v>
      </c>
      <c r="AN91" s="62">
        <f ca="1">AVERAGE(OFFSET($AM$3,0,0,'Données projet'!$E$10+1,1))-AVERAGE(OFFSET($H$3,0,0,'Données projet'!$E$10+1,1))</f>
        <v>434.22500776975596</v>
      </c>
      <c r="AO91" s="62">
        <f t="shared" si="90"/>
        <v>232.59777933076705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3.5897435897435912</v>
      </c>
      <c r="BD91" s="13">
        <f>IF('Données projet'!$A$88&gt;35,BD90+BC91-BL90,IF(A91&lt;'Données projet'!$A$88,$BA$205^A91,IF(A91='Données projet'!$A$88,'Données projet'!$B$88,BD90+BC91-BL90)))</f>
        <v>229.99999999999991</v>
      </c>
      <c r="BE91" s="14">
        <f>BD91*VLOOKUP('Données projet'!$B$11,Paramètres!$A$1:$I$89,3,0)*VLOOKUP('Données projet'!$B$11,Paramètres!$A$1:$I$89,5,0)</f>
        <v>218.86799999999994</v>
      </c>
      <c r="BF91" s="14">
        <f t="shared" si="91"/>
        <v>53.868777293257502</v>
      </c>
      <c r="BG91" s="22">
        <f t="shared" si="61"/>
        <v>475.01655378575668</v>
      </c>
      <c r="BH91" s="62">
        <f t="shared" si="62"/>
        <v>753.61118639598521</v>
      </c>
      <c r="BI91" s="62">
        <f ca="1">AVERAGE(OFFSET($BH$3,0,0,'Données projet'!$E$11+1,1))-AVERAGE(OFFSET($H$3,0,0,'Données projet'!$E$11+1,1))</f>
        <v>393.3005580838161</v>
      </c>
      <c r="BJ91" s="62">
        <f t="shared" si="92"/>
        <v>295.86019897822757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-4.5224624045658861E-14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388.52230330563884</v>
      </c>
      <c r="CE91" s="62">
        <f t="shared" si="94"/>
        <v>418.94833960687333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-4.1677594708744434E-14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362.38131866207266</v>
      </c>
      <c r="CZ91" s="62">
        <f t="shared" si="96"/>
        <v>390.74498763200336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2.8</v>
      </c>
      <c r="DO91" s="13">
        <f>IF('Données projet'!$A$166&gt;35,DO90+DN91-DW90,IF(A91&lt;'Données projet'!$A$166,$DL$205^A91,IF(A91='Données projet'!$A$166,'Données projet'!$B$166,DO90+DN91-DW90)))</f>
        <v>219.4</v>
      </c>
      <c r="DP91" s="18">
        <f>DO91*VLOOKUP('Données projet'!$B$14,Paramètres!$A$1:$I$89,3,0)*VLOOKUP('Données projet'!$B$14,Paramètres!$A$1:$I$89,5,0)</f>
        <v>191.66784000000004</v>
      </c>
      <c r="DQ91" s="14">
        <f t="shared" si="97"/>
        <v>47.908500825580958</v>
      </c>
      <c r="DR91" s="22">
        <f t="shared" si="70"/>
        <v>417.26212693788688</v>
      </c>
      <c r="DS91" s="62">
        <f t="shared" si="71"/>
        <v>695.85675954811541</v>
      </c>
      <c r="DT91" s="62">
        <f ca="1">AVERAGE(OFFSET($DS$3,0,0,'Données projet'!$E$14+1,1))-AVERAGE(OFFSET($H$3,0,0,'Données projet'!$E$14+1,1))</f>
        <v>334.4692012109935</v>
      </c>
      <c r="DU91" s="62">
        <f t="shared" si="98"/>
        <v>316.360405424036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-3.4106051316484809E-13</v>
      </c>
      <c r="EK91" s="18">
        <f>EJ91*VLOOKUP('Données projet'!$B$15,Paramètres!$A$1:$I$89,3,0)*VLOOKUP('Données projet'!$B$15,Paramètres!$A$1:$I$89,5,0)</f>
        <v>-1.9065282685915009E-13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390.09289316045653</v>
      </c>
      <c r="EP91" s="62">
        <f t="shared" si="100"/>
        <v>364.34913542817617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1.4778104552275813</v>
      </c>
      <c r="EX91" s="23">
        <f>EXP(-LN(2)/2)*EX90+(1-EXP(-LN(2)/2))/(LN(2)/2)*ER91*EU91*VLOOKUP('Données projet'!$B$15,Paramètres!$A$1:$I$89,3,0)*0.475*44/12</f>
        <v>1.6731105573233051E-8</v>
      </c>
      <c r="EY91" s="24">
        <f t="shared" si="75"/>
        <v>1.4778104719586869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13</v>
      </c>
      <c r="FE91" s="13">
        <f>IF('Données projet'!$A$218&gt;35,FE90+FD91-FM90,IF(A91&lt;'Données projet'!$A$218,$FB$205^A91,IF(A91='Données projet'!$A$218,'Données projet'!$B$218,FE90+FD91-FM90)))</f>
        <v>485.00000000000011</v>
      </c>
      <c r="FF91" s="18">
        <f>FE91*VLOOKUP('Données projet'!$B$16,Paramètres!$A$1:$I$89,3,0)*VLOOKUP('Données projet'!$B$16,Paramètres!$A$1:$I$89,5,0)</f>
        <v>226.98000000000005</v>
      </c>
      <c r="FG91" s="14">
        <f t="shared" si="101"/>
        <v>55.629185455335929</v>
      </c>
      <c r="FH91" s="22">
        <f t="shared" si="76"/>
        <v>492.21099800137682</v>
      </c>
      <c r="FI91" s="62">
        <f t="shared" si="77"/>
        <v>770.80563061160547</v>
      </c>
      <c r="FJ91" s="62">
        <f ca="1">AVERAGE(OFFSET($FI$3,0,0,'Données projet'!$E$16+1,1))-AVERAGE(OFFSET($H$3,0,0,'Données projet'!$E$16+1,1))</f>
        <v>344.55118007058775</v>
      </c>
      <c r="FK91" s="62">
        <f t="shared" si="102"/>
        <v>144.16931602355001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252.60122125520482</v>
      </c>
      <c r="GF91" s="62">
        <f t="shared" si="104"/>
        <v>357.56833754121317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2.0618485445879013</v>
      </c>
      <c r="GN91" s="23">
        <f>EXP(-LN(2)/2)*GN90+(1-EXP(-LN(2)/2))/(LN(2)/2)*GH91*GK91*VLOOKUP('Données projet'!$B$17,Paramètres!$A$1:$I$89,3,0)*0.475*44/12</f>
        <v>3.0768699722377209E-8</v>
      </c>
      <c r="GO91" s="23">
        <f t="shared" si="81"/>
        <v>2.0618485753566009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-1.1368683772161603E-13</v>
      </c>
      <c r="GV91" s="18">
        <f>GU91*VLOOKUP('Données projet'!$B$18,Paramètres!$A$1:$I$89,3,0)*VLOOKUP('Données projet'!$B$18,Paramètres!$A$1:$I$89,5,0)</f>
        <v>-9.2222762759774927E-14</v>
      </c>
      <c r="GW91" s="14" t="e">
        <f t="shared" si="105"/>
        <v>#NUM!</v>
      </c>
      <c r="GX91" s="22" t="e">
        <f t="shared" si="82"/>
        <v>#NUM!</v>
      </c>
      <c r="GY91" s="62" t="e">
        <f t="shared" si="83"/>
        <v>#NUM!</v>
      </c>
      <c r="GZ91" s="62">
        <f ca="1">AVERAGE(OFFSET($GY$3,0,0,'Données projet'!$E$18+1,1))-AVERAGE(OFFSET($H$3,0,0,'Données projet'!$E$18+1,1))</f>
        <v>268.57152522489537</v>
      </c>
      <c r="HA91" s="62">
        <f t="shared" si="106"/>
        <v>311.80303557283207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3.75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13.75</v>
      </c>
      <c r="H92" s="70">
        <f t="shared" si="56"/>
        <v>201.66666666666666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2">
        <f t="shared" si="55"/>
        <v>805.42570154465011</v>
      </c>
      <c r="S92" s="62">
        <f ca="1">AVERAGE(OFFSET($R$3,0,0,'Données projet'!$E$9+1,1))-AVERAGE(OFFSET($H$3,0,0,'Données projet'!$E$9+1,1))</f>
        <v>461.02780119093666</v>
      </c>
      <c r="T92" s="62">
        <f t="shared" si="88"/>
        <v>245.70016468438834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268.79999999999973</v>
      </c>
      <c r="AJ92" s="14">
        <f>AI92*VLOOKUP('Données projet'!$B$10,Paramètres!$A$1:$I$89,3,0)*VLOOKUP('Données projet'!$B$10,Paramètres!$A$1:$I$89,5,0)</f>
        <v>226.43711999999982</v>
      </c>
      <c r="AK92" s="14">
        <f t="shared" si="89"/>
        <v>55.5116049933753</v>
      </c>
      <c r="AL92" s="22">
        <f t="shared" si="58"/>
        <v>491.06069603012833</v>
      </c>
      <c r="AM92" s="62">
        <f t="shared" si="59"/>
        <v>769.91101214710432</v>
      </c>
      <c r="AN92" s="62">
        <f ca="1">AVERAGE(OFFSET($AM$3,0,0,'Données projet'!$E$10+1,1))-AVERAGE(OFFSET($H$3,0,0,'Données projet'!$E$10+1,1))</f>
        <v>434.22500776975596</v>
      </c>
      <c r="AO92" s="62">
        <f t="shared" si="90"/>
        <v>232.59777933076705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3.5897435897435912</v>
      </c>
      <c r="BD92" s="13">
        <f>IF('Données projet'!$A$88&gt;35,BD91+BC92-BL91,IF(A92&lt;'Données projet'!$A$88,$BA$205^A92,IF(A92='Données projet'!$A$88,'Données projet'!$B$88,BD91+BC92-BL91)))</f>
        <v>233.58974358974351</v>
      </c>
      <c r="BE92" s="14">
        <f>BD92*VLOOKUP('Données projet'!$B$11,Paramètres!$A$1:$I$89,3,0)*VLOOKUP('Données projet'!$B$11,Paramètres!$A$1:$I$89,5,0)</f>
        <v>222.28399999999993</v>
      </c>
      <c r="BF92" s="14">
        <f t="shared" si="91"/>
        <v>54.611003042838703</v>
      </c>
      <c r="BG92" s="22">
        <f t="shared" si="61"/>
        <v>482.25879696627726</v>
      </c>
      <c r="BH92" s="62">
        <f t="shared" si="62"/>
        <v>761.10911308325331</v>
      </c>
      <c r="BI92" s="62">
        <f ca="1">AVERAGE(OFFSET($BH$3,0,0,'Données projet'!$E$11+1,1))-AVERAGE(OFFSET($H$3,0,0,'Données projet'!$E$11+1,1))</f>
        <v>393.3005580838161</v>
      </c>
      <c r="BJ92" s="62">
        <f t="shared" si="92"/>
        <v>295.86019897822757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-4.5224624045658861E-14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388.52230330563884</v>
      </c>
      <c r="CE92" s="62">
        <f t="shared" si="94"/>
        <v>418.94833960687333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-4.1677594708744434E-14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362.38131866207266</v>
      </c>
      <c r="CZ92" s="62">
        <f t="shared" si="96"/>
        <v>390.74498763200336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2.8</v>
      </c>
      <c r="DO92" s="13">
        <f>IF('Données projet'!$A$166&gt;35,DO91+DN92-DW91,IF(A92&lt;'Données projet'!$A$166,$DL$205^A92,IF(A92='Données projet'!$A$166,'Données projet'!$B$166,DO91+DN92-DW91)))</f>
        <v>222.20000000000002</v>
      </c>
      <c r="DP92" s="18">
        <f>DO92*VLOOKUP('Données projet'!$B$14,Paramètres!$A$1:$I$89,3,0)*VLOOKUP('Données projet'!$B$14,Paramètres!$A$1:$I$89,5,0)</f>
        <v>194.11392000000004</v>
      </c>
      <c r="DQ92" s="14">
        <f t="shared" si="97"/>
        <v>48.44834513242396</v>
      </c>
      <c r="DR92" s="22">
        <f t="shared" si="70"/>
        <v>422.46261177230508</v>
      </c>
      <c r="DS92" s="62">
        <f t="shared" si="71"/>
        <v>701.31292788928113</v>
      </c>
      <c r="DT92" s="62">
        <f ca="1">AVERAGE(OFFSET($DS$3,0,0,'Données projet'!$E$14+1,1))-AVERAGE(OFFSET($H$3,0,0,'Données projet'!$E$14+1,1))</f>
        <v>334.4692012109935</v>
      </c>
      <c r="DU92" s="62">
        <f t="shared" si="98"/>
        <v>316.360405424036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-3.4106051316484809E-13</v>
      </c>
      <c r="EK92" s="18">
        <f>EJ92*VLOOKUP('Données projet'!$B$15,Paramètres!$A$1:$I$89,3,0)*VLOOKUP('Données projet'!$B$15,Paramètres!$A$1:$I$89,5,0)</f>
        <v>-1.9065282685915009E-13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390.09289316045653</v>
      </c>
      <c r="EP92" s="62">
        <f t="shared" si="100"/>
        <v>364.34913542817617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1.4373996506147089</v>
      </c>
      <c r="EX92" s="23">
        <f>EXP(-LN(2)/2)*EX91+(1-EXP(-LN(2)/2))/(LN(2)/2)*ER92*EU92*VLOOKUP('Données projet'!$B$15,Paramètres!$A$1:$I$89,3,0)*0.475*44/12</f>
        <v>1.1830678207581129E-8</v>
      </c>
      <c r="EY92" s="24">
        <f t="shared" si="75"/>
        <v>1.4373996624453871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13</v>
      </c>
      <c r="FE92" s="13">
        <f>IF('Données projet'!$A$218&gt;35,FE91+FD92-FM91,IF(A92&lt;'Données projet'!$A$218,$FB$205^A92,IF(A92='Données projet'!$A$218,'Données projet'!$B$218,FE91+FD92-FM91)))</f>
        <v>498.00000000000011</v>
      </c>
      <c r="FF92" s="18">
        <f>FE92*VLOOKUP('Données projet'!$B$16,Paramètres!$A$1:$I$89,3,0)*VLOOKUP('Données projet'!$B$16,Paramètres!$A$1:$I$89,5,0)</f>
        <v>233.06400000000005</v>
      </c>
      <c r="FG92" s="14">
        <f t="shared" si="101"/>
        <v>56.944678836622806</v>
      </c>
      <c r="FH92" s="22">
        <f t="shared" si="76"/>
        <v>505.0984489737848</v>
      </c>
      <c r="FI92" s="62">
        <f t="shared" si="77"/>
        <v>783.94876509076084</v>
      </c>
      <c r="FJ92" s="62">
        <f ca="1">AVERAGE(OFFSET($FI$3,0,0,'Données projet'!$E$16+1,1))-AVERAGE(OFFSET($H$3,0,0,'Données projet'!$E$16+1,1))</f>
        <v>344.55118007058775</v>
      </c>
      <c r="FK92" s="62">
        <f t="shared" si="102"/>
        <v>144.16931602355001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252.60122125520482</v>
      </c>
      <c r="GF92" s="62">
        <f t="shared" si="104"/>
        <v>357.56833754121317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2.0054671877082426</v>
      </c>
      <c r="GN92" s="23">
        <f>EXP(-LN(2)/2)*GN91+(1-EXP(-LN(2)/2))/(LN(2)/2)*GH92*GK92*VLOOKUP('Données projet'!$B$17,Paramètres!$A$1:$I$89,3,0)*0.475*44/12</f>
        <v>2.1756756221985567E-8</v>
      </c>
      <c r="GO92" s="23">
        <f t="shared" si="81"/>
        <v>2.005467209464999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-1.1368683772161603E-13</v>
      </c>
      <c r="GV92" s="18">
        <f>GU92*VLOOKUP('Données projet'!$B$18,Paramètres!$A$1:$I$89,3,0)*VLOOKUP('Données projet'!$B$18,Paramètres!$A$1:$I$89,5,0)</f>
        <v>-9.2222762759774927E-14</v>
      </c>
      <c r="GW92" s="14" t="e">
        <f t="shared" si="105"/>
        <v>#NUM!</v>
      </c>
      <c r="GX92" s="22" t="e">
        <f t="shared" si="82"/>
        <v>#NUM!</v>
      </c>
      <c r="GY92" s="62" t="e">
        <f t="shared" si="83"/>
        <v>#NUM!</v>
      </c>
      <c r="GZ92" s="62">
        <f ca="1">AVERAGE(OFFSET($GY$3,0,0,'Données projet'!$E$18+1,1))-AVERAGE(OFFSET($H$3,0,0,'Données projet'!$E$18+1,1))</f>
        <v>268.57152522489537</v>
      </c>
      <c r="HA92" s="62">
        <f t="shared" si="106"/>
        <v>311.80303557283207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3.75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13.75</v>
      </c>
      <c r="H93" s="70">
        <f t="shared" si="56"/>
        <v>201.66666666666666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2">
        <f t="shared" si="55"/>
        <v>815.62980948265476</v>
      </c>
      <c r="S93" s="62">
        <f ca="1">AVERAGE(OFFSET($R$3,0,0,'Données projet'!$E$9+1,1))-AVERAGE(OFFSET($H$3,0,0,'Données projet'!$E$9+1,1))</f>
        <v>461.02780119093666</v>
      </c>
      <c r="T93" s="62">
        <f t="shared" si="88"/>
        <v>245.70016468438834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273.99999999999972</v>
      </c>
      <c r="AJ93" s="14">
        <f>AI93*VLOOKUP('Données projet'!$B$10,Paramètres!$A$1:$I$89,3,0)*VLOOKUP('Données projet'!$B$10,Paramètres!$A$1:$I$89,5,0)</f>
        <v>230.8175999999998</v>
      </c>
      <c r="AK93" s="14">
        <f t="shared" si="89"/>
        <v>56.459429240325889</v>
      </c>
      <c r="AL93" s="22">
        <f t="shared" si="58"/>
        <v>500.34082592690061</v>
      </c>
      <c r="AM93" s="62">
        <f t="shared" si="59"/>
        <v>779.44239001340475</v>
      </c>
      <c r="AN93" s="62">
        <f ca="1">AVERAGE(OFFSET($AM$3,0,0,'Données projet'!$E$10+1,1))-AVERAGE(OFFSET($H$3,0,0,'Données projet'!$E$10+1,1))</f>
        <v>434.22500776975596</v>
      </c>
      <c r="AO93" s="62">
        <f t="shared" si="90"/>
        <v>232.59777933076705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237.17948717948718</v>
      </c>
      <c r="BB93" s="13">
        <f>VLOOKUP(A93,'Données projet'!$A$87:$I$107,9,0)</f>
        <v>3.5897435897435912</v>
      </c>
      <c r="BC93" s="13">
        <f t="array" ref="BC93">INDEX(BB:BB,MIN(IF(ISNUMBER(BB93:BB289),ROW(BB93:BB289),"")))</f>
        <v>3.5897435897435912</v>
      </c>
      <c r="BD93" s="13">
        <f>IF('Données projet'!$A$88&gt;35,BD92+BC93-BL92,IF(A93&lt;'Données projet'!$A$88,$BA$205^A93,IF(A93='Données projet'!$A$88,'Données projet'!$B$88,BD92+BC93-BL92)))</f>
        <v>237.1794871794871</v>
      </c>
      <c r="BE93" s="14">
        <f>BD93*VLOOKUP('Données projet'!$B$11,Paramètres!$A$1:$I$89,3,0)*VLOOKUP('Données projet'!$B$11,Paramètres!$A$1:$I$89,5,0)</f>
        <v>225.69999999999993</v>
      </c>
      <c r="BF93" s="14">
        <f t="shared" si="91"/>
        <v>55.351902227969966</v>
      </c>
      <c r="BG93" s="22">
        <f t="shared" si="61"/>
        <v>489.49872971371423</v>
      </c>
      <c r="BH93" s="62">
        <f t="shared" si="62"/>
        <v>768.60029380021831</v>
      </c>
      <c r="BI93" s="62">
        <f ca="1">AVERAGE(OFFSET($BH$3,0,0,'Données projet'!$E$11+1,1))-AVERAGE(OFFSET($H$3,0,0,'Données projet'!$E$11+1,1))</f>
        <v>393.3005580838161</v>
      </c>
      <c r="BJ93" s="62">
        <f t="shared" si="92"/>
        <v>295.86019897822757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25.641025641025639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-4.5224624045658861E-14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388.52230330563884</v>
      </c>
      <c r="CE93" s="62">
        <f t="shared" si="94"/>
        <v>418.94833960687333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-4.1677594708744434E-14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362.38131866207266</v>
      </c>
      <c r="CZ93" s="62">
        <f t="shared" si="96"/>
        <v>390.74498763200336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225</v>
      </c>
      <c r="DM93" s="13">
        <f>VLOOKUP(A93,'Données projet'!$A$165:$I$185,9,0)</f>
        <v>2.8</v>
      </c>
      <c r="DN93" s="13">
        <f t="array" ref="DN93">INDEX(DM:DM,MIN(IF(ISNUMBER(DM93:DM289),ROW(DM93:DM289),"")))</f>
        <v>2.8</v>
      </c>
      <c r="DO93" s="13">
        <f>IF('Données projet'!$A$166&gt;35,DO92+DN93-DW92,IF(A93&lt;'Données projet'!$A$166,$DL$205^A93,IF(A93='Données projet'!$A$166,'Données projet'!$B$166,DO92+DN93-DW92)))</f>
        <v>225.00000000000003</v>
      </c>
      <c r="DP93" s="18">
        <f>DO93*VLOOKUP('Données projet'!$B$14,Paramètres!$A$1:$I$89,3,0)*VLOOKUP('Données projet'!$B$14,Paramètres!$A$1:$I$89,5,0)</f>
        <v>196.56000000000006</v>
      </c>
      <c r="DQ93" s="14">
        <f t="shared" si="97"/>
        <v>48.987398161128134</v>
      </c>
      <c r="DR93" s="22">
        <f t="shared" si="70"/>
        <v>427.66171846396492</v>
      </c>
      <c r="DS93" s="62">
        <f t="shared" si="71"/>
        <v>706.76328255046906</v>
      </c>
      <c r="DT93" s="62">
        <f ca="1">AVERAGE(OFFSET($DS$3,0,0,'Données projet'!$E$14+1,1))-AVERAGE(OFFSET($H$3,0,0,'Données projet'!$E$14+1,1))</f>
        <v>334.4692012109935</v>
      </c>
      <c r="DU93" s="62">
        <f t="shared" si="98"/>
        <v>316.360405424036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-3.4106051316484809E-13</v>
      </c>
      <c r="EK93" s="18">
        <f>EJ93*VLOOKUP('Données projet'!$B$15,Paramètres!$A$1:$I$89,3,0)*VLOOKUP('Données projet'!$B$15,Paramètres!$A$1:$I$89,5,0)</f>
        <v>-1.9065282685915009E-13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390.09289316045653</v>
      </c>
      <c r="EP93" s="62">
        <f t="shared" si="100"/>
        <v>364.34913542817617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1.3980938815790873</v>
      </c>
      <c r="EX93" s="23">
        <f>EXP(-LN(2)/2)*EX92+(1-EXP(-LN(2)/2))/(LN(2)/2)*ER93*EU93*VLOOKUP('Données projet'!$B$15,Paramètres!$A$1:$I$89,3,0)*0.475*44/12</f>
        <v>8.3655527866165254E-9</v>
      </c>
      <c r="EY93" s="24">
        <f t="shared" si="75"/>
        <v>1.39809388994464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13</v>
      </c>
      <c r="FE93" s="13">
        <f>IF('Données projet'!$A$218&gt;35,FE92+FD93-FM92,IF(A93&lt;'Données projet'!$A$218,$FB$205^A93,IF(A93='Données projet'!$A$218,'Données projet'!$B$218,FE92+FD93-FM92)))</f>
        <v>511.00000000000011</v>
      </c>
      <c r="FF93" s="18">
        <f>FE93*VLOOKUP('Données projet'!$B$16,Paramètres!$A$1:$I$89,3,0)*VLOOKUP('Données projet'!$B$16,Paramètres!$A$1:$I$89,5,0)</f>
        <v>239.14800000000005</v>
      </c>
      <c r="FG93" s="14">
        <f t="shared" si="101"/>
        <v>58.256180607577839</v>
      </c>
      <c r="FH93" s="22">
        <f t="shared" si="76"/>
        <v>517.97894789153145</v>
      </c>
      <c r="FI93" s="62">
        <f t="shared" si="77"/>
        <v>797.08051197803547</v>
      </c>
      <c r="FJ93" s="62">
        <f ca="1">AVERAGE(OFFSET($FI$3,0,0,'Données projet'!$E$16+1,1))-AVERAGE(OFFSET($H$3,0,0,'Données projet'!$E$16+1,1))</f>
        <v>344.55118007058775</v>
      </c>
      <c r="FK93" s="62">
        <f t="shared" si="102"/>
        <v>144.16931602355001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252.60122125520482</v>
      </c>
      <c r="GF93" s="62">
        <f t="shared" si="104"/>
        <v>357.56833754121317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1.9506275819974248</v>
      </c>
      <c r="GN93" s="23">
        <f>EXP(-LN(2)/2)*GN92+(1-EXP(-LN(2)/2))/(LN(2)/2)*GH93*GK93*VLOOKUP('Données projet'!$B$17,Paramètres!$A$1:$I$89,3,0)*0.475*44/12</f>
        <v>1.5384349861188604E-8</v>
      </c>
      <c r="GO93" s="23">
        <f t="shared" si="81"/>
        <v>1.9506275973817746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-1.1368683772161603E-13</v>
      </c>
      <c r="GV93" s="18">
        <f>GU93*VLOOKUP('Données projet'!$B$18,Paramètres!$A$1:$I$89,3,0)*VLOOKUP('Données projet'!$B$18,Paramètres!$A$1:$I$89,5,0)</f>
        <v>-9.2222762759774927E-14</v>
      </c>
      <c r="GW93" s="14" t="e">
        <f t="shared" si="105"/>
        <v>#NUM!</v>
      </c>
      <c r="GX93" s="22" t="e">
        <f t="shared" si="82"/>
        <v>#NUM!</v>
      </c>
      <c r="GY93" s="62" t="e">
        <f t="shared" si="83"/>
        <v>#NUM!</v>
      </c>
      <c r="GZ93" s="62">
        <f ca="1">AVERAGE(OFFSET($GY$3,0,0,'Données projet'!$E$18+1,1))-AVERAGE(OFFSET($H$3,0,0,'Données projet'!$E$18+1,1))</f>
        <v>268.57152522489537</v>
      </c>
      <c r="HA93" s="62">
        <f t="shared" si="106"/>
        <v>311.80303557283207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3.75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13.75</v>
      </c>
      <c r="H94" s="70">
        <f t="shared" si="56"/>
        <v>201.66666666666666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252.62015999999971</v>
      </c>
      <c r="P94" s="14">
        <f t="shared" si="87"/>
        <v>61.146667772298713</v>
      </c>
      <c r="Q94" s="22">
        <f t="shared" si="54"/>
        <v>546.477225036753</v>
      </c>
      <c r="R94" s="62">
        <f t="shared" si="55"/>
        <v>825.82567850222017</v>
      </c>
      <c r="S94" s="62">
        <f ca="1">AVERAGE(OFFSET($R$3,0,0,'Données projet'!$E$9+1,1))-AVERAGE(OFFSET($H$3,0,0,'Données projet'!$E$9+1,1))</f>
        <v>461.02780119093666</v>
      </c>
      <c r="T94" s="62">
        <f t="shared" si="88"/>
        <v>245.70016468438834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279.1999999999997</v>
      </c>
      <c r="AJ94" s="14">
        <f>AI94*VLOOKUP('Données projet'!$B$10,Paramètres!$A$1:$I$89,3,0)*VLOOKUP('Données projet'!$B$10,Paramètres!$A$1:$I$89,5,0)</f>
        <v>235.19807999999978</v>
      </c>
      <c r="AK94" s="14">
        <f t="shared" si="89"/>
        <v>57.405161873303101</v>
      </c>
      <c r="AL94" s="22">
        <f t="shared" si="58"/>
        <v>509.61731292933581</v>
      </c>
      <c r="AM94" s="62">
        <f t="shared" si="59"/>
        <v>788.96576639480293</v>
      </c>
      <c r="AN94" s="62">
        <f ca="1">AVERAGE(OFFSET($AM$3,0,0,'Données projet'!$E$10+1,1))-AVERAGE(OFFSET($H$3,0,0,'Données projet'!$E$10+1,1))</f>
        <v>434.22500776975596</v>
      </c>
      <c r="AO94" s="62">
        <f t="shared" si="90"/>
        <v>232.59777933076705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3.5897435897435854</v>
      </c>
      <c r="BD94" s="13">
        <f>IF('Données projet'!$A$88&gt;35,BD93+BC94-BL93,IF(A94&lt;'Données projet'!$A$88,$BA$205^A94,IF(A94='Données projet'!$A$88,'Données projet'!$B$88,BD93+BC94-BL93)))</f>
        <v>215.12820512820505</v>
      </c>
      <c r="BE94" s="14">
        <f>BD94*VLOOKUP('Données projet'!$B$11,Paramètres!$A$1:$I$89,3,0)*VLOOKUP('Données projet'!$B$11,Paramètres!$A$1:$I$89,5,0)</f>
        <v>204.71599999999992</v>
      </c>
      <c r="BF94" s="14">
        <f t="shared" si="91"/>
        <v>50.779191757337983</v>
      </c>
      <c r="BG94" s="22">
        <f t="shared" si="61"/>
        <v>444.98745897736353</v>
      </c>
      <c r="BH94" s="62">
        <f t="shared" si="62"/>
        <v>724.3359124428307</v>
      </c>
      <c r="BI94" s="62">
        <f ca="1">AVERAGE(OFFSET($BH$3,0,0,'Données projet'!$E$11+1,1))-AVERAGE(OFFSET($H$3,0,0,'Données projet'!$E$11+1,1))</f>
        <v>393.3005580838161</v>
      </c>
      <c r="BJ94" s="62">
        <f t="shared" si="92"/>
        <v>295.86019897822757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-4.5224624045658861E-14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388.52230330563884</v>
      </c>
      <c r="CE94" s="62">
        <f t="shared" si="94"/>
        <v>418.94833960687333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-4.1677594708744434E-14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362.38131866207266</v>
      </c>
      <c r="CZ94" s="62">
        <f t="shared" si="96"/>
        <v>390.74498763200336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2.8</v>
      </c>
      <c r="DO94" s="13">
        <f>IF('Données projet'!$A$166&gt;35,DO93+DN94-DW93,IF(A94&lt;'Données projet'!$A$166,$DL$205^A94,IF(A94='Données projet'!$A$166,'Données projet'!$B$166,DO93+DN94-DW93)))</f>
        <v>207.80000000000004</v>
      </c>
      <c r="DP94" s="18">
        <f>DO94*VLOOKUP('Données projet'!$B$14,Paramètres!$A$1:$I$89,3,0)*VLOOKUP('Données projet'!$B$14,Paramètres!$A$1:$I$89,5,0)</f>
        <v>181.53408000000007</v>
      </c>
      <c r="DQ94" s="14">
        <f t="shared" si="97"/>
        <v>45.663321943731901</v>
      </c>
      <c r="DR94" s="22">
        <f t="shared" si="70"/>
        <v>395.7021417186665</v>
      </c>
      <c r="DS94" s="62">
        <f t="shared" si="71"/>
        <v>675.05059518413361</v>
      </c>
      <c r="DT94" s="62">
        <f ca="1">AVERAGE(OFFSET($DS$3,0,0,'Données projet'!$E$14+1,1))-AVERAGE(OFFSET($H$3,0,0,'Données projet'!$E$14+1,1))</f>
        <v>334.4692012109935</v>
      </c>
      <c r="DU94" s="62">
        <f t="shared" si="98"/>
        <v>316.360405424036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-3.4106051316484809E-13</v>
      </c>
      <c r="EK94" s="18">
        <f>EJ94*VLOOKUP('Données projet'!$B$15,Paramètres!$A$1:$I$89,3,0)*VLOOKUP('Données projet'!$B$15,Paramètres!$A$1:$I$89,5,0)</f>
        <v>-1.9065282685915009E-13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390.09289316045653</v>
      </c>
      <c r="EP94" s="62">
        <f t="shared" si="100"/>
        <v>364.34913542817617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1.3598629308647454</v>
      </c>
      <c r="EX94" s="23">
        <f>EXP(-LN(2)/2)*EX93+(1-EXP(-LN(2)/2))/(LN(2)/2)*ER94*EU94*VLOOKUP('Données projet'!$B$15,Paramètres!$A$1:$I$89,3,0)*0.475*44/12</f>
        <v>5.9153391037905643E-9</v>
      </c>
      <c r="EY94" s="24">
        <f t="shared" si="75"/>
        <v>1.3598629367800845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13</v>
      </c>
      <c r="FE94" s="13">
        <f>IF('Données projet'!$A$218&gt;35,FE93+FD94-FM93,IF(A94&lt;'Données projet'!$A$218,$FB$205^A94,IF(A94='Données projet'!$A$218,'Données projet'!$B$218,FE93+FD94-FM93)))</f>
        <v>524.00000000000011</v>
      </c>
      <c r="FF94" s="18">
        <f>FE94*VLOOKUP('Données projet'!$B$16,Paramètres!$A$1:$I$89,3,0)*VLOOKUP('Données projet'!$B$16,Paramètres!$A$1:$I$89,5,0)</f>
        <v>245.23200000000006</v>
      </c>
      <c r="FG94" s="14">
        <f t="shared" si="101"/>
        <v>59.563803993206548</v>
      </c>
      <c r="FH94" s="22">
        <f t="shared" si="76"/>
        <v>530.85269195483488</v>
      </c>
      <c r="FI94" s="62">
        <f t="shared" si="77"/>
        <v>810.20114542030205</v>
      </c>
      <c r="FJ94" s="62">
        <f ca="1">AVERAGE(OFFSET($FI$3,0,0,'Données projet'!$E$16+1,1))-AVERAGE(OFFSET($H$3,0,0,'Données projet'!$E$16+1,1))</f>
        <v>344.55118007058775</v>
      </c>
      <c r="FK94" s="62">
        <f t="shared" si="102"/>
        <v>144.16931602355001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252.60122125520482</v>
      </c>
      <c r="GF94" s="62">
        <f t="shared" si="104"/>
        <v>357.56833754121317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1.897287568188659</v>
      </c>
      <c r="GN94" s="23">
        <f>EXP(-LN(2)/2)*GN93+(1-EXP(-LN(2)/2))/(LN(2)/2)*GH94*GK94*VLOOKUP('Données projet'!$B$17,Paramètres!$A$1:$I$89,3,0)*0.475*44/12</f>
        <v>1.0878378110992783E-8</v>
      </c>
      <c r="GO94" s="23">
        <f t="shared" si="81"/>
        <v>1.8972875790670372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-1.1368683772161603E-13</v>
      </c>
      <c r="GV94" s="18">
        <f>GU94*VLOOKUP('Données projet'!$B$18,Paramètres!$A$1:$I$89,3,0)*VLOOKUP('Données projet'!$B$18,Paramètres!$A$1:$I$89,5,0)</f>
        <v>-9.2222762759774927E-14</v>
      </c>
      <c r="GW94" s="14" t="e">
        <f t="shared" si="105"/>
        <v>#NUM!</v>
      </c>
      <c r="GX94" s="22" t="e">
        <f t="shared" si="82"/>
        <v>#NUM!</v>
      </c>
      <c r="GY94" s="62" t="e">
        <f t="shared" si="83"/>
        <v>#NUM!</v>
      </c>
      <c r="GZ94" s="62">
        <f ca="1">AVERAGE(OFFSET($GY$3,0,0,'Données projet'!$E$18+1,1))-AVERAGE(OFFSET($H$3,0,0,'Données projet'!$E$18+1,1))</f>
        <v>268.57152522489537</v>
      </c>
      <c r="HA94" s="62">
        <f t="shared" si="106"/>
        <v>311.80303557283207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3.75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13.75</v>
      </c>
      <c r="H95" s="70">
        <f t="shared" si="56"/>
        <v>201.66666666666666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2">
        <f t="shared" si="55"/>
        <v>836.01346481906683</v>
      </c>
      <c r="S95" s="62">
        <f ca="1">AVERAGE(OFFSET($R$3,0,0,'Données projet'!$E$9+1,1))-AVERAGE(OFFSET($H$3,0,0,'Données projet'!$E$9+1,1))</f>
        <v>461.02780119093666</v>
      </c>
      <c r="T95" s="62">
        <f t="shared" si="88"/>
        <v>245.70016468438834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284.39999999999969</v>
      </c>
      <c r="AJ95" s="14">
        <f>AI95*VLOOKUP('Données projet'!$B$10,Paramètres!$A$1:$I$89,3,0)*VLOOKUP('Données projet'!$B$10,Paramètres!$A$1:$I$89,5,0)</f>
        <v>239.57855999999978</v>
      </c>
      <c r="AK95" s="14">
        <f t="shared" si="89"/>
        <v>58.348846340254724</v>
      </c>
      <c r="AL95" s="22">
        <f t="shared" si="58"/>
        <v>518.89023270927657</v>
      </c>
      <c r="AM95" s="62">
        <f t="shared" si="59"/>
        <v>798.48129257494372</v>
      </c>
      <c r="AN95" s="62">
        <f ca="1">AVERAGE(OFFSET($AM$3,0,0,'Données projet'!$E$10+1,1))-AVERAGE(OFFSET($H$3,0,0,'Données projet'!$E$10+1,1))</f>
        <v>434.22500776975596</v>
      </c>
      <c r="AO95" s="62">
        <f t="shared" si="90"/>
        <v>232.59777933076705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3.5897435897435854</v>
      </c>
      <c r="BD95" s="13">
        <f>IF('Données projet'!$A$88&gt;35,BD94+BC95-BL94,IF(A95&lt;'Données projet'!$A$88,$BA$205^A95,IF(A95='Données projet'!$A$88,'Données projet'!$B$88,BD94+BC95-BL94)))</f>
        <v>218.71794871794864</v>
      </c>
      <c r="BE95" s="14">
        <f>BD95*VLOOKUP('Données projet'!$B$11,Paramètres!$A$1:$I$89,3,0)*VLOOKUP('Données projet'!$B$11,Paramètres!$A$1:$I$89,5,0)</f>
        <v>208.13199999999992</v>
      </c>
      <c r="BF95" s="14">
        <f t="shared" si="91"/>
        <v>51.527168668357106</v>
      </c>
      <c r="BG95" s="22">
        <f t="shared" si="61"/>
        <v>452.23971876405511</v>
      </c>
      <c r="BH95" s="62">
        <f t="shared" si="62"/>
        <v>731.83077862972232</v>
      </c>
      <c r="BI95" s="62">
        <f ca="1">AVERAGE(OFFSET($BH$3,0,0,'Données projet'!$E$11+1,1))-AVERAGE(OFFSET($H$3,0,0,'Données projet'!$E$11+1,1))</f>
        <v>393.3005580838161</v>
      </c>
      <c r="BJ95" s="62">
        <f t="shared" si="92"/>
        <v>295.86019897822757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-4.5224624045658861E-14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388.52230330563884</v>
      </c>
      <c r="CE95" s="62">
        <f t="shared" si="94"/>
        <v>418.94833960687333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-4.1677594708744434E-14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362.38131866207266</v>
      </c>
      <c r="CZ95" s="62">
        <f t="shared" si="96"/>
        <v>390.74498763200336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2.8</v>
      </c>
      <c r="DO95" s="13">
        <f>IF('Données projet'!$A$166&gt;35,DO94+DN95-DW94,IF(A95&lt;'Données projet'!$A$166,$DL$205^A95,IF(A95='Données projet'!$A$166,'Données projet'!$B$166,DO94+DN95-DW94)))</f>
        <v>210.60000000000005</v>
      </c>
      <c r="DP95" s="18">
        <f>DO95*VLOOKUP('Données projet'!$B$14,Paramètres!$A$1:$I$89,3,0)*VLOOKUP('Données projet'!$B$14,Paramètres!$A$1:$I$89,5,0)</f>
        <v>183.98016000000007</v>
      </c>
      <c r="DQ95" s="14">
        <f t="shared" si="97"/>
        <v>46.206568123393758</v>
      </c>
      <c r="DR95" s="22">
        <f t="shared" si="70"/>
        <v>400.9085514815776</v>
      </c>
      <c r="DS95" s="62">
        <f t="shared" si="71"/>
        <v>680.49961134724481</v>
      </c>
      <c r="DT95" s="62">
        <f ca="1">AVERAGE(OFFSET($DS$3,0,0,'Données projet'!$E$14+1,1))-AVERAGE(OFFSET($H$3,0,0,'Données projet'!$E$14+1,1))</f>
        <v>334.4692012109935</v>
      </c>
      <c r="DU95" s="62">
        <f t="shared" si="98"/>
        <v>316.360405424036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-3.4106051316484809E-13</v>
      </c>
      <c r="EK95" s="18">
        <f>EJ95*VLOOKUP('Données projet'!$B$15,Paramètres!$A$1:$I$89,3,0)*VLOOKUP('Données projet'!$B$15,Paramètres!$A$1:$I$89,5,0)</f>
        <v>-1.9065282685915009E-13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390.09289316045653</v>
      </c>
      <c r="EP95" s="62">
        <f t="shared" si="100"/>
        <v>364.34913542817617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1.3226774075081653</v>
      </c>
      <c r="EX95" s="23">
        <f>EXP(-LN(2)/2)*EX94+(1-EXP(-LN(2)/2))/(LN(2)/2)*ER95*EU95*VLOOKUP('Données projet'!$B$15,Paramètres!$A$1:$I$89,3,0)*0.475*44/12</f>
        <v>4.1827763933082627E-9</v>
      </c>
      <c r="EY95" s="24">
        <f t="shared" si="75"/>
        <v>1.3226774116909417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13</v>
      </c>
      <c r="FE95" s="13">
        <f>IF('Données projet'!$A$218&gt;35,FE94+FD95-FM94,IF(A95&lt;'Données projet'!$A$218,$FB$205^A95,IF(A95='Données projet'!$A$218,'Données projet'!$B$218,FE94+FD95-FM94)))</f>
        <v>537.00000000000011</v>
      </c>
      <c r="FF95" s="18">
        <f>FE95*VLOOKUP('Données projet'!$B$16,Paramètres!$A$1:$I$89,3,0)*VLOOKUP('Données projet'!$B$16,Paramètres!$A$1:$I$89,5,0)</f>
        <v>251.31600000000003</v>
      </c>
      <c r="FG95" s="14">
        <f t="shared" si="101"/>
        <v>60.86765628024984</v>
      </c>
      <c r="FH95" s="22">
        <f t="shared" si="76"/>
        <v>543.7198680214351</v>
      </c>
      <c r="FI95" s="62">
        <f t="shared" si="77"/>
        <v>823.31092788710225</v>
      </c>
      <c r="FJ95" s="62">
        <f ca="1">AVERAGE(OFFSET($FI$3,0,0,'Données projet'!$E$16+1,1))-AVERAGE(OFFSET($H$3,0,0,'Données projet'!$E$16+1,1))</f>
        <v>344.55118007058775</v>
      </c>
      <c r="FK95" s="62">
        <f t="shared" si="102"/>
        <v>144.16931602355001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252.60122125520482</v>
      </c>
      <c r="GF95" s="62">
        <f t="shared" si="104"/>
        <v>357.56833754121317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1.8454061398625232</v>
      </c>
      <c r="GN95" s="23">
        <f>EXP(-LN(2)/2)*GN94+(1-EXP(-LN(2)/2))/(LN(2)/2)*GH95*GK95*VLOOKUP('Données projet'!$B$17,Paramètres!$A$1:$I$89,3,0)*0.475*44/12</f>
        <v>7.6921749305943021E-9</v>
      </c>
      <c r="GO95" s="23">
        <f t="shared" si="81"/>
        <v>1.8454061475546981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-1.1368683772161603E-13</v>
      </c>
      <c r="GV95" s="18">
        <f>GU95*VLOOKUP('Données projet'!$B$18,Paramètres!$A$1:$I$89,3,0)*VLOOKUP('Données projet'!$B$18,Paramètres!$A$1:$I$89,5,0)</f>
        <v>-9.2222762759774927E-14</v>
      </c>
      <c r="GW95" s="14" t="e">
        <f t="shared" si="105"/>
        <v>#NUM!</v>
      </c>
      <c r="GX95" s="22" t="e">
        <f t="shared" si="82"/>
        <v>#NUM!</v>
      </c>
      <c r="GY95" s="62" t="e">
        <f t="shared" si="83"/>
        <v>#NUM!</v>
      </c>
      <c r="GZ95" s="62">
        <f ca="1">AVERAGE(OFFSET($GY$3,0,0,'Données projet'!$E$18+1,1))-AVERAGE(OFFSET($H$3,0,0,'Données projet'!$E$18+1,1))</f>
        <v>268.57152522489537</v>
      </c>
      <c r="HA95" s="62">
        <f t="shared" si="106"/>
        <v>311.80303557283207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3.75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13.75</v>
      </c>
      <c r="H96" s="70">
        <f t="shared" si="56"/>
        <v>201.66666666666666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2">
        <f t="shared" si="55"/>
        <v>846.19332022092783</v>
      </c>
      <c r="S96" s="62">
        <f ca="1">AVERAGE(OFFSET($R$3,0,0,'Données projet'!$E$9+1,1))-AVERAGE(OFFSET($H$3,0,0,'Données projet'!$E$9+1,1))</f>
        <v>461.02780119093666</v>
      </c>
      <c r="T96" s="62">
        <f t="shared" si="88"/>
        <v>245.70016468438834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289.59999999999968</v>
      </c>
      <c r="AJ96" s="14">
        <f>AI96*VLOOKUP('Données projet'!$B$10,Paramètres!$A$1:$I$89,3,0)*VLOOKUP('Données projet'!$B$10,Paramètres!$A$1:$I$89,5,0)</f>
        <v>243.95903999999976</v>
      </c>
      <c r="AK96" s="14">
        <f t="shared" si="89"/>
        <v>59.29052440935304</v>
      </c>
      <c r="AL96" s="22">
        <f t="shared" si="58"/>
        <v>528.15965801295602</v>
      </c>
      <c r="AM96" s="62">
        <f t="shared" si="59"/>
        <v>807.98911560016631</v>
      </c>
      <c r="AN96" s="62">
        <f ca="1">AVERAGE(OFFSET($AM$3,0,0,'Données projet'!$E$10+1,1))-AVERAGE(OFFSET($H$3,0,0,'Données projet'!$E$10+1,1))</f>
        <v>434.22500776975596</v>
      </c>
      <c r="AO96" s="62">
        <f t="shared" si="90"/>
        <v>232.59777933076705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3.5897435897435854</v>
      </c>
      <c r="BD96" s="13">
        <f>IF('Données projet'!$A$88&gt;35,BD95+BC96-BL95,IF(A96&lt;'Données projet'!$A$88,$BA$205^A96,IF(A96='Données projet'!$A$88,'Données projet'!$B$88,BD95+BC96-BL95)))</f>
        <v>222.30769230769224</v>
      </c>
      <c r="BE96" s="14">
        <f>BD96*VLOOKUP('Données projet'!$B$11,Paramètres!$A$1:$I$89,3,0)*VLOOKUP('Données projet'!$B$11,Paramètres!$A$1:$I$89,5,0)</f>
        <v>211.54799999999992</v>
      </c>
      <c r="BF96" s="14">
        <f t="shared" si="91"/>
        <v>52.273717915363171</v>
      </c>
      <c r="BG96" s="22">
        <f t="shared" si="61"/>
        <v>459.489492035924</v>
      </c>
      <c r="BH96" s="62">
        <f t="shared" si="62"/>
        <v>739.31894962313436</v>
      </c>
      <c r="BI96" s="62">
        <f ca="1">AVERAGE(OFFSET($BH$3,0,0,'Données projet'!$E$11+1,1))-AVERAGE(OFFSET($H$3,0,0,'Données projet'!$E$11+1,1))</f>
        <v>393.3005580838161</v>
      </c>
      <c r="BJ96" s="62">
        <f t="shared" si="92"/>
        <v>295.86019897822757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-4.5224624045658861E-14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388.52230330563884</v>
      </c>
      <c r="CE96" s="62">
        <f t="shared" si="94"/>
        <v>418.94833960687333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-4.1677594708744434E-14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362.38131866207266</v>
      </c>
      <c r="CZ96" s="62">
        <f t="shared" si="96"/>
        <v>390.74498763200336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2.8</v>
      </c>
      <c r="DO96" s="13">
        <f>IF('Données projet'!$A$166&gt;35,DO95+DN96-DW95,IF(A96&lt;'Données projet'!$A$166,$DL$205^A96,IF(A96='Données projet'!$A$166,'Données projet'!$B$166,DO95+DN96-DW95)))</f>
        <v>213.40000000000006</v>
      </c>
      <c r="DP96" s="18">
        <f>DO96*VLOOKUP('Données projet'!$B$14,Paramètres!$A$1:$I$89,3,0)*VLOOKUP('Données projet'!$B$14,Paramètres!$A$1:$I$89,5,0)</f>
        <v>186.42624000000009</v>
      </c>
      <c r="DQ96" s="14">
        <f t="shared" si="97"/>
        <v>46.748974211060826</v>
      </c>
      <c r="DR96" s="22">
        <f t="shared" si="70"/>
        <v>406.11349808426439</v>
      </c>
      <c r="DS96" s="62">
        <f t="shared" si="71"/>
        <v>685.94295567147469</v>
      </c>
      <c r="DT96" s="62">
        <f ca="1">AVERAGE(OFFSET($DS$3,0,0,'Données projet'!$E$14+1,1))-AVERAGE(OFFSET($H$3,0,0,'Données projet'!$E$14+1,1))</f>
        <v>334.4692012109935</v>
      </c>
      <c r="DU96" s="62">
        <f t="shared" si="98"/>
        <v>316.360405424036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-3.4106051316484809E-13</v>
      </c>
      <c r="EK96" s="18">
        <f>EJ96*VLOOKUP('Données projet'!$B$15,Paramètres!$A$1:$I$89,3,0)*VLOOKUP('Données projet'!$B$15,Paramètres!$A$1:$I$89,5,0)</f>
        <v>-1.9065282685915009E-13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390.09289316045653</v>
      </c>
      <c r="EP96" s="62">
        <f t="shared" si="100"/>
        <v>364.34913542817617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1.2865087242432727</v>
      </c>
      <c r="EX96" s="23">
        <f>EXP(-LN(2)/2)*EX95+(1-EXP(-LN(2)/2))/(LN(2)/2)*ER96*EU96*VLOOKUP('Données projet'!$B$15,Paramètres!$A$1:$I$89,3,0)*0.475*44/12</f>
        <v>2.9576695518952822E-9</v>
      </c>
      <c r="EY96" s="24">
        <f t="shared" si="75"/>
        <v>1.2865087272009421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13</v>
      </c>
      <c r="FE96" s="13">
        <f>IF('Données projet'!$A$218&gt;35,FE95+FD96-FM95,IF(A96&lt;'Données projet'!$A$218,$FB$205^A96,IF(A96='Données projet'!$A$218,'Données projet'!$B$218,FE95+FD96-FM95)))</f>
        <v>550.00000000000011</v>
      </c>
      <c r="FF96" s="18">
        <f>FE96*VLOOKUP('Données projet'!$B$16,Paramètres!$A$1:$I$89,3,0)*VLOOKUP('Données projet'!$B$16,Paramètres!$A$1:$I$89,5,0)</f>
        <v>257.40000000000003</v>
      </c>
      <c r="FG96" s="14">
        <f t="shared" si="101"/>
        <v>62.167839264733466</v>
      </c>
      <c r="FH96" s="22">
        <f t="shared" si="76"/>
        <v>556.58065338607753</v>
      </c>
      <c r="FI96" s="62">
        <f t="shared" si="77"/>
        <v>836.41011097328783</v>
      </c>
      <c r="FJ96" s="62">
        <f ca="1">AVERAGE(OFFSET($FI$3,0,0,'Données projet'!$E$16+1,1))-AVERAGE(OFFSET($H$3,0,0,'Données projet'!$E$16+1,1))</f>
        <v>344.55118007058775</v>
      </c>
      <c r="FK96" s="62">
        <f t="shared" si="102"/>
        <v>144.16931602355001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252.60122125520482</v>
      </c>
      <c r="GF96" s="62">
        <f t="shared" si="104"/>
        <v>357.56833754121317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1.7949434119222913</v>
      </c>
      <c r="GN96" s="23">
        <f>EXP(-LN(2)/2)*GN95+(1-EXP(-LN(2)/2))/(LN(2)/2)*GH96*GK96*VLOOKUP('Données projet'!$B$17,Paramètres!$A$1:$I$89,3,0)*0.475*44/12</f>
        <v>5.4391890554963916E-9</v>
      </c>
      <c r="GO96" s="23">
        <f t="shared" si="81"/>
        <v>1.7949434173614804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-1.1368683772161603E-13</v>
      </c>
      <c r="GV96" s="18">
        <f>GU96*VLOOKUP('Données projet'!$B$18,Paramètres!$A$1:$I$89,3,0)*VLOOKUP('Données projet'!$B$18,Paramètres!$A$1:$I$89,5,0)</f>
        <v>-9.2222762759774927E-14</v>
      </c>
      <c r="GW96" s="14" t="e">
        <f t="shared" si="105"/>
        <v>#NUM!</v>
      </c>
      <c r="GX96" s="22" t="e">
        <f t="shared" si="82"/>
        <v>#NUM!</v>
      </c>
      <c r="GY96" s="62" t="e">
        <f t="shared" si="83"/>
        <v>#NUM!</v>
      </c>
      <c r="GZ96" s="62">
        <f ca="1">AVERAGE(OFFSET($GY$3,0,0,'Données projet'!$E$18+1,1))-AVERAGE(OFFSET($H$3,0,0,'Données projet'!$E$18+1,1))</f>
        <v>268.57152522489537</v>
      </c>
      <c r="HA96" s="62">
        <f t="shared" si="106"/>
        <v>311.80303557283207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3.75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13.75</v>
      </c>
      <c r="H97" s="70">
        <f t="shared" si="56"/>
        <v>201.66666666666666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2">
        <f t="shared" si="55"/>
        <v>856.36539226453988</v>
      </c>
      <c r="S97" s="62">
        <f ca="1">AVERAGE(OFFSET($R$3,0,0,'Données projet'!$E$9+1,1))-AVERAGE(OFFSET($H$3,0,0,'Données projet'!$E$9+1,1))</f>
        <v>461.02780119093666</v>
      </c>
      <c r="T97" s="62">
        <f t="shared" si="88"/>
        <v>245.70016468438834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294.79999999999967</v>
      </c>
      <c r="AJ97" s="14">
        <f>AI97*VLOOKUP('Données projet'!$B$10,Paramètres!$A$1:$I$89,3,0)*VLOOKUP('Données projet'!$B$10,Paramètres!$A$1:$I$89,5,0)</f>
        <v>248.33951999999977</v>
      </c>
      <c r="AK97" s="14">
        <f t="shared" si="89"/>
        <v>60.230236262913188</v>
      </c>
      <c r="AL97" s="22">
        <f t="shared" si="58"/>
        <v>537.42565882457336</v>
      </c>
      <c r="AM97" s="62">
        <f t="shared" si="59"/>
        <v>817.48937846583556</v>
      </c>
      <c r="AN97" s="62">
        <f ca="1">AVERAGE(OFFSET($AM$3,0,0,'Données projet'!$E$10+1,1))-AVERAGE(OFFSET($H$3,0,0,'Données projet'!$E$10+1,1))</f>
        <v>434.22500776975596</v>
      </c>
      <c r="AO97" s="62">
        <f t="shared" si="90"/>
        <v>232.59777933076705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3.5897435897435854</v>
      </c>
      <c r="BD97" s="13">
        <f>IF('Données projet'!$A$88&gt;35,BD96+BC97-BL96,IF(A97&lt;'Données projet'!$A$88,$BA$205^A97,IF(A97='Données projet'!$A$88,'Données projet'!$B$88,BD96+BC97-BL96)))</f>
        <v>225.89743589743583</v>
      </c>
      <c r="BE97" s="14">
        <f>BD97*VLOOKUP('Données projet'!$B$11,Paramètres!$A$1:$I$89,3,0)*VLOOKUP('Données projet'!$B$11,Paramètres!$A$1:$I$89,5,0)</f>
        <v>214.96399999999994</v>
      </c>
      <c r="BF97" s="14">
        <f t="shared" si="91"/>
        <v>53.018865213249249</v>
      </c>
      <c r="BG97" s="22">
        <f t="shared" si="61"/>
        <v>466.73682357974229</v>
      </c>
      <c r="BH97" s="62">
        <f t="shared" si="62"/>
        <v>746.80054322100455</v>
      </c>
      <c r="BI97" s="62">
        <f ca="1">AVERAGE(OFFSET($BH$3,0,0,'Données projet'!$E$11+1,1))-AVERAGE(OFFSET($H$3,0,0,'Données projet'!$E$11+1,1))</f>
        <v>393.3005580838161</v>
      </c>
      <c r="BJ97" s="62">
        <f t="shared" si="92"/>
        <v>295.86019897822757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-4.5224624045658861E-14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388.52230330563884</v>
      </c>
      <c r="CE97" s="62">
        <f t="shared" si="94"/>
        <v>418.94833960687333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-4.1677594708744434E-14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362.38131866207266</v>
      </c>
      <c r="CZ97" s="62">
        <f t="shared" si="96"/>
        <v>390.74498763200336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2.8</v>
      </c>
      <c r="DO97" s="13">
        <f>IF('Données projet'!$A$166&gt;35,DO96+DN97-DW96,IF(A97&lt;'Données projet'!$A$166,$DL$205^A97,IF(A97='Données projet'!$A$166,'Données projet'!$B$166,DO96+DN97-DW96)))</f>
        <v>216.20000000000007</v>
      </c>
      <c r="DP97" s="18">
        <f>DO97*VLOOKUP('Données projet'!$B$14,Paramètres!$A$1:$I$89,3,0)*VLOOKUP('Données projet'!$B$14,Paramètres!$A$1:$I$89,5,0)</f>
        <v>188.87232000000009</v>
      </c>
      <c r="DQ97" s="14">
        <f t="shared" si="97"/>
        <v>47.290552503862891</v>
      </c>
      <c r="DR97" s="22">
        <f t="shared" si="70"/>
        <v>411.31700294422802</v>
      </c>
      <c r="DS97" s="62">
        <f t="shared" si="71"/>
        <v>691.38072258549028</v>
      </c>
      <c r="DT97" s="62">
        <f ca="1">AVERAGE(OFFSET($DS$3,0,0,'Données projet'!$E$14+1,1))-AVERAGE(OFFSET($H$3,0,0,'Données projet'!$E$14+1,1))</f>
        <v>334.4692012109935</v>
      </c>
      <c r="DU97" s="62">
        <f t="shared" si="98"/>
        <v>316.360405424036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-3.4106051316484809E-13</v>
      </c>
      <c r="EK97" s="18">
        <f>EJ97*VLOOKUP('Données projet'!$B$15,Paramètres!$A$1:$I$89,3,0)*VLOOKUP('Données projet'!$B$15,Paramètres!$A$1:$I$89,5,0)</f>
        <v>-1.9065282685915009E-13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390.09289316045653</v>
      </c>
      <c r="EP97" s="62">
        <f t="shared" si="100"/>
        <v>364.34913542817617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1.251329075524287</v>
      </c>
      <c r="EX97" s="23">
        <f>EXP(-LN(2)/2)*EX96+(1-EXP(-LN(2)/2))/(LN(2)/2)*ER97*EU97*VLOOKUP('Données projet'!$B$15,Paramètres!$A$1:$I$89,3,0)*0.475*44/12</f>
        <v>2.0913881966541313E-9</v>
      </c>
      <c r="EY97" s="24">
        <f t="shared" si="75"/>
        <v>1.2513290776156751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13</v>
      </c>
      <c r="FE97" s="13">
        <f>IF('Données projet'!$A$218&gt;35,FE96+FD97-FM96,IF(A97&lt;'Données projet'!$A$218,$FB$205^A97,IF(A97='Données projet'!$A$218,'Données projet'!$B$218,FE96+FD97-FM96)))</f>
        <v>563.00000000000011</v>
      </c>
      <c r="FF97" s="18">
        <f>FE97*VLOOKUP('Données projet'!$B$16,Paramètres!$A$1:$I$89,3,0)*VLOOKUP('Données projet'!$B$16,Paramètres!$A$1:$I$89,5,0)</f>
        <v>263.48400000000004</v>
      </c>
      <c r="FG97" s="14">
        <f t="shared" si="101"/>
        <v>63.464449656011489</v>
      </c>
      <c r="FH97" s="22">
        <f t="shared" si="76"/>
        <v>569.43521648421995</v>
      </c>
      <c r="FI97" s="62">
        <f t="shared" si="77"/>
        <v>849.49893612548215</v>
      </c>
      <c r="FJ97" s="62">
        <f ca="1">AVERAGE(OFFSET($FI$3,0,0,'Données projet'!$E$16+1,1))-AVERAGE(OFFSET($H$3,0,0,'Données projet'!$E$16+1,1))</f>
        <v>344.55118007058775</v>
      </c>
      <c r="FK97" s="62">
        <f t="shared" si="102"/>
        <v>144.16931602355001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252.60122125520482</v>
      </c>
      <c r="GF97" s="62">
        <f t="shared" si="104"/>
        <v>357.56833754121317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1.7458605899313047</v>
      </c>
      <c r="GN97" s="23">
        <f>EXP(-LN(2)/2)*GN96+(1-EXP(-LN(2)/2))/(LN(2)/2)*GH97*GK97*VLOOKUP('Données projet'!$B$17,Paramètres!$A$1:$I$89,3,0)*0.475*44/12</f>
        <v>3.8460874652971511E-9</v>
      </c>
      <c r="GO97" s="23">
        <f t="shared" si="81"/>
        <v>1.7458605937773921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-1.1368683772161603E-13</v>
      </c>
      <c r="GV97" s="18">
        <f>GU97*VLOOKUP('Données projet'!$B$18,Paramètres!$A$1:$I$89,3,0)*VLOOKUP('Données projet'!$B$18,Paramètres!$A$1:$I$89,5,0)</f>
        <v>-9.2222762759774927E-14</v>
      </c>
      <c r="GW97" s="14" t="e">
        <f t="shared" si="105"/>
        <v>#NUM!</v>
      </c>
      <c r="GX97" s="22" t="e">
        <f t="shared" si="82"/>
        <v>#NUM!</v>
      </c>
      <c r="GY97" s="62" t="e">
        <f t="shared" si="83"/>
        <v>#NUM!</v>
      </c>
      <c r="GZ97" s="62">
        <f ca="1">AVERAGE(OFFSET($GY$3,0,0,'Données projet'!$E$18+1,1))-AVERAGE(OFFSET($H$3,0,0,'Données projet'!$E$18+1,1))</f>
        <v>268.57152522489537</v>
      </c>
      <c r="HA97" s="62">
        <f t="shared" si="106"/>
        <v>311.80303557283207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3.75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13.75</v>
      </c>
      <c r="H98" s="70">
        <f t="shared" si="56"/>
        <v>201.66666666666666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2">
        <f t="shared" si="55"/>
        <v>866.5298244595956</v>
      </c>
      <c r="S98" s="62">
        <f ca="1">AVERAGE(OFFSET($R$3,0,0,'Données projet'!$E$9+1,1))-AVERAGE(OFFSET($H$3,0,0,'Données projet'!$E$9+1,1))</f>
        <v>461.02780119093666</v>
      </c>
      <c r="T98" s="62">
        <f t="shared" si="88"/>
        <v>245.70016468438834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299.99999999999966</v>
      </c>
      <c r="AJ98" s="14">
        <f>AI98*VLOOKUP('Données projet'!$B$10,Paramètres!$A$1:$I$89,3,0)*VLOOKUP('Données projet'!$B$10,Paramètres!$A$1:$I$89,5,0)</f>
        <v>252.71999999999974</v>
      </c>
      <c r="AK98" s="14">
        <f t="shared" si="89"/>
        <v>61.168020584496766</v>
      </c>
      <c r="AL98" s="22">
        <f t="shared" si="58"/>
        <v>546.68830251799807</v>
      </c>
      <c r="AM98" s="62">
        <f t="shared" si="59"/>
        <v>826.98222029040585</v>
      </c>
      <c r="AN98" s="62">
        <f ca="1">AVERAGE(OFFSET($AM$3,0,0,'Données projet'!$E$10+1,1))-AVERAGE(OFFSET($H$3,0,0,'Données projet'!$E$10+1,1))</f>
        <v>434.22500776975596</v>
      </c>
      <c r="AO98" s="62">
        <f t="shared" si="90"/>
        <v>232.59777933076705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229.48717948717947</v>
      </c>
      <c r="BB98" s="13">
        <f>VLOOKUP(A98,'Données projet'!$A$87:$I$107,9,0)</f>
        <v>3.5897435897435854</v>
      </c>
      <c r="BC98" s="13">
        <f t="array" ref="BC98">INDEX(BB:BB,MIN(IF(ISNUMBER(BB98:BB294),ROW(BB98:BB294),"")))</f>
        <v>3.5897435897435854</v>
      </c>
      <c r="BD98" s="13">
        <f>IF('Données projet'!$A$88&gt;35,BD97+BC98-BL97,IF(A98&lt;'Données projet'!$A$88,$BA$205^A98,IF(A98='Données projet'!$A$88,'Données projet'!$B$88,BD97+BC98-BL97)))</f>
        <v>229.48717948717942</v>
      </c>
      <c r="BE98" s="14">
        <f>BD98*VLOOKUP('Données projet'!$B$11,Paramètres!$A$1:$I$89,3,0)*VLOOKUP('Données projet'!$B$11,Paramètres!$A$1:$I$89,5,0)</f>
        <v>218.37999999999994</v>
      </c>
      <c r="BF98" s="14">
        <f t="shared" si="91"/>
        <v>53.762635412761199</v>
      </c>
      <c r="BG98" s="22">
        <f t="shared" si="61"/>
        <v>473.98175667722558</v>
      </c>
      <c r="BH98" s="62">
        <f t="shared" si="62"/>
        <v>754.27567444963336</v>
      </c>
      <c r="BI98" s="62">
        <f ca="1">AVERAGE(OFFSET($BH$3,0,0,'Données projet'!$E$11+1,1))-AVERAGE(OFFSET($H$3,0,0,'Données projet'!$E$11+1,1))</f>
        <v>393.3005580838161</v>
      </c>
      <c r="BJ98" s="62">
        <f t="shared" si="92"/>
        <v>295.86019897822757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-4.5224624045658861E-14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388.52230330563884</v>
      </c>
      <c r="CE98" s="62">
        <f t="shared" si="94"/>
        <v>418.94833960687333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-4.1677594708744434E-14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362.38131866207266</v>
      </c>
      <c r="CZ98" s="62">
        <f t="shared" si="96"/>
        <v>390.74498763200336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219</v>
      </c>
      <c r="DM98" s="13">
        <f>VLOOKUP(A98,'Données projet'!$A$165:$I$185,9,0)</f>
        <v>2.8</v>
      </c>
      <c r="DN98" s="13">
        <f t="array" ref="DN98">INDEX(DM:DM,MIN(IF(ISNUMBER(DM98:DM294),ROW(DM98:DM294),"")))</f>
        <v>2.8</v>
      </c>
      <c r="DO98" s="13">
        <f>IF('Données projet'!$A$166&gt;35,DO97+DN98-DW97,IF(A98&lt;'Données projet'!$A$166,$DL$205^A98,IF(A98='Données projet'!$A$166,'Données projet'!$B$166,DO97+DN98-DW97)))</f>
        <v>219.00000000000009</v>
      </c>
      <c r="DP98" s="18">
        <f>DO98*VLOOKUP('Données projet'!$B$14,Paramètres!$A$1:$I$89,3,0)*VLOOKUP('Données projet'!$B$14,Paramètres!$A$1:$I$89,5,0)</f>
        <v>191.31840000000008</v>
      </c>
      <c r="DQ98" s="14">
        <f t="shared" si="97"/>
        <v>47.831314962098396</v>
      </c>
      <c r="DR98" s="22">
        <f t="shared" si="70"/>
        <v>416.51908689232147</v>
      </c>
      <c r="DS98" s="62">
        <f t="shared" si="71"/>
        <v>696.81300466472931</v>
      </c>
      <c r="DT98" s="62">
        <f ca="1">AVERAGE(OFFSET($DS$3,0,0,'Données projet'!$E$14+1,1))-AVERAGE(OFFSET($H$3,0,0,'Données projet'!$E$14+1,1))</f>
        <v>334.4692012109935</v>
      </c>
      <c r="DU98" s="62">
        <f t="shared" si="98"/>
        <v>316.360405424036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-3.4106051316484809E-13</v>
      </c>
      <c r="EK98" s="18">
        <f>EJ98*VLOOKUP('Données projet'!$B$15,Paramètres!$A$1:$I$89,3,0)*VLOOKUP('Données projet'!$B$15,Paramètres!$A$1:$I$89,5,0)</f>
        <v>-1.9065282685915009E-13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390.09289316045653</v>
      </c>
      <c r="EP98" s="62">
        <f t="shared" si="100"/>
        <v>364.34913542817617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1.2171114161495391</v>
      </c>
      <c r="EX98" s="23">
        <f>EXP(-LN(2)/2)*EX97+(1-EXP(-LN(2)/2))/(LN(2)/2)*ER98*EU98*VLOOKUP('Données projet'!$B$15,Paramètres!$A$1:$I$89,3,0)*0.475*44/12</f>
        <v>1.4788347759476411E-9</v>
      </c>
      <c r="EY98" s="24">
        <f t="shared" si="75"/>
        <v>1.2171114176283739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576</v>
      </c>
      <c r="FC98" s="13">
        <f>VLOOKUP(A98,'Données projet'!$A$217:$I$237,9,0)</f>
        <v>13</v>
      </c>
      <c r="FD98" s="13">
        <f t="array" ref="FD98">INDEX(FC:FC,MIN(IF(ISNUMBER(FC98:FC294),ROW(FC98:FC294),"")))</f>
        <v>13</v>
      </c>
      <c r="FE98" s="13">
        <f>IF('Données projet'!$A$218&gt;35,FE97+FD98-FM97,IF(A98&lt;'Données projet'!$A$218,$FB$205^A98,IF(A98='Données projet'!$A$218,'Données projet'!$B$218,FE97+FD98-FM97)))</f>
        <v>576.00000000000011</v>
      </c>
      <c r="FF98" s="18">
        <f>FE98*VLOOKUP('Données projet'!$B$16,Paramètres!$A$1:$I$89,3,0)*VLOOKUP('Données projet'!$B$16,Paramètres!$A$1:$I$89,5,0)</f>
        <v>269.56800000000004</v>
      </c>
      <c r="FG98" s="14">
        <f t="shared" si="101"/>
        <v>64.757579442439862</v>
      </c>
      <c r="FH98" s="22">
        <f t="shared" si="76"/>
        <v>582.28371752891621</v>
      </c>
      <c r="FI98" s="62">
        <f t="shared" si="77"/>
        <v>862.57763530132399</v>
      </c>
      <c r="FJ98" s="62">
        <f ca="1">AVERAGE(OFFSET($FI$3,0,0,'Données projet'!$E$16+1,1))-AVERAGE(OFFSET($H$3,0,0,'Données projet'!$E$16+1,1))</f>
        <v>344.55118007058775</v>
      </c>
      <c r="FK98" s="62">
        <f t="shared" si="102"/>
        <v>144.16931602355001</v>
      </c>
      <c r="FL98" s="16">
        <f>IF(ISNA(VLOOKUP(A98,'Données projet'!$A$217:$I$237,3,0)),0,VLOOKUP(A98,'Données projet'!$A$217:$I$237,3,0))</f>
        <v>6</v>
      </c>
      <c r="FM98" s="16">
        <f>IF(ISNA(VLOOKUP(A98,'Données projet'!$A$217:$I$237,4,0)),0,VLOOKUP(A98,'Données projet'!$A$217:$I$237,4,0))</f>
        <v>103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252.60122125520482</v>
      </c>
      <c r="GF98" s="62">
        <f t="shared" si="104"/>
        <v>357.56833754121317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1.698119940288815</v>
      </c>
      <c r="GN98" s="23">
        <f>EXP(-LN(2)/2)*GN97+(1-EXP(-LN(2)/2))/(LN(2)/2)*GH98*GK98*VLOOKUP('Données projet'!$B$17,Paramètres!$A$1:$I$89,3,0)*0.475*44/12</f>
        <v>2.7195945277481958E-9</v>
      </c>
      <c r="GO98" s="23">
        <f t="shared" si="81"/>
        <v>1.6981199430084095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-1.1368683772161603E-13</v>
      </c>
      <c r="GV98" s="18">
        <f>GU98*VLOOKUP('Données projet'!$B$18,Paramètres!$A$1:$I$89,3,0)*VLOOKUP('Données projet'!$B$18,Paramètres!$A$1:$I$89,5,0)</f>
        <v>-9.2222762759774927E-14</v>
      </c>
      <c r="GW98" s="14" t="e">
        <f t="shared" si="105"/>
        <v>#NUM!</v>
      </c>
      <c r="GX98" s="22" t="e">
        <f t="shared" si="82"/>
        <v>#NUM!</v>
      </c>
      <c r="GY98" s="62" t="e">
        <f t="shared" si="83"/>
        <v>#NUM!</v>
      </c>
      <c r="GZ98" s="62">
        <f ca="1">AVERAGE(OFFSET($GY$3,0,0,'Données projet'!$E$18+1,1))-AVERAGE(OFFSET($H$3,0,0,'Données projet'!$E$18+1,1))</f>
        <v>268.57152522489537</v>
      </c>
      <c r="HA98" s="62">
        <f t="shared" si="106"/>
        <v>311.80303557283207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3.75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13.75</v>
      </c>
      <c r="H99" s="70">
        <f t="shared" si="56"/>
        <v>201.66666666666666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2">
        <f t="shared" si="55"/>
        <v>795.41497839947669</v>
      </c>
      <c r="S99" s="62">
        <f ca="1">AVERAGE(OFFSET($R$3,0,0,'Données projet'!$E$9+1,1))-AVERAGE(OFFSET($H$3,0,0,'Données projet'!$E$9+1,1))</f>
        <v>461.02780119093666</v>
      </c>
      <c r="T99" s="62">
        <f t="shared" si="88"/>
        <v>245.70016468438834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262.69999999999965</v>
      </c>
      <c r="AJ99" s="14">
        <f>AI99*VLOOKUP('Données projet'!$B$10,Paramètres!$A$1:$I$89,3,0)*VLOOKUP('Données projet'!$B$10,Paramètres!$A$1:$I$89,5,0)</f>
        <v>221.2984799999997</v>
      </c>
      <c r="AK99" s="14">
        <f t="shared" si="89"/>
        <v>54.397007201397017</v>
      </c>
      <c r="AL99" s="22">
        <f t="shared" si="58"/>
        <v>480.16964020909927</v>
      </c>
      <c r="AM99" s="62">
        <f t="shared" si="59"/>
        <v>760.68976268972324</v>
      </c>
      <c r="AN99" s="62">
        <f ca="1">AVERAGE(OFFSET($AM$3,0,0,'Données projet'!$E$10+1,1))-AVERAGE(OFFSET($H$3,0,0,'Données projet'!$E$10+1,1))</f>
        <v>434.22500776975596</v>
      </c>
      <c r="AO99" s="62">
        <f t="shared" si="90"/>
        <v>232.59777933076705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3.3333333333333313</v>
      </c>
      <c r="BD99" s="13">
        <f>IF('Données projet'!$A$88&gt;35,BD98+BC99-BL98,IF(A99&lt;'Données projet'!$A$88,$BA$205^A99,IF(A99='Données projet'!$A$88,'Données projet'!$B$88,BD98+BC99-BL98)))</f>
        <v>232.82051282051276</v>
      </c>
      <c r="BE99" s="14">
        <f>BD99*VLOOKUP('Données projet'!$B$11,Paramètres!$A$1:$I$89,3,0)*VLOOKUP('Données projet'!$B$11,Paramètres!$A$1:$I$89,5,0)</f>
        <v>221.55199999999994</v>
      </c>
      <c r="BF99" s="14">
        <f t="shared" si="91"/>
        <v>54.452067119881683</v>
      </c>
      <c r="BG99" s="22">
        <f t="shared" si="61"/>
        <v>480.70708356712709</v>
      </c>
      <c r="BH99" s="62">
        <f t="shared" si="62"/>
        <v>761.227206047751</v>
      </c>
      <c r="BI99" s="62">
        <f ca="1">AVERAGE(OFFSET($BH$3,0,0,'Données projet'!$E$11+1,1))-AVERAGE(OFFSET($H$3,0,0,'Données projet'!$E$11+1,1))</f>
        <v>393.3005580838161</v>
      </c>
      <c r="BJ99" s="62">
        <f t="shared" si="92"/>
        <v>295.86019897822757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-4.5224624045658861E-14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388.52230330563884</v>
      </c>
      <c r="CE99" s="62">
        <f t="shared" si="94"/>
        <v>418.94833960687333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-4.1677594708744434E-14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362.38131866207266</v>
      </c>
      <c r="CZ99" s="62">
        <f t="shared" si="96"/>
        <v>390.74498763200336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</v>
      </c>
      <c r="DO99" s="13">
        <f>IF('Données projet'!$A$166&gt;35,DO98+DN99-DW98,IF(A99&lt;'Données projet'!$A$166,$DL$205^A99,IF(A99='Données projet'!$A$166,'Données projet'!$B$166,DO98+DN99-DW98)))</f>
        <v>222.00000000000009</v>
      </c>
      <c r="DP99" s="18">
        <f>DO99*VLOOKUP('Données projet'!$B$14,Paramètres!$A$1:$I$89,3,0)*VLOOKUP('Données projet'!$B$14,Paramètres!$A$1:$I$89,5,0)</f>
        <v>193.93920000000011</v>
      </c>
      <c r="DQ99" s="14">
        <f t="shared" si="97"/>
        <v>48.409811198069384</v>
      </c>
      <c r="DR99" s="22">
        <f t="shared" si="70"/>
        <v>422.09119450330428</v>
      </c>
      <c r="DS99" s="62">
        <f t="shared" si="71"/>
        <v>702.61131698392819</v>
      </c>
      <c r="DT99" s="62">
        <f ca="1">AVERAGE(OFFSET($DS$3,0,0,'Données projet'!$E$14+1,1))-AVERAGE(OFFSET($H$3,0,0,'Données projet'!$E$14+1,1))</f>
        <v>334.4692012109935</v>
      </c>
      <c r="DU99" s="62">
        <f t="shared" si="98"/>
        <v>316.360405424036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-3.4106051316484809E-13</v>
      </c>
      <c r="EK99" s="18">
        <f>EJ99*VLOOKUP('Données projet'!$B$15,Paramètres!$A$1:$I$89,3,0)*VLOOKUP('Données projet'!$B$15,Paramètres!$A$1:$I$89,5,0)</f>
        <v>-1.9065282685915009E-13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390.09289316045653</v>
      </c>
      <c r="EP99" s="62">
        <f t="shared" si="100"/>
        <v>364.34913542817617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1.1838294404698224</v>
      </c>
      <c r="EX99" s="23">
        <f>EXP(-LN(2)/2)*EX98+(1-EXP(-LN(2)/2))/(LN(2)/2)*ER99*EU99*VLOOKUP('Données projet'!$B$15,Paramètres!$A$1:$I$89,3,0)*0.475*44/12</f>
        <v>1.0456940983270657E-9</v>
      </c>
      <c r="EY99" s="24">
        <f t="shared" si="75"/>
        <v>1.1838294415155166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11.2</v>
      </c>
      <c r="FE99" s="13">
        <f>IF('Données projet'!$A$218&gt;35,FE98+FD99-FM98,IF(A99&lt;'Données projet'!$A$218,$FB$205^A99,IF(A99='Données projet'!$A$218,'Données projet'!$B$218,FE98+FD99-FM98)))</f>
        <v>484.20000000000016</v>
      </c>
      <c r="FF99" s="18">
        <f>FE99*VLOOKUP('Données projet'!$B$16,Paramètres!$A$1:$I$89,3,0)*VLOOKUP('Données projet'!$B$16,Paramètres!$A$1:$I$89,5,0)</f>
        <v>226.60560000000007</v>
      </c>
      <c r="FG99" s="14">
        <f t="shared" si="101"/>
        <v>55.548098989444924</v>
      </c>
      <c r="FH99" s="22">
        <f t="shared" si="76"/>
        <v>491.41769240661665</v>
      </c>
      <c r="FI99" s="62">
        <f t="shared" si="77"/>
        <v>771.93781488724062</v>
      </c>
      <c r="FJ99" s="62">
        <f ca="1">AVERAGE(OFFSET($FI$3,0,0,'Données projet'!$E$16+1,1))-AVERAGE(OFFSET($H$3,0,0,'Données projet'!$E$16+1,1))</f>
        <v>344.55118007058775</v>
      </c>
      <c r="FK99" s="62">
        <f t="shared" si="102"/>
        <v>144.16931602355001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252.60122125520482</v>
      </c>
      <c r="GF99" s="62">
        <f t="shared" si="104"/>
        <v>357.56833754121317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1.6516847612213708</v>
      </c>
      <c r="GN99" s="23">
        <f>EXP(-LN(2)/2)*GN98+(1-EXP(-LN(2)/2))/(LN(2)/2)*GH99*GK99*VLOOKUP('Données projet'!$B$17,Paramètres!$A$1:$I$89,3,0)*0.475*44/12</f>
        <v>1.9230437326485755E-9</v>
      </c>
      <c r="GO99" s="23">
        <f t="shared" si="81"/>
        <v>1.6516847631444145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-1.1368683772161603E-13</v>
      </c>
      <c r="GV99" s="18">
        <f>GU99*VLOOKUP('Données projet'!$B$18,Paramètres!$A$1:$I$89,3,0)*VLOOKUP('Données projet'!$B$18,Paramètres!$A$1:$I$89,5,0)</f>
        <v>-9.2222762759774927E-14</v>
      </c>
      <c r="GW99" s="14" t="e">
        <f t="shared" si="105"/>
        <v>#NUM!</v>
      </c>
      <c r="GX99" s="22" t="e">
        <f t="shared" si="82"/>
        <v>#NUM!</v>
      </c>
      <c r="GY99" s="62" t="e">
        <f t="shared" si="83"/>
        <v>#NUM!</v>
      </c>
      <c r="GZ99" s="62">
        <f ca="1">AVERAGE(OFFSET($GY$3,0,0,'Données projet'!$E$18+1,1))-AVERAGE(OFFSET($H$3,0,0,'Données projet'!$E$18+1,1))</f>
        <v>268.57152522489537</v>
      </c>
      <c r="HA99" s="62">
        <f t="shared" si="106"/>
        <v>311.80303557283207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3.75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13.75</v>
      </c>
      <c r="H100" s="70">
        <f t="shared" si="56"/>
        <v>201.66666666666666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2">
        <f t="shared" si="55"/>
        <v>804.63749857705261</v>
      </c>
      <c r="S100" s="62">
        <f ca="1">AVERAGE(OFFSET($R$3,0,0,'Données projet'!$E$9+1,1))-AVERAGE(OFFSET($H$3,0,0,'Données projet'!$E$9+1,1))</f>
        <v>461.02780119093666</v>
      </c>
      <c r="T100" s="62">
        <f t="shared" si="88"/>
        <v>245.70016468438834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267.39999999999964</v>
      </c>
      <c r="AJ100" s="14">
        <f>AI100*VLOOKUP('Données projet'!$B$10,Paramètres!$A$1:$I$89,3,0)*VLOOKUP('Données projet'!$B$10,Paramètres!$A$1:$I$89,5,0)</f>
        <v>225.25775999999973</v>
      </c>
      <c r="AK100" s="14">
        <f t="shared" si="89"/>
        <v>55.256058371671443</v>
      </c>
      <c r="AL100" s="22">
        <f t="shared" si="58"/>
        <v>488.56156699732725</v>
      </c>
      <c r="AM100" s="62">
        <f t="shared" si="59"/>
        <v>769.30397004019767</v>
      </c>
      <c r="AN100" s="62">
        <f ca="1">AVERAGE(OFFSET($AM$3,0,0,'Données projet'!$E$10+1,1))-AVERAGE(OFFSET($H$3,0,0,'Données projet'!$E$10+1,1))</f>
        <v>434.22500776975596</v>
      </c>
      <c r="AO100" s="62">
        <f t="shared" si="90"/>
        <v>232.59777933076705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3.3333333333333313</v>
      </c>
      <c r="BD100" s="13">
        <f>IF('Données projet'!$A$88&gt;35,BD99+BC100-BL99,IF(A100&lt;'Données projet'!$A$88,$BA$205^A100,IF(A100='Données projet'!$A$88,'Données projet'!$B$88,BD99+BC100-BL99)))</f>
        <v>236.1538461538461</v>
      </c>
      <c r="BE100" s="14">
        <f>BD100*VLOOKUP('Données projet'!$B$11,Paramètres!$A$1:$I$89,3,0)*VLOOKUP('Données projet'!$B$11,Paramètres!$A$1:$I$89,5,0)</f>
        <v>224.72399999999993</v>
      </c>
      <c r="BF100" s="14">
        <f t="shared" si="91"/>
        <v>55.140350790767556</v>
      </c>
      <c r="BG100" s="22">
        <f t="shared" si="61"/>
        <v>487.4304109605867</v>
      </c>
      <c r="BH100" s="62">
        <f t="shared" si="62"/>
        <v>768.17281400345712</v>
      </c>
      <c r="BI100" s="62">
        <f ca="1">AVERAGE(OFFSET($BH$3,0,0,'Données projet'!$E$11+1,1))-AVERAGE(OFFSET($H$3,0,0,'Données projet'!$E$11+1,1))</f>
        <v>393.3005580838161</v>
      </c>
      <c r="BJ100" s="62">
        <f t="shared" si="92"/>
        <v>295.86019897822757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-4.5224624045658861E-14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388.52230330563884</v>
      </c>
      <c r="CE100" s="62">
        <f t="shared" si="94"/>
        <v>418.94833960687333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-4.1677594708744434E-14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362.38131866207266</v>
      </c>
      <c r="CZ100" s="62">
        <f t="shared" si="96"/>
        <v>390.74498763200336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</v>
      </c>
      <c r="DO100" s="13">
        <f>IF('Données projet'!$A$166&gt;35,DO99+DN100-DW99,IF(A100&lt;'Données projet'!$A$166,$DL$205^A100,IF(A100='Données projet'!$A$166,'Données projet'!$B$166,DO99+DN100-DW99)))</f>
        <v>225.00000000000009</v>
      </c>
      <c r="DP100" s="18">
        <f>DO100*VLOOKUP('Données projet'!$B$14,Paramètres!$A$1:$I$89,3,0)*VLOOKUP('Données projet'!$B$14,Paramètres!$A$1:$I$89,5,0)</f>
        <v>196.56000000000009</v>
      </c>
      <c r="DQ100" s="14">
        <f t="shared" si="97"/>
        <v>48.987398161128134</v>
      </c>
      <c r="DR100" s="22">
        <f t="shared" si="70"/>
        <v>427.66171846396497</v>
      </c>
      <c r="DS100" s="62">
        <f t="shared" si="71"/>
        <v>708.40412150683539</v>
      </c>
      <c r="DT100" s="62">
        <f ca="1">AVERAGE(OFFSET($DS$3,0,0,'Données projet'!$E$14+1,1))-AVERAGE(OFFSET($H$3,0,0,'Données projet'!$E$14+1,1))</f>
        <v>334.4692012109935</v>
      </c>
      <c r="DU100" s="62">
        <f t="shared" si="98"/>
        <v>316.360405424036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-3.4106051316484809E-13</v>
      </c>
      <c r="EK100" s="18">
        <f>EJ100*VLOOKUP('Données projet'!$B$15,Paramètres!$A$1:$I$89,3,0)*VLOOKUP('Données projet'!$B$15,Paramètres!$A$1:$I$89,5,0)</f>
        <v>-1.9065282685915009E-13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390.09289316045653</v>
      </c>
      <c r="EP100" s="62">
        <f t="shared" si="100"/>
        <v>364.34913542817617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1.1514575621652905</v>
      </c>
      <c r="EX100" s="23">
        <f>EXP(-LN(2)/2)*EX99+(1-EXP(-LN(2)/2))/(LN(2)/2)*ER100*EU100*VLOOKUP('Données projet'!$B$15,Paramètres!$A$1:$I$89,3,0)*0.475*44/12</f>
        <v>7.3941738797382054E-10</v>
      </c>
      <c r="EY100" s="24">
        <f t="shared" si="75"/>
        <v>1.1514575629047079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11.2</v>
      </c>
      <c r="FE100" s="13">
        <f>IF('Données projet'!$A$218&gt;35,FE99+FD100-FM99,IF(A100&lt;'Données projet'!$A$218,$FB$205^A100,IF(A100='Données projet'!$A$218,'Données projet'!$B$218,FE99+FD100-FM99)))</f>
        <v>495.40000000000015</v>
      </c>
      <c r="FF100" s="18">
        <f>FE100*VLOOKUP('Données projet'!$B$16,Paramètres!$A$1:$I$89,3,0)*VLOOKUP('Données projet'!$B$16,Paramètres!$A$1:$I$89,5,0)</f>
        <v>231.84720000000007</v>
      </c>
      <c r="FG100" s="14">
        <f t="shared" si="101"/>
        <v>56.681903222323619</v>
      </c>
      <c r="FH100" s="22">
        <f t="shared" si="76"/>
        <v>502.52152144554702</v>
      </c>
      <c r="FI100" s="62">
        <f t="shared" si="77"/>
        <v>783.26392448841739</v>
      </c>
      <c r="FJ100" s="62">
        <f ca="1">AVERAGE(OFFSET($FI$3,0,0,'Données projet'!$E$16+1,1))-AVERAGE(OFFSET($H$3,0,0,'Données projet'!$E$16+1,1))</f>
        <v>344.55118007058775</v>
      </c>
      <c r="FK100" s="62">
        <f t="shared" si="102"/>
        <v>144.16931602355001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252.60122125520482</v>
      </c>
      <c r="GF100" s="62">
        <f t="shared" si="104"/>
        <v>357.56833754121317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1.6065193545674457</v>
      </c>
      <c r="GN100" s="23">
        <f>EXP(-LN(2)/2)*GN99+(1-EXP(-LN(2)/2))/(LN(2)/2)*GH100*GK100*VLOOKUP('Données projet'!$B$17,Paramètres!$A$1:$I$89,3,0)*0.475*44/12</f>
        <v>1.3597972638740979E-9</v>
      </c>
      <c r="GO100" s="23">
        <f t="shared" si="81"/>
        <v>1.6065193559272428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-1.1368683772161603E-13</v>
      </c>
      <c r="GV100" s="18">
        <f>GU100*VLOOKUP('Données projet'!$B$18,Paramètres!$A$1:$I$89,3,0)*VLOOKUP('Données projet'!$B$18,Paramètres!$A$1:$I$89,5,0)</f>
        <v>-9.2222762759774927E-14</v>
      </c>
      <c r="GW100" s="14" t="e">
        <f t="shared" si="105"/>
        <v>#NUM!</v>
      </c>
      <c r="GX100" s="22" t="e">
        <f t="shared" si="82"/>
        <v>#NUM!</v>
      </c>
      <c r="GY100" s="62" t="e">
        <f t="shared" si="83"/>
        <v>#NUM!</v>
      </c>
      <c r="GZ100" s="62">
        <f ca="1">AVERAGE(OFFSET($GY$3,0,0,'Données projet'!$E$18+1,1))-AVERAGE(OFFSET($H$3,0,0,'Données projet'!$E$18+1,1))</f>
        <v>268.57152522489537</v>
      </c>
      <c r="HA100" s="62">
        <f t="shared" si="106"/>
        <v>311.80303557283207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3.75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13.75</v>
      </c>
      <c r="H101" s="70">
        <f t="shared" si="56"/>
        <v>201.66666666666666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2">
        <f t="shared" si="55"/>
        <v>813.85290525594223</v>
      </c>
      <c r="S101" s="62">
        <f ca="1">AVERAGE(OFFSET($R$3,0,0,'Données projet'!$E$9+1,1))-AVERAGE(OFFSET($H$3,0,0,'Données projet'!$E$9+1,1))</f>
        <v>461.02780119093666</v>
      </c>
      <c r="T101" s="62">
        <f t="shared" si="88"/>
        <v>245.70016468438834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272.09999999999962</v>
      </c>
      <c r="AJ101" s="14">
        <f>AI101*VLOOKUP('Données projet'!$B$10,Paramètres!$A$1:$I$89,3,0)*VLOOKUP('Données projet'!$B$10,Paramètres!$A$1:$I$89,5,0)</f>
        <v>229.21703999999968</v>
      </c>
      <c r="AK101" s="14">
        <f t="shared" si="89"/>
        <v>56.113353689893358</v>
      </c>
      <c r="AL101" s="22">
        <f t="shared" si="58"/>
        <v>496.95043567656376</v>
      </c>
      <c r="AM101" s="62">
        <f t="shared" si="59"/>
        <v>777.91126321087063</v>
      </c>
      <c r="AN101" s="62">
        <f ca="1">AVERAGE(OFFSET($AM$3,0,0,'Données projet'!$E$10+1,1))-AVERAGE(OFFSET($H$3,0,0,'Données projet'!$E$10+1,1))</f>
        <v>434.22500776975596</v>
      </c>
      <c r="AO101" s="62">
        <f t="shared" si="90"/>
        <v>232.59777933076705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3.3333333333333313</v>
      </c>
      <c r="BD101" s="13">
        <f>IF('Données projet'!$A$88&gt;35,BD100+BC101-BL100,IF(A101&lt;'Données projet'!$A$88,$BA$205^A101,IF(A101='Données projet'!$A$88,'Données projet'!$B$88,BD100+BC101-BL100)))</f>
        <v>239.48717948717945</v>
      </c>
      <c r="BE101" s="14">
        <f>BD101*VLOOKUP('Données projet'!$B$11,Paramètres!$A$1:$I$89,3,0)*VLOOKUP('Données projet'!$B$11,Paramètres!$A$1:$I$89,5,0)</f>
        <v>227.89599999999999</v>
      </c>
      <c r="BF101" s="14">
        <f t="shared" si="91"/>
        <v>55.827504502630809</v>
      </c>
      <c r="BG101" s="22">
        <f t="shared" si="61"/>
        <v>494.15177034208205</v>
      </c>
      <c r="BH101" s="62">
        <f t="shared" si="62"/>
        <v>775.11259787638892</v>
      </c>
      <c r="BI101" s="62">
        <f ca="1">AVERAGE(OFFSET($BH$3,0,0,'Données projet'!$E$11+1,1))-AVERAGE(OFFSET($H$3,0,0,'Données projet'!$E$11+1,1))</f>
        <v>393.3005580838161</v>
      </c>
      <c r="BJ101" s="62">
        <f t="shared" si="92"/>
        <v>295.86019897822757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-4.5224624045658861E-14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388.52230330563884</v>
      </c>
      <c r="CE101" s="62">
        <f t="shared" si="94"/>
        <v>418.94833960687333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-4.1677594708744434E-14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362.38131866207266</v>
      </c>
      <c r="CZ101" s="62">
        <f t="shared" si="96"/>
        <v>390.74498763200336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</v>
      </c>
      <c r="DO101" s="13">
        <f>IF('Données projet'!$A$166&gt;35,DO100+DN101-DW100,IF(A101&lt;'Données projet'!$A$166,$DL$205^A101,IF(A101='Données projet'!$A$166,'Données projet'!$B$166,DO100+DN101-DW100)))</f>
        <v>228.00000000000009</v>
      </c>
      <c r="DP101" s="18">
        <f>DO101*VLOOKUP('Données projet'!$B$14,Paramètres!$A$1:$I$89,3,0)*VLOOKUP('Données projet'!$B$14,Paramètres!$A$1:$I$89,5,0)</f>
        <v>199.18080000000012</v>
      </c>
      <c r="DQ101" s="14">
        <f t="shared" si="97"/>
        <v>49.564089376413726</v>
      </c>
      <c r="DR101" s="22">
        <f t="shared" si="70"/>
        <v>433.2306823305874</v>
      </c>
      <c r="DS101" s="62">
        <f t="shared" si="71"/>
        <v>714.19150986489421</v>
      </c>
      <c r="DT101" s="62">
        <f ca="1">AVERAGE(OFFSET($DS$3,0,0,'Données projet'!$E$14+1,1))-AVERAGE(OFFSET($H$3,0,0,'Données projet'!$E$14+1,1))</f>
        <v>334.4692012109935</v>
      </c>
      <c r="DU101" s="62">
        <f t="shared" si="98"/>
        <v>316.360405424036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-3.4106051316484809E-13</v>
      </c>
      <c r="EK101" s="18">
        <f>EJ101*VLOOKUP('Données projet'!$B$15,Paramètres!$A$1:$I$89,3,0)*VLOOKUP('Données projet'!$B$15,Paramètres!$A$1:$I$89,5,0)</f>
        <v>-1.9065282685915009E-13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390.09289316045653</v>
      </c>
      <c r="EP101" s="62">
        <f t="shared" si="100"/>
        <v>364.34913542817617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1.119970894575359</v>
      </c>
      <c r="EX101" s="23">
        <f>EXP(-LN(2)/2)*EX100+(1-EXP(-LN(2)/2))/(LN(2)/2)*ER101*EU101*VLOOKUP('Données projet'!$B$15,Paramètres!$A$1:$I$89,3,0)*0.475*44/12</f>
        <v>5.2284704916353284E-10</v>
      </c>
      <c r="EY101" s="24">
        <f t="shared" si="75"/>
        <v>1.1199708950982061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11.2</v>
      </c>
      <c r="FE101" s="13">
        <f>IF('Données projet'!$A$218&gt;35,FE100+FD101-FM100,IF(A101&lt;'Données projet'!$A$218,$FB$205^A101,IF(A101='Données projet'!$A$218,'Données projet'!$B$218,FE100+FD101-FM100)))</f>
        <v>506.60000000000014</v>
      </c>
      <c r="FF101" s="18">
        <f>FE101*VLOOKUP('Données projet'!$B$16,Paramètres!$A$1:$I$89,3,0)*VLOOKUP('Données projet'!$B$16,Paramètres!$A$1:$I$89,5,0)</f>
        <v>237.08880000000005</v>
      </c>
      <c r="FG101" s="14">
        <f t="shared" si="101"/>
        <v>57.812727423622988</v>
      </c>
      <c r="FH101" s="22">
        <f t="shared" si="76"/>
        <v>513.62016026281015</v>
      </c>
      <c r="FI101" s="62">
        <f t="shared" si="77"/>
        <v>794.58098779711702</v>
      </c>
      <c r="FJ101" s="62">
        <f ca="1">AVERAGE(OFFSET($FI$3,0,0,'Données projet'!$E$16+1,1))-AVERAGE(OFFSET($H$3,0,0,'Données projet'!$E$16+1,1))</f>
        <v>344.55118007058775</v>
      </c>
      <c r="FK101" s="62">
        <f t="shared" si="102"/>
        <v>144.16931602355001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252.60122125520482</v>
      </c>
      <c r="GF101" s="62">
        <f t="shared" si="104"/>
        <v>357.56833754121317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1.5625889983336176</v>
      </c>
      <c r="GN101" s="23">
        <f>EXP(-LN(2)/2)*GN100+(1-EXP(-LN(2)/2))/(LN(2)/2)*GH101*GK101*VLOOKUP('Données projet'!$B$17,Paramètres!$A$1:$I$89,3,0)*0.475*44/12</f>
        <v>9.6152186632428777E-10</v>
      </c>
      <c r="GO101" s="23">
        <f t="shared" si="81"/>
        <v>1.5625889992951396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-1.1368683772161603E-13</v>
      </c>
      <c r="GV101" s="18">
        <f>GU101*VLOOKUP('Données projet'!$B$18,Paramètres!$A$1:$I$89,3,0)*VLOOKUP('Données projet'!$B$18,Paramètres!$A$1:$I$89,5,0)</f>
        <v>-9.2222762759774927E-14</v>
      </c>
      <c r="GW101" s="14" t="e">
        <f t="shared" si="105"/>
        <v>#NUM!</v>
      </c>
      <c r="GX101" s="22" t="e">
        <f t="shared" si="82"/>
        <v>#NUM!</v>
      </c>
      <c r="GY101" s="62" t="e">
        <f t="shared" si="83"/>
        <v>#NUM!</v>
      </c>
      <c r="GZ101" s="62">
        <f ca="1">AVERAGE(OFFSET($GY$3,0,0,'Données projet'!$E$18+1,1))-AVERAGE(OFFSET($H$3,0,0,'Données projet'!$E$18+1,1))</f>
        <v>268.57152522489537</v>
      </c>
      <c r="HA101" s="62">
        <f t="shared" si="106"/>
        <v>311.80303557283207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3.75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13.75</v>
      </c>
      <c r="H102" s="70">
        <f t="shared" si="56"/>
        <v>201.66666666666666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2">
        <f t="shared" si="55"/>
        <v>823.06132808862367</v>
      </c>
      <c r="S102" s="62">
        <f ca="1">AVERAGE(OFFSET($R$3,0,0,'Données projet'!$E$9+1,1))-AVERAGE(OFFSET($H$3,0,0,'Données projet'!$E$9+1,1))</f>
        <v>461.02780119093666</v>
      </c>
      <c r="T102" s="62">
        <f t="shared" si="88"/>
        <v>245.70016468438834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276.79999999999961</v>
      </c>
      <c r="AJ102" s="14">
        <f>AI102*VLOOKUP('Données projet'!$B$10,Paramètres!$A$1:$I$89,3,0)*VLOOKUP('Données projet'!$B$10,Paramètres!$A$1:$I$89,5,0)</f>
        <v>233.17631999999972</v>
      </c>
      <c r="AK102" s="14">
        <f t="shared" si="89"/>
        <v>56.968926984666723</v>
      </c>
      <c r="AL102" s="22">
        <f t="shared" si="58"/>
        <v>505.33630516496072</v>
      </c>
      <c r="AM102" s="62">
        <f t="shared" si="59"/>
        <v>786.51176801410156</v>
      </c>
      <c r="AN102" s="62">
        <f ca="1">AVERAGE(OFFSET($AM$3,0,0,'Données projet'!$E$10+1,1))-AVERAGE(OFFSET($H$3,0,0,'Données projet'!$E$10+1,1))</f>
        <v>434.22500776975596</v>
      </c>
      <c r="AO102" s="62">
        <f t="shared" si="90"/>
        <v>232.59777933076705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3.3333333333333313</v>
      </c>
      <c r="BD102" s="13">
        <f>IF('Données projet'!$A$88&gt;35,BD101+BC102-BL101,IF(A102&lt;'Données projet'!$A$88,$BA$205^A102,IF(A102='Données projet'!$A$88,'Données projet'!$B$88,BD101+BC102-BL101)))</f>
        <v>242.82051282051279</v>
      </c>
      <c r="BE102" s="14">
        <f>BD102*VLOOKUP('Données projet'!$B$11,Paramètres!$A$1:$I$89,3,0)*VLOOKUP('Données projet'!$B$11,Paramètres!$A$1:$I$89,5,0)</f>
        <v>231.06799999999998</v>
      </c>
      <c r="BF102" s="14">
        <f t="shared" si="91"/>
        <v>56.513545800555768</v>
      </c>
      <c r="BG102" s="22">
        <f t="shared" si="61"/>
        <v>500.87119226930128</v>
      </c>
      <c r="BH102" s="62">
        <f t="shared" si="62"/>
        <v>782.04665511844223</v>
      </c>
      <c r="BI102" s="62">
        <f ca="1">AVERAGE(OFFSET($BH$3,0,0,'Données projet'!$E$11+1,1))-AVERAGE(OFFSET($H$3,0,0,'Données projet'!$E$11+1,1))</f>
        <v>393.3005580838161</v>
      </c>
      <c r="BJ102" s="62">
        <f t="shared" si="92"/>
        <v>295.86019897822757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-4.5224624045658861E-14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388.52230330563884</v>
      </c>
      <c r="CE102" s="62">
        <f t="shared" si="94"/>
        <v>418.94833960687333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-4.1677594708744434E-14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362.38131866207266</v>
      </c>
      <c r="CZ102" s="62">
        <f t="shared" si="96"/>
        <v>390.74498763200336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</v>
      </c>
      <c r="DO102" s="13">
        <f>IF('Données projet'!$A$166&gt;35,DO101+DN102-DW101,IF(A102&lt;'Données projet'!$A$166,$DL$205^A102,IF(A102='Données projet'!$A$166,'Données projet'!$B$166,DO101+DN102-DW101)))</f>
        <v>231.00000000000009</v>
      </c>
      <c r="DP102" s="18">
        <f>DO102*VLOOKUP('Données projet'!$B$14,Paramètres!$A$1:$I$89,3,0)*VLOOKUP('Données projet'!$B$14,Paramètres!$A$1:$I$89,5,0)</f>
        <v>201.80160000000012</v>
      </c>
      <c r="DQ102" s="14">
        <f t="shared" si="97"/>
        <v>50.139897992681668</v>
      </c>
      <c r="DR102" s="22">
        <f t="shared" si="70"/>
        <v>438.79810900392073</v>
      </c>
      <c r="DS102" s="62">
        <f t="shared" si="71"/>
        <v>719.97357185306169</v>
      </c>
      <c r="DT102" s="62">
        <f ca="1">AVERAGE(OFFSET($DS$3,0,0,'Données projet'!$E$14+1,1))-AVERAGE(OFFSET($H$3,0,0,'Données projet'!$E$14+1,1))</f>
        <v>334.4692012109935</v>
      </c>
      <c r="DU102" s="62">
        <f t="shared" si="98"/>
        <v>316.360405424036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-3.4106051316484809E-13</v>
      </c>
      <c r="EK102" s="18">
        <f>EJ102*VLOOKUP('Données projet'!$B$15,Paramètres!$A$1:$I$89,3,0)*VLOOKUP('Données projet'!$B$15,Paramètres!$A$1:$I$89,5,0)</f>
        <v>-1.9065282685915009E-13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390.09289316045653</v>
      </c>
      <c r="EP102" s="62">
        <f t="shared" si="100"/>
        <v>364.34913542817617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1.0893452315664862</v>
      </c>
      <c r="EX102" s="23">
        <f>EXP(-LN(2)/2)*EX101+(1-EXP(-LN(2)/2))/(LN(2)/2)*ER102*EU102*VLOOKUP('Données projet'!$B$15,Paramètres!$A$1:$I$89,3,0)*0.475*44/12</f>
        <v>3.6970869398691027E-10</v>
      </c>
      <c r="EY102" s="24">
        <f t="shared" si="75"/>
        <v>1.0893452319361949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11.2</v>
      </c>
      <c r="FE102" s="13">
        <f>IF('Données projet'!$A$218&gt;35,FE101+FD102-FM101,IF(A102&lt;'Données projet'!$A$218,$FB$205^A102,IF(A102='Données projet'!$A$218,'Données projet'!$B$218,FE101+FD102-FM101)))</f>
        <v>517.80000000000018</v>
      </c>
      <c r="FF102" s="18">
        <f>FE102*VLOOKUP('Données projet'!$B$16,Paramètres!$A$1:$I$89,3,0)*VLOOKUP('Données projet'!$B$16,Paramètres!$A$1:$I$89,5,0)</f>
        <v>242.33040000000011</v>
      </c>
      <c r="FG102" s="14">
        <f t="shared" si="101"/>
        <v>58.940645062714694</v>
      </c>
      <c r="FH102" s="22">
        <f t="shared" si="76"/>
        <v>524.71373681756154</v>
      </c>
      <c r="FI102" s="62">
        <f t="shared" si="77"/>
        <v>805.88919966670244</v>
      </c>
      <c r="FJ102" s="62">
        <f ca="1">AVERAGE(OFFSET($FI$3,0,0,'Données projet'!$E$16+1,1))-AVERAGE(OFFSET($H$3,0,0,'Données projet'!$E$16+1,1))</f>
        <v>344.55118007058775</v>
      </c>
      <c r="FK102" s="62">
        <f t="shared" si="102"/>
        <v>144.16931602355001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252.60122125520482</v>
      </c>
      <c r="GF102" s="62">
        <f t="shared" si="104"/>
        <v>357.56833754121317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1.5198599200012008</v>
      </c>
      <c r="GN102" s="23">
        <f>EXP(-LN(2)/2)*GN101+(1-EXP(-LN(2)/2))/(LN(2)/2)*GH102*GK102*VLOOKUP('Données projet'!$B$17,Paramètres!$A$1:$I$89,3,0)*0.475*44/12</f>
        <v>6.7989863193704896E-10</v>
      </c>
      <c r="GO102" s="23">
        <f t="shared" si="81"/>
        <v>1.5198599206810994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-1.1368683772161603E-13</v>
      </c>
      <c r="GV102" s="18">
        <f>GU102*VLOOKUP('Données projet'!$B$18,Paramètres!$A$1:$I$89,3,0)*VLOOKUP('Données projet'!$B$18,Paramètres!$A$1:$I$89,5,0)</f>
        <v>-9.2222762759774927E-14</v>
      </c>
      <c r="GW102" s="14" t="e">
        <f t="shared" si="105"/>
        <v>#NUM!</v>
      </c>
      <c r="GX102" s="22" t="e">
        <f t="shared" si="82"/>
        <v>#NUM!</v>
      </c>
      <c r="GY102" s="62" t="e">
        <f t="shared" si="83"/>
        <v>#NUM!</v>
      </c>
      <c r="GZ102" s="62">
        <f ca="1">AVERAGE(OFFSET($GY$3,0,0,'Données projet'!$E$18+1,1))-AVERAGE(OFFSET($H$3,0,0,'Données projet'!$E$18+1,1))</f>
        <v>268.57152522489537</v>
      </c>
      <c r="HA102" s="62">
        <f t="shared" si="106"/>
        <v>311.80303557283207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3.75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13.75</v>
      </c>
      <c r="H103" s="70">
        <f t="shared" si="56"/>
        <v>201.66666666666666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2">
        <f t="shared" si="55"/>
        <v>832.26289331373346</v>
      </c>
      <c r="S103" s="62">
        <f ca="1">AVERAGE(OFFSET($R$3,0,0,'Données projet'!$E$9+1,1))-AVERAGE(OFFSET($H$3,0,0,'Données projet'!$E$9+1,1))</f>
        <v>461.02780119093666</v>
      </c>
      <c r="T103" s="62">
        <f t="shared" si="88"/>
        <v>245.70016468438834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281.4999999999996</v>
      </c>
      <c r="AJ103" s="14">
        <f>AI103*VLOOKUP('Données projet'!$B$10,Paramètres!$A$1:$I$89,3,0)*VLOOKUP('Données projet'!$B$10,Paramètres!$A$1:$I$89,5,0)</f>
        <v>237.13559999999967</v>
      </c>
      <c r="AK103" s="14">
        <f t="shared" si="89"/>
        <v>57.822810869957564</v>
      </c>
      <c r="AL103" s="22">
        <f t="shared" si="58"/>
        <v>513.71923226517549</v>
      </c>
      <c r="AM103" s="62">
        <f t="shared" si="59"/>
        <v>795.1056069862907</v>
      </c>
      <c r="AN103" s="62">
        <f ca="1">AVERAGE(OFFSET($AM$3,0,0,'Données projet'!$E$10+1,1))-AVERAGE(OFFSET($H$3,0,0,'Données projet'!$E$10+1,1))</f>
        <v>434.22500776975596</v>
      </c>
      <c r="AO103" s="62">
        <f t="shared" si="90"/>
        <v>232.59777933076705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246.15384615384613</v>
      </c>
      <c r="BB103" s="13">
        <f>VLOOKUP(A103,'Données projet'!$A$87:$I$107,9,0)</f>
        <v>3.3333333333333313</v>
      </c>
      <c r="BC103" s="13">
        <f t="array" ref="BC103">INDEX(BB:BB,MIN(IF(ISNUMBER(BB103:BB299),ROW(BB103:BB299),"")))</f>
        <v>3.3333333333333313</v>
      </c>
      <c r="BD103" s="13">
        <f>IF('Données projet'!$A$88&gt;35,BD102+BC103-BL102,IF(A103&lt;'Données projet'!$A$88,$BA$205^A103,IF(A103='Données projet'!$A$88,'Données projet'!$B$88,BD102+BC103-BL102)))</f>
        <v>246.15384615384613</v>
      </c>
      <c r="BE103" s="14">
        <f>BD103*VLOOKUP('Données projet'!$B$11,Paramètres!$A$1:$I$89,3,0)*VLOOKUP('Données projet'!$B$11,Paramètres!$A$1:$I$89,5,0)</f>
        <v>234.23999999999998</v>
      </c>
      <c r="BF103" s="14">
        <f t="shared" si="91"/>
        <v>57.19849172024869</v>
      </c>
      <c r="BG103" s="22">
        <f t="shared" si="61"/>
        <v>507.58870641276644</v>
      </c>
      <c r="BH103" s="62">
        <f t="shared" si="62"/>
        <v>788.97508113388176</v>
      </c>
      <c r="BI103" s="62">
        <f ca="1">AVERAGE(OFFSET($BH$3,0,0,'Données projet'!$E$11+1,1))-AVERAGE(OFFSET($H$3,0,0,'Données projet'!$E$11+1,1))</f>
        <v>393.3005580838161</v>
      </c>
      <c r="BJ103" s="62">
        <f t="shared" si="92"/>
        <v>295.86019897822757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23.717948717948715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-4.5224624045658861E-14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388.52230330563884</v>
      </c>
      <c r="CE103" s="62">
        <f t="shared" si="94"/>
        <v>418.94833960687333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-4.1677594708744434E-14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362.38131866207266</v>
      </c>
      <c r="CZ103" s="62">
        <f t="shared" si="96"/>
        <v>390.74498763200336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234</v>
      </c>
      <c r="DM103" s="13">
        <f>VLOOKUP(A103,'Données projet'!$A$165:$I$185,9,0)</f>
        <v>3</v>
      </c>
      <c r="DN103" s="13">
        <f t="array" ref="DN103">INDEX(DM:DM,MIN(IF(ISNUMBER(DM103:DM299),ROW(DM103:DM299),"")))</f>
        <v>3</v>
      </c>
      <c r="DO103" s="13">
        <f>IF('Données projet'!$A$166&gt;35,DO102+DN103-DW102,IF(A103&lt;'Données projet'!$A$166,$DL$205^A103,IF(A103='Données projet'!$A$166,'Données projet'!$B$166,DO102+DN103-DW102)))</f>
        <v>234.00000000000009</v>
      </c>
      <c r="DP103" s="18">
        <f>DO103*VLOOKUP('Données projet'!$B$14,Paramètres!$A$1:$I$89,3,0)*VLOOKUP('Données projet'!$B$14,Paramètres!$A$1:$I$89,5,0)</f>
        <v>204.4224000000001</v>
      </c>
      <c r="DQ103" s="14">
        <f t="shared" si="97"/>
        <v>50.714836797527312</v>
      </c>
      <c r="DR103" s="22">
        <f t="shared" si="70"/>
        <v>444.3640207556935</v>
      </c>
      <c r="DS103" s="62">
        <f t="shared" si="71"/>
        <v>725.75039547680876</v>
      </c>
      <c r="DT103" s="62">
        <f ca="1">AVERAGE(OFFSET($DS$3,0,0,'Données projet'!$E$14+1,1))-AVERAGE(OFFSET($H$3,0,0,'Données projet'!$E$14+1,1))</f>
        <v>334.4692012109935</v>
      </c>
      <c r="DU103" s="62">
        <f t="shared" si="98"/>
        <v>316.360405424036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234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-3.4106051316484809E-13</v>
      </c>
      <c r="EK103" s="18">
        <f>EJ103*VLOOKUP('Données projet'!$B$15,Paramètres!$A$1:$I$89,3,0)*VLOOKUP('Données projet'!$B$15,Paramètres!$A$1:$I$89,5,0)</f>
        <v>-1.9065282685915009E-13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390.09289316045653</v>
      </c>
      <c r="EP103" s="62">
        <f t="shared" si="100"/>
        <v>364.34913542817617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1.0595570289231246</v>
      </c>
      <c r="EX103" s="23">
        <f>EXP(-LN(2)/2)*EX102+(1-EXP(-LN(2)/2))/(LN(2)/2)*ER103*EU103*VLOOKUP('Données projet'!$B$15,Paramètres!$A$1:$I$89,3,0)*0.475*44/12</f>
        <v>2.6142352458176642E-10</v>
      </c>
      <c r="EY103" s="24">
        <f t="shared" si="75"/>
        <v>1.0595570291845482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529</v>
      </c>
      <c r="FC103" s="13">
        <f>VLOOKUP(A103,'Données projet'!$A$217:$I$237,9,0)</f>
        <v>11.2</v>
      </c>
      <c r="FD103" s="13">
        <f t="array" ref="FD103">INDEX(FC:FC,MIN(IF(ISNUMBER(FC103:FC299),ROW(FC103:FC299),"")))</f>
        <v>11.2</v>
      </c>
      <c r="FE103" s="13">
        <f>IF('Données projet'!$A$218&gt;35,FE102+FD103-FM102,IF(A103&lt;'Données projet'!$A$218,$FB$205^A103,IF(A103='Données projet'!$A$218,'Données projet'!$B$218,FE102+FD103-FM102)))</f>
        <v>529.00000000000023</v>
      </c>
      <c r="FF103" s="18">
        <f>FE103*VLOOKUP('Données projet'!$B$16,Paramètres!$A$1:$I$89,3,0)*VLOOKUP('Données projet'!$B$16,Paramètres!$A$1:$I$89,5,0)</f>
        <v>247.57200000000012</v>
      </c>
      <c r="FG103" s="14">
        <f t="shared" si="101"/>
        <v>60.065726249156576</v>
      </c>
      <c r="FH103" s="22">
        <f t="shared" si="76"/>
        <v>535.80237321728123</v>
      </c>
      <c r="FI103" s="62">
        <f t="shared" si="77"/>
        <v>817.18874793839655</v>
      </c>
      <c r="FJ103" s="62">
        <f ca="1">AVERAGE(OFFSET($FI$3,0,0,'Données projet'!$E$16+1,1))-AVERAGE(OFFSET($H$3,0,0,'Données projet'!$E$16+1,1))</f>
        <v>344.55118007058775</v>
      </c>
      <c r="FK103" s="62">
        <f t="shared" si="102"/>
        <v>144.16931602355001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252.60122125520482</v>
      </c>
      <c r="GF103" s="62">
        <f t="shared" si="104"/>
        <v>357.56833754121317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1.4782992705628084</v>
      </c>
      <c r="GN103" s="23">
        <f>EXP(-LN(2)/2)*GN102+(1-EXP(-LN(2)/2))/(LN(2)/2)*GH103*GK103*VLOOKUP('Données projet'!$B$17,Paramètres!$A$1:$I$89,3,0)*0.475*44/12</f>
        <v>4.8076093316214388E-10</v>
      </c>
      <c r="GO103" s="23">
        <f t="shared" si="81"/>
        <v>1.4782992710435694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-1.1368683772161603E-13</v>
      </c>
      <c r="GV103" s="18">
        <f>GU103*VLOOKUP('Données projet'!$B$18,Paramètres!$A$1:$I$89,3,0)*VLOOKUP('Données projet'!$B$18,Paramètres!$A$1:$I$89,5,0)</f>
        <v>-9.2222762759774927E-14</v>
      </c>
      <c r="GW103" s="14" t="e">
        <f t="shared" si="105"/>
        <v>#NUM!</v>
      </c>
      <c r="GX103" s="22" t="e">
        <f t="shared" si="82"/>
        <v>#NUM!</v>
      </c>
      <c r="GY103" s="62" t="e">
        <f t="shared" si="83"/>
        <v>#NUM!</v>
      </c>
      <c r="GZ103" s="62">
        <f ca="1">AVERAGE(OFFSET($GY$3,0,0,'Données projet'!$E$18+1,1))-AVERAGE(OFFSET($H$3,0,0,'Données projet'!$E$18+1,1))</f>
        <v>268.57152522489537</v>
      </c>
      <c r="HA103" s="62">
        <f t="shared" si="106"/>
        <v>311.80303557283207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3.75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13.75</v>
      </c>
      <c r="H104" s="70">
        <f t="shared" si="56"/>
        <v>201.66666666666666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2">
        <f t="shared" si="55"/>
        <v>841.45772389335389</v>
      </c>
      <c r="S104" s="62">
        <f ca="1">AVERAGE(OFFSET($R$3,0,0,'Données projet'!$E$9+1,1))-AVERAGE(OFFSET($H$3,0,0,'Données projet'!$E$9+1,1))</f>
        <v>461.02780119093666</v>
      </c>
      <c r="T104" s="62">
        <f t="shared" si="88"/>
        <v>245.70016468438834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286.19999999999959</v>
      </c>
      <c r="AJ104" s="14">
        <f>AI104*VLOOKUP('Données projet'!$B$10,Paramètres!$A$1:$I$89,3,0)*VLOOKUP('Données projet'!$B$10,Paramètres!$A$1:$I$89,5,0)</f>
        <v>241.0948799999997</v>
      </c>
      <c r="AK104" s="14">
        <f t="shared" si="89"/>
        <v>58.675036808244307</v>
      </c>
      <c r="AL104" s="22">
        <f t="shared" si="58"/>
        <v>522.09927177435827</v>
      </c>
      <c r="AM104" s="62">
        <f t="shared" si="59"/>
        <v>803.69289951799738</v>
      </c>
      <c r="AN104" s="62">
        <f ca="1">AVERAGE(OFFSET($AM$3,0,0,'Données projet'!$E$10+1,1))-AVERAGE(OFFSET($H$3,0,0,'Données projet'!$E$10+1,1))</f>
        <v>434.22500776975596</v>
      </c>
      <c r="AO104" s="62">
        <f t="shared" si="90"/>
        <v>232.59777933076705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3.0769230769230802</v>
      </c>
      <c r="BD104" s="13">
        <f>IF('Données projet'!$A$88&gt;35,BD103+BC104-BL103,IF(A104&lt;'Données projet'!$A$88,$BA$205^A104,IF(A104='Données projet'!$A$88,'Données projet'!$B$88,BD103+BC104-BL103)))</f>
        <v>225.5128205128205</v>
      </c>
      <c r="BE104" s="14">
        <f>BD104*VLOOKUP('Données projet'!$B$11,Paramètres!$A$1:$I$89,3,0)*VLOOKUP('Données projet'!$B$11,Paramètres!$A$1:$I$89,5,0)</f>
        <v>214.59800000000001</v>
      </c>
      <c r="BF104" s="14">
        <f t="shared" si="91"/>
        <v>52.939094303283817</v>
      </c>
      <c r="BG104" s="22">
        <f t="shared" si="61"/>
        <v>465.96043924488595</v>
      </c>
      <c r="BH104" s="62">
        <f t="shared" si="62"/>
        <v>747.55406698852516</v>
      </c>
      <c r="BI104" s="62">
        <f ca="1">AVERAGE(OFFSET($BH$3,0,0,'Données projet'!$E$11+1,1))-AVERAGE(OFFSET($H$3,0,0,'Données projet'!$E$11+1,1))</f>
        <v>393.3005580838161</v>
      </c>
      <c r="BJ104" s="62">
        <f t="shared" si="92"/>
        <v>295.86019897822757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-4.5224624045658861E-14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388.52230330563884</v>
      </c>
      <c r="CE104" s="62">
        <f t="shared" si="94"/>
        <v>418.94833960687333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-4.1677594708744434E-14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362.38131866207266</v>
      </c>
      <c r="CZ104" s="62">
        <f t="shared" si="96"/>
        <v>390.74498763200336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8.5265128291212022E-14</v>
      </c>
      <c r="DP104" s="18">
        <f>DO104*VLOOKUP('Données projet'!$B$14,Paramètres!$A$1:$I$89,3,0)*VLOOKUP('Données projet'!$B$14,Paramètres!$A$1:$I$89,5,0)</f>
        <v>7.4487616075202836E-14</v>
      </c>
      <c r="DQ104" s="14">
        <f t="shared" si="97"/>
        <v>1.1580453144473142E-12</v>
      </c>
      <c r="DR104" s="22">
        <f t="shared" si="70"/>
        <v>2.1466615206600508E-12</v>
      </c>
      <c r="DS104" s="62">
        <f t="shared" si="71"/>
        <v>281.59362774364132</v>
      </c>
      <c r="DT104" s="62">
        <f ca="1">AVERAGE(OFFSET($DS$3,0,0,'Données projet'!$E$14+1,1))-AVERAGE(OFFSET($H$3,0,0,'Données projet'!$E$14+1,1))</f>
        <v>334.4692012109935</v>
      </c>
      <c r="DU104" s="62">
        <f t="shared" si="98"/>
        <v>316.360405424036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-3.4106051316484809E-13</v>
      </c>
      <c r="EK104" s="18">
        <f>EJ104*VLOOKUP('Données projet'!$B$15,Paramètres!$A$1:$I$89,3,0)*VLOOKUP('Données projet'!$B$15,Paramètres!$A$1:$I$89,5,0)</f>
        <v>-1.9065282685915009E-13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390.09289316045653</v>
      </c>
      <c r="EP104" s="62">
        <f t="shared" si="100"/>
        <v>364.34913542817617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1.0305833862475393</v>
      </c>
      <c r="EX104" s="23">
        <f>EXP(-LN(2)/2)*EX103+(1-EXP(-LN(2)/2))/(LN(2)/2)*ER104*EU104*VLOOKUP('Données projet'!$B$15,Paramètres!$A$1:$I$89,3,0)*0.475*44/12</f>
        <v>1.8485434699345514E-10</v>
      </c>
      <c r="EY104" s="24">
        <f t="shared" si="75"/>
        <v>1.0305833864323937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10.199999999999999</v>
      </c>
      <c r="FE104" s="13">
        <f>IF('Données projet'!$A$218&gt;35,FE103+FD104-FM103,IF(A104&lt;'Données projet'!$A$218,$FB$205^A104,IF(A104='Données projet'!$A$218,'Données projet'!$B$218,FE103+FD104-FM103)))</f>
        <v>539.20000000000027</v>
      </c>
      <c r="FF104" s="18">
        <f>FE104*VLOOKUP('Données projet'!$B$16,Paramètres!$A$1:$I$89,3,0)*VLOOKUP('Données projet'!$B$16,Paramètres!$A$1:$I$89,5,0)</f>
        <v>252.3456000000001</v>
      </c>
      <c r="FG104" s="14">
        <f t="shared" si="101"/>
        <v>61.08794247234318</v>
      </c>
      <c r="FH104" s="22">
        <f t="shared" si="76"/>
        <v>545.89675313933117</v>
      </c>
      <c r="FI104" s="62">
        <f t="shared" si="77"/>
        <v>827.49038088297038</v>
      </c>
      <c r="FJ104" s="62">
        <f ca="1">AVERAGE(OFFSET($FI$3,0,0,'Données projet'!$E$16+1,1))-AVERAGE(OFFSET($H$3,0,0,'Données projet'!$E$16+1,1))</f>
        <v>344.55118007058775</v>
      </c>
      <c r="FK104" s="62">
        <f t="shared" si="102"/>
        <v>144.16931602355001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252.60122125520482</v>
      </c>
      <c r="GF104" s="62">
        <f t="shared" si="104"/>
        <v>357.56833754121317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1.4378750992688885</v>
      </c>
      <c r="GN104" s="23">
        <f>EXP(-LN(2)/2)*GN103+(1-EXP(-LN(2)/2))/(LN(2)/2)*GH104*GK104*VLOOKUP('Données projet'!$B$17,Paramètres!$A$1:$I$89,3,0)*0.475*44/12</f>
        <v>3.3994931596852448E-10</v>
      </c>
      <c r="GO104" s="23">
        <f t="shared" si="81"/>
        <v>1.4378750996088379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-1.1368683772161603E-13</v>
      </c>
      <c r="GV104" s="18">
        <f>GU104*VLOOKUP('Données projet'!$B$18,Paramètres!$A$1:$I$89,3,0)*VLOOKUP('Données projet'!$B$18,Paramètres!$A$1:$I$89,5,0)</f>
        <v>-9.2222762759774927E-14</v>
      </c>
      <c r="GW104" s="14" t="e">
        <f t="shared" si="105"/>
        <v>#NUM!</v>
      </c>
      <c r="GX104" s="22" t="e">
        <f t="shared" si="82"/>
        <v>#NUM!</v>
      </c>
      <c r="GY104" s="62" t="e">
        <f t="shared" si="83"/>
        <v>#NUM!</v>
      </c>
      <c r="GZ104" s="62">
        <f ca="1">AVERAGE(OFFSET($GY$3,0,0,'Données projet'!$E$18+1,1))-AVERAGE(OFFSET($H$3,0,0,'Données projet'!$E$18+1,1))</f>
        <v>268.57152522489537</v>
      </c>
      <c r="HA104" s="62">
        <f t="shared" si="106"/>
        <v>311.80303557283207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3.75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13.75</v>
      </c>
      <c r="H105" s="70">
        <f t="shared" si="56"/>
        <v>201.66666666666666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2">
        <f t="shared" si="55"/>
        <v>850.64593964203743</v>
      </c>
      <c r="S105" s="62">
        <f ca="1">AVERAGE(OFFSET($R$3,0,0,'Données projet'!$E$9+1,1))-AVERAGE(OFFSET($H$3,0,0,'Données projet'!$E$9+1,1))</f>
        <v>461.02780119093666</v>
      </c>
      <c r="T105" s="62">
        <f t="shared" si="88"/>
        <v>245.70016468438834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290.89999999999958</v>
      </c>
      <c r="AJ105" s="14">
        <f>AI105*VLOOKUP('Données projet'!$B$10,Paramètres!$A$1:$I$89,3,0)*VLOOKUP('Données projet'!$B$10,Paramètres!$A$1:$I$89,5,0)</f>
        <v>245.05415999999968</v>
      </c>
      <c r="AK105" s="14">
        <f t="shared" si="89"/>
        <v>59.525635169402733</v>
      </c>
      <c r="AL105" s="22">
        <f t="shared" si="58"/>
        <v>530.47647658670928</v>
      </c>
      <c r="AM105" s="62">
        <f t="shared" si="59"/>
        <v>812.27376197627984</v>
      </c>
      <c r="AN105" s="62">
        <f ca="1">AVERAGE(OFFSET($AM$3,0,0,'Données projet'!$E$10+1,1))-AVERAGE(OFFSET($H$3,0,0,'Données projet'!$E$10+1,1))</f>
        <v>434.22500776975596</v>
      </c>
      <c r="AO105" s="62">
        <f t="shared" si="90"/>
        <v>232.59777933076705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3.0769230769230802</v>
      </c>
      <c r="BD105" s="13">
        <f>IF('Données projet'!$A$88&gt;35,BD104+BC105-BL104,IF(A105&lt;'Données projet'!$A$88,$BA$205^A105,IF(A105='Données projet'!$A$88,'Données projet'!$B$88,BD104+BC105-BL104)))</f>
        <v>228.58974358974359</v>
      </c>
      <c r="BE105" s="14">
        <f>BD105*VLOOKUP('Données projet'!$B$11,Paramètres!$A$1:$I$89,3,0)*VLOOKUP('Données projet'!$B$11,Paramètres!$A$1:$I$89,5,0)</f>
        <v>217.52600000000001</v>
      </c>
      <c r="BF105" s="14">
        <f t="shared" si="91"/>
        <v>53.576820638117503</v>
      </c>
      <c r="BG105" s="22">
        <f t="shared" si="61"/>
        <v>472.17074594472138</v>
      </c>
      <c r="BH105" s="62">
        <f t="shared" si="62"/>
        <v>753.96803133429194</v>
      </c>
      <c r="BI105" s="62">
        <f ca="1">AVERAGE(OFFSET($BH$3,0,0,'Données projet'!$E$11+1,1))-AVERAGE(OFFSET($H$3,0,0,'Données projet'!$E$11+1,1))</f>
        <v>393.3005580838161</v>
      </c>
      <c r="BJ105" s="62">
        <f t="shared" si="92"/>
        <v>295.86019897822757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-4.5224624045658861E-14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388.52230330563884</v>
      </c>
      <c r="CE105" s="62">
        <f t="shared" si="94"/>
        <v>418.94833960687333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-4.1677594708744434E-14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362.38131866207266</v>
      </c>
      <c r="CZ105" s="62">
        <f t="shared" si="96"/>
        <v>390.74498763200336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8.5265128291212022E-14</v>
      </c>
      <c r="DP105" s="18">
        <f>DO105*VLOOKUP('Données projet'!$B$14,Paramètres!$A$1:$I$89,3,0)*VLOOKUP('Données projet'!$B$14,Paramètres!$A$1:$I$89,5,0)</f>
        <v>7.4487616075202836E-14</v>
      </c>
      <c r="DQ105" s="14">
        <f t="shared" si="97"/>
        <v>1.1580453144473142E-12</v>
      </c>
      <c r="DR105" s="22">
        <f t="shared" si="70"/>
        <v>2.1466615206600508E-12</v>
      </c>
      <c r="DS105" s="62">
        <f t="shared" si="71"/>
        <v>281.79728538957272</v>
      </c>
      <c r="DT105" s="62">
        <f ca="1">AVERAGE(OFFSET($DS$3,0,0,'Données projet'!$E$14+1,1))-AVERAGE(OFFSET($H$3,0,0,'Données projet'!$E$14+1,1))</f>
        <v>334.4692012109935</v>
      </c>
      <c r="DU105" s="62">
        <f t="shared" si="98"/>
        <v>316.360405424036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-3.4106051316484809E-13</v>
      </c>
      <c r="EK105" s="18">
        <f>EJ105*VLOOKUP('Données projet'!$B$15,Paramètres!$A$1:$I$89,3,0)*VLOOKUP('Données projet'!$B$15,Paramètres!$A$1:$I$89,5,0)</f>
        <v>-1.9065282685915009E-13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390.09289316045653</v>
      </c>
      <c r="EP105" s="62">
        <f t="shared" si="100"/>
        <v>364.34913542817617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1.0024020293545755</v>
      </c>
      <c r="EX105" s="23">
        <f>EXP(-LN(2)/2)*EX104+(1-EXP(-LN(2)/2))/(LN(2)/2)*ER105*EU105*VLOOKUP('Données projet'!$B$15,Paramètres!$A$1:$I$89,3,0)*0.475*44/12</f>
        <v>1.3071176229088321E-10</v>
      </c>
      <c r="EY105" s="24">
        <f t="shared" si="75"/>
        <v>1.0024020294852871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10.199999999999999</v>
      </c>
      <c r="FE105" s="13">
        <f>IF('Données projet'!$A$218&gt;35,FE104+FD105-FM104,IF(A105&lt;'Données projet'!$A$218,$FB$205^A105,IF(A105='Données projet'!$A$218,'Données projet'!$B$218,FE104+FD105-FM104)))</f>
        <v>549.40000000000032</v>
      </c>
      <c r="FF105" s="18">
        <f>FE105*VLOOKUP('Données projet'!$B$16,Paramètres!$A$1:$I$89,3,0)*VLOOKUP('Données projet'!$B$16,Paramètres!$A$1:$I$89,5,0)</f>
        <v>257.11920000000015</v>
      </c>
      <c r="FG105" s="14">
        <f t="shared" si="101"/>
        <v>62.107910182723955</v>
      </c>
      <c r="FH105" s="22">
        <f t="shared" si="76"/>
        <v>555.98721690157777</v>
      </c>
      <c r="FI105" s="62">
        <f t="shared" si="77"/>
        <v>837.78450229114833</v>
      </c>
      <c r="FJ105" s="62">
        <f ca="1">AVERAGE(OFFSET($FI$3,0,0,'Données projet'!$E$16+1,1))-AVERAGE(OFFSET($H$3,0,0,'Données projet'!$E$16+1,1))</f>
        <v>344.55118007058775</v>
      </c>
      <c r="FK105" s="62">
        <f t="shared" si="102"/>
        <v>144.16931602355001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252.60122125520482</v>
      </c>
      <c r="GF105" s="62">
        <f t="shared" si="104"/>
        <v>357.56833754121317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1.3985563290648155</v>
      </c>
      <c r="GN105" s="23">
        <f>EXP(-LN(2)/2)*GN104+(1-EXP(-LN(2)/2))/(LN(2)/2)*GH105*GK105*VLOOKUP('Données projet'!$B$17,Paramètres!$A$1:$I$89,3,0)*0.475*44/12</f>
        <v>2.4038046658107194E-10</v>
      </c>
      <c r="GO105" s="23">
        <f t="shared" si="81"/>
        <v>1.3985563293051959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-1.1368683772161603E-13</v>
      </c>
      <c r="GV105" s="18">
        <f>GU105*VLOOKUP('Données projet'!$B$18,Paramètres!$A$1:$I$89,3,0)*VLOOKUP('Données projet'!$B$18,Paramètres!$A$1:$I$89,5,0)</f>
        <v>-9.2222762759774927E-14</v>
      </c>
      <c r="GW105" s="14" t="e">
        <f t="shared" si="105"/>
        <v>#NUM!</v>
      </c>
      <c r="GX105" s="22" t="e">
        <f t="shared" si="82"/>
        <v>#NUM!</v>
      </c>
      <c r="GY105" s="62" t="e">
        <f t="shared" si="83"/>
        <v>#NUM!</v>
      </c>
      <c r="GZ105" s="62">
        <f ca="1">AVERAGE(OFFSET($GY$3,0,0,'Données projet'!$E$18+1,1))-AVERAGE(OFFSET($H$3,0,0,'Données projet'!$E$18+1,1))</f>
        <v>268.57152522489537</v>
      </c>
      <c r="HA105" s="62">
        <f t="shared" si="106"/>
        <v>311.80303557283207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3.75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13.75</v>
      </c>
      <c r="H106" s="70">
        <f t="shared" si="56"/>
        <v>201.66666666666666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2">
        <f t="shared" si="55"/>
        <v>859.8276573482284</v>
      </c>
      <c r="S106" s="62">
        <f ca="1">AVERAGE(OFFSET($R$3,0,0,'Données projet'!$E$9+1,1))-AVERAGE(OFFSET($H$3,0,0,'Données projet'!$E$9+1,1))</f>
        <v>461.02780119093666</v>
      </c>
      <c r="T106" s="62">
        <f t="shared" si="88"/>
        <v>245.70016468438834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295.59999999999957</v>
      </c>
      <c r="AJ106" s="14">
        <f>AI106*VLOOKUP('Données projet'!$B$10,Paramètres!$A$1:$I$89,3,0)*VLOOKUP('Données projet'!$B$10,Paramètres!$A$1:$I$89,5,0)</f>
        <v>249.01343999999963</v>
      </c>
      <c r="AK106" s="14">
        <f t="shared" si="89"/>
        <v>60.374635285677527</v>
      </c>
      <c r="AL106" s="22">
        <f t="shared" si="58"/>
        <v>538.85089778922099</v>
      </c>
      <c r="AM106" s="62">
        <f t="shared" si="59"/>
        <v>820.84830781987637</v>
      </c>
      <c r="AN106" s="62">
        <f ca="1">AVERAGE(OFFSET($AM$3,0,0,'Données projet'!$E$10+1,1))-AVERAGE(OFFSET($H$3,0,0,'Données projet'!$E$10+1,1))</f>
        <v>434.22500776975596</v>
      </c>
      <c r="AO106" s="62">
        <f t="shared" si="90"/>
        <v>232.59777933076705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3.0769230769230802</v>
      </c>
      <c r="BD106" s="13">
        <f>IF('Données projet'!$A$88&gt;35,BD105+BC106-BL105,IF(A106&lt;'Données projet'!$A$88,$BA$205^A106,IF(A106='Données projet'!$A$88,'Données projet'!$B$88,BD105+BC106-BL105)))</f>
        <v>231.66666666666669</v>
      </c>
      <c r="BE106" s="14">
        <f>BD106*VLOOKUP('Données projet'!$B$11,Paramètres!$A$1:$I$89,3,0)*VLOOKUP('Données projet'!$B$11,Paramètres!$A$1:$I$89,5,0)</f>
        <v>220.45400000000001</v>
      </c>
      <c r="BF106" s="14">
        <f t="shared" si="91"/>
        <v>54.213548535376205</v>
      </c>
      <c r="BG106" s="22">
        <f t="shared" si="61"/>
        <v>478.37931369911365</v>
      </c>
      <c r="BH106" s="62">
        <f t="shared" si="62"/>
        <v>760.37672372976908</v>
      </c>
      <c r="BI106" s="62">
        <f ca="1">AVERAGE(OFFSET($BH$3,0,0,'Données projet'!$E$11+1,1))-AVERAGE(OFFSET($H$3,0,0,'Données projet'!$E$11+1,1))</f>
        <v>393.3005580838161</v>
      </c>
      <c r="BJ106" s="62">
        <f t="shared" si="92"/>
        <v>295.86019897822757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-4.5224624045658861E-14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388.52230330563884</v>
      </c>
      <c r="CE106" s="62">
        <f t="shared" si="94"/>
        <v>418.94833960687333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-4.1677594708744434E-14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362.38131866207266</v>
      </c>
      <c r="CZ106" s="62">
        <f t="shared" si="96"/>
        <v>390.74498763200336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8.5265128291212022E-14</v>
      </c>
      <c r="DP106" s="18">
        <f>DO106*VLOOKUP('Données projet'!$B$14,Paramètres!$A$1:$I$89,3,0)*VLOOKUP('Données projet'!$B$14,Paramètres!$A$1:$I$89,5,0)</f>
        <v>7.4487616075202836E-14</v>
      </c>
      <c r="DQ106" s="14">
        <f t="shared" si="97"/>
        <v>1.1580453144473142E-12</v>
      </c>
      <c r="DR106" s="22">
        <f t="shared" si="70"/>
        <v>2.1466615206600508E-12</v>
      </c>
      <c r="DS106" s="62">
        <f t="shared" si="71"/>
        <v>281.99741003065753</v>
      </c>
      <c r="DT106" s="62">
        <f ca="1">AVERAGE(OFFSET($DS$3,0,0,'Données projet'!$E$14+1,1))-AVERAGE(OFFSET($H$3,0,0,'Données projet'!$E$14+1,1))</f>
        <v>334.4692012109935</v>
      </c>
      <c r="DU106" s="62">
        <f t="shared" si="98"/>
        <v>316.360405424036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-3.4106051316484809E-13</v>
      </c>
      <c r="EK106" s="18">
        <f>EJ106*VLOOKUP('Données projet'!$B$15,Paramètres!$A$1:$I$89,3,0)*VLOOKUP('Données projet'!$B$15,Paramètres!$A$1:$I$89,5,0)</f>
        <v>-1.9065282685915009E-13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390.09289316045653</v>
      </c>
      <c r="EP106" s="62">
        <f t="shared" si="100"/>
        <v>364.34913542817617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0.97499129314784283</v>
      </c>
      <c r="EX106" s="23">
        <f>EXP(-LN(2)/2)*EX105+(1-EXP(-LN(2)/2))/(LN(2)/2)*ER106*EU106*VLOOKUP('Données projet'!$B$15,Paramètres!$A$1:$I$89,3,0)*0.475*44/12</f>
        <v>9.2427173496727568E-11</v>
      </c>
      <c r="EY106" s="24">
        <f t="shared" si="75"/>
        <v>0.97499129324027001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10.199999999999999</v>
      </c>
      <c r="FE106" s="13">
        <f>IF('Données projet'!$A$218&gt;35,FE105+FD106-FM105,IF(A106&lt;'Données projet'!$A$218,$FB$205^A106,IF(A106='Données projet'!$A$218,'Données projet'!$B$218,FE105+FD106-FM105)))</f>
        <v>559.60000000000036</v>
      </c>
      <c r="FF106" s="18">
        <f>FE106*VLOOKUP('Données projet'!$B$16,Paramètres!$A$1:$I$89,3,0)*VLOOKUP('Données projet'!$B$16,Paramètres!$A$1:$I$89,5,0)</f>
        <v>261.89280000000019</v>
      </c>
      <c r="FG106" s="14">
        <f t="shared" si="101"/>
        <v>63.125675939750188</v>
      </c>
      <c r="FH106" s="22">
        <f t="shared" si="76"/>
        <v>566.07384559506522</v>
      </c>
      <c r="FI106" s="62">
        <f t="shared" si="77"/>
        <v>848.0712556257206</v>
      </c>
      <c r="FJ106" s="62">
        <f ca="1">AVERAGE(OFFSET($FI$3,0,0,'Données projet'!$E$16+1,1))-AVERAGE(OFFSET($H$3,0,0,'Données projet'!$E$16+1,1))</f>
        <v>344.55118007058775</v>
      </c>
      <c r="FK106" s="62">
        <f t="shared" si="102"/>
        <v>144.16931602355001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252.60122125520482</v>
      </c>
      <c r="GF106" s="62">
        <f t="shared" si="104"/>
        <v>357.56833754121317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1.3603127326996574</v>
      </c>
      <c r="GN106" s="23">
        <f>EXP(-LN(2)/2)*GN105+(1-EXP(-LN(2)/2))/(LN(2)/2)*GH106*GK106*VLOOKUP('Données projet'!$B$17,Paramètres!$A$1:$I$89,3,0)*0.475*44/12</f>
        <v>1.6997465798426224E-10</v>
      </c>
      <c r="GO106" s="23">
        <f t="shared" si="81"/>
        <v>1.3603127328696321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-1.1368683772161603E-13</v>
      </c>
      <c r="GV106" s="18">
        <f>GU106*VLOOKUP('Données projet'!$B$18,Paramètres!$A$1:$I$89,3,0)*VLOOKUP('Données projet'!$B$18,Paramètres!$A$1:$I$89,5,0)</f>
        <v>-9.2222762759774927E-14</v>
      </c>
      <c r="GW106" s="14" t="e">
        <f t="shared" si="105"/>
        <v>#NUM!</v>
      </c>
      <c r="GX106" s="22" t="e">
        <f t="shared" si="82"/>
        <v>#NUM!</v>
      </c>
      <c r="GY106" s="62" t="e">
        <f t="shared" si="83"/>
        <v>#NUM!</v>
      </c>
      <c r="GZ106" s="62">
        <f ca="1">AVERAGE(OFFSET($GY$3,0,0,'Données projet'!$E$18+1,1))-AVERAGE(OFFSET($H$3,0,0,'Données projet'!$E$18+1,1))</f>
        <v>268.57152522489537</v>
      </c>
      <c r="HA106" s="62">
        <f t="shared" si="106"/>
        <v>311.80303557283207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3.75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13.75</v>
      </c>
      <c r="H107" s="70">
        <f t="shared" si="56"/>
        <v>201.66666666666666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2">
        <f t="shared" si="55"/>
        <v>869.00299088867541</v>
      </c>
      <c r="S107" s="62">
        <f ca="1">AVERAGE(OFFSET($R$3,0,0,'Données projet'!$E$9+1,1))-AVERAGE(OFFSET($H$3,0,0,'Données projet'!$E$9+1,1))</f>
        <v>461.02780119093666</v>
      </c>
      <c r="T107" s="62">
        <f t="shared" si="88"/>
        <v>245.70016468438834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300.29999999999956</v>
      </c>
      <c r="AJ107" s="14">
        <f>AI107*VLOOKUP('Données projet'!$B$10,Paramètres!$A$1:$I$89,3,0)*VLOOKUP('Données projet'!$B$10,Paramètres!$A$1:$I$89,5,0)</f>
        <v>252.97271999999967</v>
      </c>
      <c r="AK107" s="14">
        <f t="shared" si="89"/>
        <v>61.222065503057884</v>
      </c>
      <c r="AL107" s="22">
        <f t="shared" si="58"/>
        <v>547.22258475115848</v>
      </c>
      <c r="AM107" s="62">
        <f t="shared" si="59"/>
        <v>829.41664770778743</v>
      </c>
      <c r="AN107" s="62">
        <f ca="1">AVERAGE(OFFSET($AM$3,0,0,'Données projet'!$E$10+1,1))-AVERAGE(OFFSET($H$3,0,0,'Données projet'!$E$10+1,1))</f>
        <v>434.22500776975596</v>
      </c>
      <c r="AO107" s="62">
        <f t="shared" si="90"/>
        <v>232.59777933076705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3.0769230769230802</v>
      </c>
      <c r="BD107" s="13">
        <f>IF('Données projet'!$A$88&gt;35,BD106+BC107-BL106,IF(A107&lt;'Données projet'!$A$88,$BA$205^A107,IF(A107='Données projet'!$A$88,'Données projet'!$B$88,BD106+BC107-BL106)))</f>
        <v>234.74358974358978</v>
      </c>
      <c r="BE107" s="14">
        <f>BD107*VLOOKUP('Données projet'!$B$11,Paramètres!$A$1:$I$89,3,0)*VLOOKUP('Données projet'!$B$11,Paramètres!$A$1:$I$89,5,0)</f>
        <v>223.38200000000003</v>
      </c>
      <c r="BF107" s="14">
        <f t="shared" si="91"/>
        <v>54.849292789000252</v>
      </c>
      <c r="BG107" s="22">
        <f t="shared" si="61"/>
        <v>484.58616827417546</v>
      </c>
      <c r="BH107" s="62">
        <f t="shared" si="62"/>
        <v>766.78023123080447</v>
      </c>
      <c r="BI107" s="62">
        <f ca="1">AVERAGE(OFFSET($BH$3,0,0,'Données projet'!$E$11+1,1))-AVERAGE(OFFSET($H$3,0,0,'Données projet'!$E$11+1,1))</f>
        <v>393.3005580838161</v>
      </c>
      <c r="BJ107" s="62">
        <f t="shared" si="92"/>
        <v>295.86019897822757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-4.5224624045658861E-14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388.52230330563884</v>
      </c>
      <c r="CE107" s="62">
        <f t="shared" si="94"/>
        <v>418.94833960687333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-4.1677594708744434E-14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362.38131866207266</v>
      </c>
      <c r="CZ107" s="62">
        <f t="shared" si="96"/>
        <v>390.74498763200336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8.5265128291212022E-14</v>
      </c>
      <c r="DP107" s="18">
        <f>DO107*VLOOKUP('Données projet'!$B$14,Paramètres!$A$1:$I$89,3,0)*VLOOKUP('Données projet'!$B$14,Paramètres!$A$1:$I$89,5,0)</f>
        <v>7.4487616075202836E-14</v>
      </c>
      <c r="DQ107" s="14">
        <f t="shared" si="97"/>
        <v>1.1580453144473142E-12</v>
      </c>
      <c r="DR107" s="22">
        <f t="shared" si="70"/>
        <v>2.1466615206600508E-12</v>
      </c>
      <c r="DS107" s="62">
        <f t="shared" si="71"/>
        <v>282.19406295663117</v>
      </c>
      <c r="DT107" s="62">
        <f ca="1">AVERAGE(OFFSET($DS$3,0,0,'Données projet'!$E$14+1,1))-AVERAGE(OFFSET($H$3,0,0,'Données projet'!$E$14+1,1))</f>
        <v>334.4692012109935</v>
      </c>
      <c r="DU107" s="62">
        <f t="shared" si="98"/>
        <v>316.360405424036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-3.4106051316484809E-13</v>
      </c>
      <c r="EK107" s="18">
        <f>EJ107*VLOOKUP('Données projet'!$B$15,Paramètres!$A$1:$I$89,3,0)*VLOOKUP('Données projet'!$B$15,Paramètres!$A$1:$I$89,5,0)</f>
        <v>-1.9065282685915009E-13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390.09289316045653</v>
      </c>
      <c r="EP107" s="62">
        <f t="shared" si="100"/>
        <v>364.34913542817617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0.94833010496415138</v>
      </c>
      <c r="EX107" s="23">
        <f>EXP(-LN(2)/2)*EX106+(1-EXP(-LN(2)/2))/(LN(2)/2)*ER107*EU107*VLOOKUP('Données projet'!$B$15,Paramètres!$A$1:$I$89,3,0)*0.475*44/12</f>
        <v>6.5355881145441605E-11</v>
      </c>
      <c r="EY107" s="24">
        <f t="shared" si="75"/>
        <v>0.94833010502950721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10.199999999999999</v>
      </c>
      <c r="FE107" s="13">
        <f>IF('Données projet'!$A$218&gt;35,FE106+FD107-FM106,IF(A107&lt;'Données projet'!$A$218,$FB$205^A107,IF(A107='Données projet'!$A$218,'Données projet'!$B$218,FE106+FD107-FM106)))</f>
        <v>569.80000000000041</v>
      </c>
      <c r="FF107" s="18">
        <f>FE107*VLOOKUP('Données projet'!$B$16,Paramètres!$A$1:$I$89,3,0)*VLOOKUP('Données projet'!$B$16,Paramètres!$A$1:$I$89,5,0)</f>
        <v>266.66640000000018</v>
      </c>
      <c r="FG107" s="14">
        <f t="shared" si="101"/>
        <v>64.141284508389418</v>
      </c>
      <c r="FH107" s="22">
        <f t="shared" si="76"/>
        <v>576.15671718544525</v>
      </c>
      <c r="FI107" s="62">
        <f t="shared" si="77"/>
        <v>858.3507801420742</v>
      </c>
      <c r="FJ107" s="62">
        <f ca="1">AVERAGE(OFFSET($FI$3,0,0,'Données projet'!$E$16+1,1))-AVERAGE(OFFSET($H$3,0,0,'Données projet'!$E$16+1,1))</f>
        <v>344.55118007058775</v>
      </c>
      <c r="FK107" s="62">
        <f t="shared" si="102"/>
        <v>144.16931602355001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252.60122125520482</v>
      </c>
      <c r="GF107" s="62">
        <f t="shared" si="104"/>
        <v>357.56833754121317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1.3231149094882477</v>
      </c>
      <c r="GN107" s="23">
        <f>EXP(-LN(2)/2)*GN106+(1-EXP(-LN(2)/2))/(LN(2)/2)*GH107*GK107*VLOOKUP('Données projet'!$B$17,Paramètres!$A$1:$I$89,3,0)*0.475*44/12</f>
        <v>1.2019023329053597E-10</v>
      </c>
      <c r="GO107" s="23">
        <f t="shared" si="81"/>
        <v>1.323114909608438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-1.1368683772161603E-13</v>
      </c>
      <c r="GV107" s="18">
        <f>GU107*VLOOKUP('Données projet'!$B$18,Paramètres!$A$1:$I$89,3,0)*VLOOKUP('Données projet'!$B$18,Paramètres!$A$1:$I$89,5,0)</f>
        <v>-9.2222762759774927E-14</v>
      </c>
      <c r="GW107" s="14" t="e">
        <f t="shared" si="105"/>
        <v>#NUM!</v>
      </c>
      <c r="GX107" s="22" t="e">
        <f t="shared" si="82"/>
        <v>#NUM!</v>
      </c>
      <c r="GY107" s="62" t="e">
        <f t="shared" si="83"/>
        <v>#NUM!</v>
      </c>
      <c r="GZ107" s="62">
        <f ca="1">AVERAGE(OFFSET($GY$3,0,0,'Données projet'!$E$18+1,1))-AVERAGE(OFFSET($H$3,0,0,'Données projet'!$E$18+1,1))</f>
        <v>268.57152522489537</v>
      </c>
      <c r="HA107" s="62">
        <f t="shared" si="106"/>
        <v>311.80303557283207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3.75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13.75</v>
      </c>
      <c r="H108" s="70">
        <f t="shared" si="56"/>
        <v>201.66666666666666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2">
        <f t="shared" si="55"/>
        <v>878.17205133637947</v>
      </c>
      <c r="S108" s="62">
        <f ca="1">AVERAGE(OFFSET($R$3,0,0,'Données projet'!$E$9+1,1))-AVERAGE(OFFSET($H$3,0,0,'Données projet'!$E$9+1,1))</f>
        <v>461.02780119093666</v>
      </c>
      <c r="T108" s="62">
        <f t="shared" si="88"/>
        <v>245.70016468438834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304.99999999999955</v>
      </c>
      <c r="AJ108" s="14">
        <f>AI108*VLOOKUP('Données projet'!$B$10,Paramètres!$A$1:$I$89,3,0)*VLOOKUP('Données projet'!$B$10,Paramètres!$A$1:$I$89,5,0)</f>
        <v>256.93199999999962</v>
      </c>
      <c r="AK108" s="14">
        <f t="shared" si="89"/>
        <v>62.0679532293465</v>
      </c>
      <c r="AL108" s="22">
        <f t="shared" si="58"/>
        <v>555.59158520777794</v>
      </c>
      <c r="AM108" s="62">
        <f t="shared" si="59"/>
        <v>837.9788896017651</v>
      </c>
      <c r="AN108" s="62">
        <f ca="1">AVERAGE(OFFSET($AM$3,0,0,'Données projet'!$E$10+1,1))-AVERAGE(OFFSET($H$3,0,0,'Données projet'!$E$10+1,1))</f>
        <v>434.22500776975596</v>
      </c>
      <c r="AO108" s="62">
        <f t="shared" si="90"/>
        <v>232.59777933076705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3.0769230769230802</v>
      </c>
      <c r="BD108" s="13">
        <f>IF('Données projet'!$A$88&gt;35,BD107+BC108-BL107,IF(A108&lt;'Données projet'!$A$88,$BA$205^A108,IF(A108='Données projet'!$A$88,'Données projet'!$B$88,BD107+BC108-BL107)))</f>
        <v>237.82051282051287</v>
      </c>
      <c r="BE108" s="14">
        <f>BD108*VLOOKUP('Données projet'!$B$11,Paramètres!$A$1:$I$89,3,0)*VLOOKUP('Données projet'!$B$11,Paramètres!$A$1:$I$89,5,0)</f>
        <v>226.31000000000006</v>
      </c>
      <c r="BF108" s="14">
        <f t="shared" si="91"/>
        <v>55.484067782810527</v>
      </c>
      <c r="BG108" s="22">
        <f t="shared" si="61"/>
        <v>490.79133472172845</v>
      </c>
      <c r="BH108" s="62">
        <f t="shared" si="62"/>
        <v>773.17863911571567</v>
      </c>
      <c r="BI108" s="62">
        <f ca="1">AVERAGE(OFFSET($BH$3,0,0,'Données projet'!$E$11+1,1))-AVERAGE(OFFSET($H$3,0,0,'Données projet'!$E$11+1,1))</f>
        <v>393.3005580838161</v>
      </c>
      <c r="BJ108" s="62">
        <f t="shared" si="92"/>
        <v>295.86019897822757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-4.5224624045658861E-14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388.52230330563884</v>
      </c>
      <c r="CE108" s="62">
        <f t="shared" si="94"/>
        <v>418.94833960687333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-4.1677594708744434E-14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362.38131866207266</v>
      </c>
      <c r="CZ108" s="62">
        <f t="shared" si="96"/>
        <v>390.74498763200336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8.5265128291212022E-14</v>
      </c>
      <c r="DP108" s="18">
        <f>DO108*VLOOKUP('Données projet'!$B$14,Paramètres!$A$1:$I$89,3,0)*VLOOKUP('Données projet'!$B$14,Paramètres!$A$1:$I$89,5,0)</f>
        <v>7.4487616075202836E-14</v>
      </c>
      <c r="DQ108" s="14">
        <f t="shared" si="97"/>
        <v>1.1580453144473142E-12</v>
      </c>
      <c r="DR108" s="22">
        <f t="shared" si="70"/>
        <v>2.1466615206600508E-12</v>
      </c>
      <c r="DS108" s="62">
        <f t="shared" si="71"/>
        <v>282.38730439398933</v>
      </c>
      <c r="DT108" s="62">
        <f ca="1">AVERAGE(OFFSET($DS$3,0,0,'Données projet'!$E$14+1,1))-AVERAGE(OFFSET($H$3,0,0,'Données projet'!$E$14+1,1))</f>
        <v>334.4692012109935</v>
      </c>
      <c r="DU108" s="62">
        <f t="shared" si="98"/>
        <v>316.360405424036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-3.4106051316484809E-13</v>
      </c>
      <c r="EK108" s="18">
        <f>EJ108*VLOOKUP('Données projet'!$B$15,Paramètres!$A$1:$I$89,3,0)*VLOOKUP('Données projet'!$B$15,Paramètres!$A$1:$I$89,5,0)</f>
        <v>-1.9065282685915009E-13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390.09289316045653</v>
      </c>
      <c r="EP108" s="62">
        <f t="shared" si="100"/>
        <v>364.34913542817617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0.92239796837339383</v>
      </c>
      <c r="EX108" s="23">
        <f>EXP(-LN(2)/2)*EX107+(1-EXP(-LN(2)/2))/(LN(2)/2)*ER108*EU108*VLOOKUP('Données projet'!$B$15,Paramètres!$A$1:$I$89,3,0)*0.475*44/12</f>
        <v>4.6213586748363784E-11</v>
      </c>
      <c r="EY108" s="24">
        <f t="shared" si="75"/>
        <v>0.92239796841960742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580</v>
      </c>
      <c r="FC108" s="13">
        <f>VLOOKUP(A108,'Données projet'!$A$217:$I$237,9,0)</f>
        <v>10.199999999999999</v>
      </c>
      <c r="FD108" s="13">
        <f t="array" ref="FD108">INDEX(FC:FC,MIN(IF(ISNUMBER(FC108:FC304),ROW(FC108:FC304),"")))</f>
        <v>10.199999999999999</v>
      </c>
      <c r="FE108" s="13">
        <f>IF('Données projet'!$A$218&gt;35,FE107+FD108-FM107,IF(A108&lt;'Données projet'!$A$218,$FB$205^A108,IF(A108='Données projet'!$A$218,'Données projet'!$B$218,FE107+FD108-FM107)))</f>
        <v>580.00000000000045</v>
      </c>
      <c r="FF108" s="18">
        <f>FE108*VLOOKUP('Données projet'!$B$16,Paramètres!$A$1:$I$89,3,0)*VLOOKUP('Données projet'!$B$16,Paramètres!$A$1:$I$89,5,0)</f>
        <v>271.44000000000023</v>
      </c>
      <c r="FG108" s="14">
        <f t="shared" si="101"/>
        <v>65.15477895915123</v>
      </c>
      <c r="FH108" s="22">
        <f t="shared" si="76"/>
        <v>586.23590668718873</v>
      </c>
      <c r="FI108" s="62">
        <f t="shared" si="77"/>
        <v>868.6232110811759</v>
      </c>
      <c r="FJ108" s="62">
        <f ca="1">AVERAGE(OFFSET($FI$3,0,0,'Données projet'!$E$16+1,1))-AVERAGE(OFFSET($H$3,0,0,'Données projet'!$E$16+1,1))</f>
        <v>344.55118007058775</v>
      </c>
      <c r="FK108" s="62">
        <f t="shared" si="102"/>
        <v>144.16931602355001</v>
      </c>
      <c r="FL108" s="16">
        <f>IF(ISNA(VLOOKUP(A108,'Données projet'!$A$217:$I$237,3,0)),0,VLOOKUP(A108,'Données projet'!$A$217:$I$237,3,0))</f>
        <v>7</v>
      </c>
      <c r="FM108" s="16">
        <f>IF(ISNA(VLOOKUP(A108,'Données projet'!$A$217:$I$237,4,0)),0,VLOOKUP(A108,'Données projet'!$A$217:$I$237,4,0))</f>
        <v>580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252.60122125520482</v>
      </c>
      <c r="GF108" s="62">
        <f t="shared" si="104"/>
        <v>357.56833754121317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1.2869342627087026</v>
      </c>
      <c r="GN108" s="23">
        <f>EXP(-LN(2)/2)*GN107+(1-EXP(-LN(2)/2))/(LN(2)/2)*GH108*GK108*VLOOKUP('Données projet'!$B$17,Paramètres!$A$1:$I$89,3,0)*0.475*44/12</f>
        <v>8.4987328992131119E-11</v>
      </c>
      <c r="GO108" s="23">
        <f t="shared" si="81"/>
        <v>1.2869342627936899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-1.1368683772161603E-13</v>
      </c>
      <c r="GV108" s="18">
        <f>GU108*VLOOKUP('Données projet'!$B$18,Paramètres!$A$1:$I$89,3,0)*VLOOKUP('Données projet'!$B$18,Paramètres!$A$1:$I$89,5,0)</f>
        <v>-9.2222762759774927E-14</v>
      </c>
      <c r="GW108" s="14" t="e">
        <f t="shared" si="105"/>
        <v>#NUM!</v>
      </c>
      <c r="GX108" s="22" t="e">
        <f t="shared" si="82"/>
        <v>#NUM!</v>
      </c>
      <c r="GY108" s="62" t="e">
        <f t="shared" si="83"/>
        <v>#NUM!</v>
      </c>
      <c r="GZ108" s="62">
        <f ca="1">AVERAGE(OFFSET($GY$3,0,0,'Données projet'!$E$18+1,1))-AVERAGE(OFFSET($H$3,0,0,'Données projet'!$E$18+1,1))</f>
        <v>268.57152522489537</v>
      </c>
      <c r="HA108" s="62">
        <f t="shared" si="106"/>
        <v>311.80303557283207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3.75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13.75</v>
      </c>
      <c r="H109" s="70">
        <f t="shared" si="56"/>
        <v>201.66666666666666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2">
        <f t="shared" si="55"/>
        <v>807.62102001770279</v>
      </c>
      <c r="S109" s="62">
        <f ca="1">AVERAGE(OFFSET($R$3,0,0,'Données projet'!$E$9+1,1))-AVERAGE(OFFSET($H$3,0,0,'Données projet'!$E$9+1,1))</f>
        <v>461.02780119093666</v>
      </c>
      <c r="T109" s="62">
        <f t="shared" si="88"/>
        <v>245.70016468438834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267.99999999999955</v>
      </c>
      <c r="AJ109" s="14">
        <f>AI109*VLOOKUP('Données projet'!$B$10,Paramètres!$A$1:$I$89,3,0)*VLOOKUP('Données projet'!$B$10,Paramètres!$A$1:$I$89,5,0)</f>
        <v>225.76319999999964</v>
      </c>
      <c r="AK109" s="14">
        <f t="shared" si="89"/>
        <v>55.365597375021302</v>
      </c>
      <c r="AL109" s="22">
        <f t="shared" si="58"/>
        <v>489.63265542816151</v>
      </c>
      <c r="AM109" s="62">
        <f t="shared" si="59"/>
        <v>772.20984895259176</v>
      </c>
      <c r="AN109" s="62">
        <f ca="1">AVERAGE(OFFSET($AM$3,0,0,'Données projet'!$E$10+1,1))-AVERAGE(OFFSET($H$3,0,0,'Données projet'!$E$10+1,1))</f>
        <v>434.22500776975596</v>
      </c>
      <c r="AO109" s="62">
        <f t="shared" si="90"/>
        <v>232.59777933076705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3.0769230769230802</v>
      </c>
      <c r="BD109" s="13">
        <f>IF('Données projet'!$A$88&gt;35,BD108+BC109-BL108,IF(A109&lt;'Données projet'!$A$88,$BA$205^A109,IF(A109='Données projet'!$A$88,'Données projet'!$B$88,BD108+BC109-BL108)))</f>
        <v>240.89743589743597</v>
      </c>
      <c r="BE109" s="14">
        <f>BD109*VLOOKUP('Données projet'!$B$11,Paramètres!$A$1:$I$89,3,0)*VLOOKUP('Données projet'!$B$11,Paramètres!$A$1:$I$89,5,0)</f>
        <v>229.23800000000008</v>
      </c>
      <c r="BF109" s="14">
        <f t="shared" si="91"/>
        <v>56.117887507033878</v>
      </c>
      <c r="BG109" s="22">
        <f t="shared" si="61"/>
        <v>496.99483740808415</v>
      </c>
      <c r="BH109" s="62">
        <f t="shared" si="62"/>
        <v>779.57203093251428</v>
      </c>
      <c r="BI109" s="62">
        <f ca="1">AVERAGE(OFFSET($BH$3,0,0,'Données projet'!$E$11+1,1))-AVERAGE(OFFSET($H$3,0,0,'Données projet'!$E$11+1,1))</f>
        <v>393.3005580838161</v>
      </c>
      <c r="BJ109" s="62">
        <f t="shared" si="92"/>
        <v>295.86019897822757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-4.5224624045658861E-14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388.52230330563884</v>
      </c>
      <c r="CE109" s="62">
        <f t="shared" si="94"/>
        <v>418.94833960687333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-4.1677594708744434E-14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362.38131866207266</v>
      </c>
      <c r="CZ109" s="62">
        <f t="shared" si="96"/>
        <v>390.74498763200336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8.5265128291212022E-14</v>
      </c>
      <c r="DP109" s="18">
        <f>DO109*VLOOKUP('Données projet'!$B$14,Paramètres!$A$1:$I$89,3,0)*VLOOKUP('Données projet'!$B$14,Paramètres!$A$1:$I$89,5,0)</f>
        <v>7.4487616075202836E-14</v>
      </c>
      <c r="DQ109" s="14">
        <f t="shared" si="97"/>
        <v>1.1580453144473142E-12</v>
      </c>
      <c r="DR109" s="22">
        <f t="shared" si="70"/>
        <v>2.1466615206600508E-12</v>
      </c>
      <c r="DS109" s="62">
        <f t="shared" si="71"/>
        <v>282.57719352443235</v>
      </c>
      <c r="DT109" s="62">
        <f ca="1">AVERAGE(OFFSET($DS$3,0,0,'Données projet'!$E$14+1,1))-AVERAGE(OFFSET($H$3,0,0,'Données projet'!$E$14+1,1))</f>
        <v>334.4692012109935</v>
      </c>
      <c r="DU109" s="62">
        <f t="shared" si="98"/>
        <v>316.360405424036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-3.4106051316484809E-13</v>
      </c>
      <c r="EK109" s="18">
        <f>EJ109*VLOOKUP('Données projet'!$B$15,Paramètres!$A$1:$I$89,3,0)*VLOOKUP('Données projet'!$B$15,Paramètres!$A$1:$I$89,5,0)</f>
        <v>-1.9065282685915009E-13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390.09289316045653</v>
      </c>
      <c r="EP109" s="62">
        <f t="shared" si="100"/>
        <v>364.34913542817617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0.89717494742142234</v>
      </c>
      <c r="EX109" s="23">
        <f>EXP(-LN(2)/2)*EX108+(1-EXP(-LN(2)/2))/(LN(2)/2)*ER109*EU109*VLOOKUP('Données projet'!$B$15,Paramètres!$A$1:$I$89,3,0)*0.475*44/12</f>
        <v>3.2677940572720802E-11</v>
      </c>
      <c r="EY109" s="24">
        <f t="shared" si="75"/>
        <v>0.89717494745410031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4.5474735088646412E-13</v>
      </c>
      <c r="FF109" s="18">
        <f>FE109*VLOOKUP('Données projet'!$B$16,Paramètres!$A$1:$I$89,3,0)*VLOOKUP('Données projet'!$B$16,Paramètres!$A$1:$I$89,5,0)</f>
        <v>2.1282176021486519E-13</v>
      </c>
      <c r="FG109" s="14">
        <f t="shared" si="101"/>
        <v>2.9281075858910828E-12</v>
      </c>
      <c r="FH109" s="22">
        <f t="shared" si="76"/>
        <v>5.4704519444678596E-12</v>
      </c>
      <c r="FI109" s="62">
        <f t="shared" si="77"/>
        <v>282.57719352443564</v>
      </c>
      <c r="FJ109" s="62">
        <f ca="1">AVERAGE(OFFSET($FI$3,0,0,'Données projet'!$E$16+1,1))-AVERAGE(OFFSET($H$3,0,0,'Données projet'!$E$16+1,1))</f>
        <v>344.55118007058775</v>
      </c>
      <c r="FK109" s="62">
        <f t="shared" si="102"/>
        <v>144.16931602355001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252.60122125520482</v>
      </c>
      <c r="GF109" s="62">
        <f t="shared" si="104"/>
        <v>357.56833754121317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1.2517429776180016</v>
      </c>
      <c r="GN109" s="23">
        <f>EXP(-LN(2)/2)*GN108+(1-EXP(-LN(2)/2))/(LN(2)/2)*GH109*GK109*VLOOKUP('Données projet'!$B$17,Paramètres!$A$1:$I$89,3,0)*0.475*44/12</f>
        <v>6.0095116645267985E-11</v>
      </c>
      <c r="GO109" s="23">
        <f t="shared" si="81"/>
        <v>1.2517429776780966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-1.1368683772161603E-13</v>
      </c>
      <c r="GV109" s="18">
        <f>GU109*VLOOKUP('Données projet'!$B$18,Paramètres!$A$1:$I$89,3,0)*VLOOKUP('Données projet'!$B$18,Paramètres!$A$1:$I$89,5,0)</f>
        <v>-9.2222762759774927E-14</v>
      </c>
      <c r="GW109" s="14" t="e">
        <f t="shared" si="105"/>
        <v>#NUM!</v>
      </c>
      <c r="GX109" s="22" t="e">
        <f t="shared" si="82"/>
        <v>#NUM!</v>
      </c>
      <c r="GY109" s="62" t="e">
        <f t="shared" si="83"/>
        <v>#NUM!</v>
      </c>
      <c r="GZ109" s="62">
        <f ca="1">AVERAGE(OFFSET($GY$3,0,0,'Données projet'!$E$18+1,1))-AVERAGE(OFFSET($H$3,0,0,'Données projet'!$E$18+1,1))</f>
        <v>268.57152522489537</v>
      </c>
      <c r="HA109" s="62">
        <f t="shared" si="106"/>
        <v>311.80303557283207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3.75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13.75</v>
      </c>
      <c r="H110" s="70">
        <f t="shared" si="56"/>
        <v>201.66666666666666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2">
        <f t="shared" si="55"/>
        <v>815.46447455285215</v>
      </c>
      <c r="S110" s="62">
        <f ca="1">AVERAGE(OFFSET($R$3,0,0,'Données projet'!$E$9+1,1))-AVERAGE(OFFSET($H$3,0,0,'Données projet'!$E$9+1,1))</f>
        <v>461.02780119093666</v>
      </c>
      <c r="T110" s="62">
        <f t="shared" si="88"/>
        <v>245.70016468438834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271.99999999999955</v>
      </c>
      <c r="AJ110" s="14">
        <f>AI110*VLOOKUP('Données projet'!$B$10,Paramètres!$A$1:$I$89,3,0)*VLOOKUP('Données projet'!$B$10,Paramètres!$A$1:$I$89,5,0)</f>
        <v>229.13279999999963</v>
      </c>
      <c r="AK110" s="14">
        <f t="shared" si="89"/>
        <v>56.095131411326832</v>
      </c>
      <c r="AL110" s="22">
        <f t="shared" si="58"/>
        <v>496.7719805413937</v>
      </c>
      <c r="AM110" s="62">
        <f t="shared" si="59"/>
        <v>779.53576904438228</v>
      </c>
      <c r="AN110" s="62">
        <f ca="1">AVERAGE(OFFSET($AM$3,0,0,'Données projet'!$E$10+1,1))-AVERAGE(OFFSET($H$3,0,0,'Données projet'!$E$10+1,1))</f>
        <v>434.22500776975596</v>
      </c>
      <c r="AO110" s="62">
        <f t="shared" si="90"/>
        <v>232.59777933076705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3.0769230769230802</v>
      </c>
      <c r="BD110" s="13">
        <f>IF('Données projet'!$A$88&gt;35,BD109+BC110-BL109,IF(A110&lt;'Données projet'!$A$88,$BA$205^A110,IF(A110='Données projet'!$A$88,'Données projet'!$B$88,BD109+BC110-BL109)))</f>
        <v>243.97435897435906</v>
      </c>
      <c r="BE110" s="14">
        <f>BD110*VLOOKUP('Données projet'!$B$11,Paramètres!$A$1:$I$89,3,0)*VLOOKUP('Données projet'!$B$11,Paramètres!$A$1:$I$89,5,0)</f>
        <v>232.16600000000008</v>
      </c>
      <c r="BF110" s="14">
        <f t="shared" si="91"/>
        <v>56.750765573960223</v>
      </c>
      <c r="BG110" s="22">
        <f t="shared" si="61"/>
        <v>503.19670004131422</v>
      </c>
      <c r="BH110" s="62">
        <f t="shared" si="62"/>
        <v>785.96048854430273</v>
      </c>
      <c r="BI110" s="62">
        <f ca="1">AVERAGE(OFFSET($BH$3,0,0,'Données projet'!$E$11+1,1))-AVERAGE(OFFSET($H$3,0,0,'Données projet'!$E$11+1,1))</f>
        <v>393.3005580838161</v>
      </c>
      <c r="BJ110" s="62">
        <f t="shared" si="92"/>
        <v>295.86019897822757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-4.5224624045658861E-14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388.52230330563884</v>
      </c>
      <c r="CE110" s="62">
        <f t="shared" si="94"/>
        <v>418.94833960687333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-4.1677594708744434E-14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362.38131866207266</v>
      </c>
      <c r="CZ110" s="62">
        <f t="shared" si="96"/>
        <v>390.74498763200336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8.5265128291212022E-14</v>
      </c>
      <c r="DP110" s="18">
        <f>DO110*VLOOKUP('Données projet'!$B$14,Paramètres!$A$1:$I$89,3,0)*VLOOKUP('Données projet'!$B$14,Paramètres!$A$1:$I$89,5,0)</f>
        <v>7.4487616075202836E-14</v>
      </c>
      <c r="DQ110" s="14">
        <f t="shared" si="97"/>
        <v>1.1580453144473142E-12</v>
      </c>
      <c r="DR110" s="22">
        <f t="shared" si="70"/>
        <v>2.1466615206600508E-12</v>
      </c>
      <c r="DS110" s="62">
        <f t="shared" si="71"/>
        <v>282.76378850299074</v>
      </c>
      <c r="DT110" s="62">
        <f ca="1">AVERAGE(OFFSET($DS$3,0,0,'Données projet'!$E$14+1,1))-AVERAGE(OFFSET($H$3,0,0,'Données projet'!$E$14+1,1))</f>
        <v>334.4692012109935</v>
      </c>
      <c r="DU110" s="62">
        <f t="shared" si="98"/>
        <v>316.360405424036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-3.4106051316484809E-13</v>
      </c>
      <c r="EK110" s="18">
        <f>EJ110*VLOOKUP('Données projet'!$B$15,Paramètres!$A$1:$I$89,3,0)*VLOOKUP('Données projet'!$B$15,Paramètres!$A$1:$I$89,5,0)</f>
        <v>-1.9065282685915009E-13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390.09289316045653</v>
      </c>
      <c r="EP110" s="62">
        <f t="shared" si="100"/>
        <v>364.34913542817617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0.87264165130380356</v>
      </c>
      <c r="EX110" s="23">
        <f>EXP(-LN(2)/2)*EX109+(1-EXP(-LN(2)/2))/(LN(2)/2)*ER110*EU110*VLOOKUP('Données projet'!$B$15,Paramètres!$A$1:$I$89,3,0)*0.475*44/12</f>
        <v>2.3106793374181892E-11</v>
      </c>
      <c r="EY110" s="24">
        <f t="shared" si="75"/>
        <v>0.87264165132691029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4.5474735088646412E-13</v>
      </c>
      <c r="FF110" s="18">
        <f>FE110*VLOOKUP('Données projet'!$B$16,Paramètres!$A$1:$I$89,3,0)*VLOOKUP('Données projet'!$B$16,Paramètres!$A$1:$I$89,5,0)</f>
        <v>2.1282176021486519E-13</v>
      </c>
      <c r="FG110" s="14">
        <f t="shared" si="101"/>
        <v>2.9281075858910828E-12</v>
      </c>
      <c r="FH110" s="22">
        <f t="shared" si="76"/>
        <v>5.4704519444678596E-12</v>
      </c>
      <c r="FI110" s="62">
        <f t="shared" si="77"/>
        <v>282.76378850299403</v>
      </c>
      <c r="FJ110" s="62">
        <f ca="1">AVERAGE(OFFSET($FI$3,0,0,'Données projet'!$E$16+1,1))-AVERAGE(OFFSET($H$3,0,0,'Données projet'!$E$16+1,1))</f>
        <v>344.55118007058775</v>
      </c>
      <c r="FK110" s="62">
        <f t="shared" si="102"/>
        <v>144.16931602355001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252.60122125520482</v>
      </c>
      <c r="GF110" s="62">
        <f t="shared" si="104"/>
        <v>357.56833754121317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1.217514000068735</v>
      </c>
      <c r="GN110" s="23">
        <f>EXP(-LN(2)/2)*GN109+(1-EXP(-LN(2)/2))/(LN(2)/2)*GH110*GK110*VLOOKUP('Données projet'!$B$17,Paramètres!$A$1:$I$89,3,0)*0.475*44/12</f>
        <v>4.249366449606556E-11</v>
      </c>
      <c r="GO110" s="23">
        <f t="shared" si="81"/>
        <v>1.2175140001112286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-1.1368683772161603E-13</v>
      </c>
      <c r="GV110" s="18">
        <f>GU110*VLOOKUP('Données projet'!$B$18,Paramètres!$A$1:$I$89,3,0)*VLOOKUP('Données projet'!$B$18,Paramètres!$A$1:$I$89,5,0)</f>
        <v>-9.2222762759774927E-14</v>
      </c>
      <c r="GW110" s="14" t="e">
        <f t="shared" si="105"/>
        <v>#NUM!</v>
      </c>
      <c r="GX110" s="22" t="e">
        <f t="shared" si="82"/>
        <v>#NUM!</v>
      </c>
      <c r="GY110" s="62" t="e">
        <f t="shared" si="83"/>
        <v>#NUM!</v>
      </c>
      <c r="GZ110" s="62">
        <f ca="1">AVERAGE(OFFSET($GY$3,0,0,'Données projet'!$E$18+1,1))-AVERAGE(OFFSET($H$3,0,0,'Données projet'!$E$18+1,1))</f>
        <v>268.57152522489537</v>
      </c>
      <c r="HA110" s="62">
        <f t="shared" si="106"/>
        <v>311.80303557283207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3.75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13.75</v>
      </c>
      <c r="H111" s="70">
        <f t="shared" si="56"/>
        <v>201.66666666666666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2">
        <f t="shared" si="55"/>
        <v>823.3023772399597</v>
      </c>
      <c r="S111" s="62">
        <f ca="1">AVERAGE(OFFSET($R$3,0,0,'Données projet'!$E$9+1,1))-AVERAGE(OFFSET($H$3,0,0,'Données projet'!$E$9+1,1))</f>
        <v>461.02780119093666</v>
      </c>
      <c r="T111" s="62">
        <f t="shared" si="88"/>
        <v>245.70016468438834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275.99999999999955</v>
      </c>
      <c r="AJ111" s="14">
        <f>AI111*VLOOKUP('Données projet'!$B$10,Paramètres!$A$1:$I$89,3,0)*VLOOKUP('Données projet'!$B$10,Paramètres!$A$1:$I$89,5,0)</f>
        <v>232.50239999999965</v>
      </c>
      <c r="AK111" s="14">
        <f t="shared" si="89"/>
        <v>56.823417677671891</v>
      </c>
      <c r="AL111" s="22">
        <f t="shared" si="58"/>
        <v>503.90913245527787</v>
      </c>
      <c r="AM111" s="62">
        <f t="shared" si="59"/>
        <v>786.85627893111075</v>
      </c>
      <c r="AN111" s="62">
        <f ca="1">AVERAGE(OFFSET($AM$3,0,0,'Données projet'!$E$10+1,1))-AVERAGE(OFFSET($H$3,0,0,'Données projet'!$E$10+1,1))</f>
        <v>434.22500776975596</v>
      </c>
      <c r="AO111" s="62">
        <f t="shared" si="90"/>
        <v>232.59777933076705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3.0769230769230802</v>
      </c>
      <c r="BD111" s="13">
        <f>IF('Données projet'!$A$88&gt;35,BD110+BC111-BL110,IF(A111&lt;'Données projet'!$A$88,$BA$205^A111,IF(A111='Données projet'!$A$88,'Données projet'!$B$88,BD110+BC111-BL110)))</f>
        <v>247.05128205128216</v>
      </c>
      <c r="BE111" s="14">
        <f>BD111*VLOOKUP('Données projet'!$B$11,Paramètres!$A$1:$I$89,3,0)*VLOOKUP('Données projet'!$B$11,Paramètres!$A$1:$I$89,5,0)</f>
        <v>235.09400000000011</v>
      </c>
      <c r="BF111" s="14">
        <f t="shared" si="91"/>
        <v>57.382715232787383</v>
      </c>
      <c r="BG111" s="22">
        <f t="shared" si="61"/>
        <v>509.39694569710491</v>
      </c>
      <c r="BH111" s="62">
        <f t="shared" si="62"/>
        <v>792.34409217293774</v>
      </c>
      <c r="BI111" s="62">
        <f ca="1">AVERAGE(OFFSET($BH$3,0,0,'Données projet'!$E$11+1,1))-AVERAGE(OFFSET($H$3,0,0,'Données projet'!$E$11+1,1))</f>
        <v>393.3005580838161</v>
      </c>
      <c r="BJ111" s="62">
        <f t="shared" si="92"/>
        <v>295.86019897822757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-4.5224624045658861E-14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388.52230330563884</v>
      </c>
      <c r="CE111" s="62">
        <f t="shared" si="94"/>
        <v>418.94833960687333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-4.1677594708744434E-14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362.38131866207266</v>
      </c>
      <c r="CZ111" s="62">
        <f t="shared" si="96"/>
        <v>390.74498763200336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8.5265128291212022E-14</v>
      </c>
      <c r="DP111" s="18">
        <f>DO111*VLOOKUP('Données projet'!$B$14,Paramètres!$A$1:$I$89,3,0)*VLOOKUP('Données projet'!$B$14,Paramètres!$A$1:$I$89,5,0)</f>
        <v>7.4487616075202836E-14</v>
      </c>
      <c r="DQ111" s="14">
        <f t="shared" si="97"/>
        <v>1.1580453144473142E-12</v>
      </c>
      <c r="DR111" s="22">
        <f t="shared" si="70"/>
        <v>2.1466615206600508E-12</v>
      </c>
      <c r="DS111" s="62">
        <f t="shared" si="71"/>
        <v>282.94714647583504</v>
      </c>
      <c r="DT111" s="62">
        <f ca="1">AVERAGE(OFFSET($DS$3,0,0,'Données projet'!$E$14+1,1))-AVERAGE(OFFSET($H$3,0,0,'Données projet'!$E$14+1,1))</f>
        <v>334.4692012109935</v>
      </c>
      <c r="DU111" s="62">
        <f t="shared" si="98"/>
        <v>316.360405424036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-3.4106051316484809E-13</v>
      </c>
      <c r="EK111" s="18">
        <f>EJ111*VLOOKUP('Données projet'!$B$15,Paramètres!$A$1:$I$89,3,0)*VLOOKUP('Données projet'!$B$15,Paramètres!$A$1:$I$89,5,0)</f>
        <v>-1.9065282685915009E-13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390.09289316045653</v>
      </c>
      <c r="EP111" s="62">
        <f t="shared" si="100"/>
        <v>364.34913542817617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0.84877921945867107</v>
      </c>
      <c r="EX111" s="23">
        <f>EXP(-LN(2)/2)*EX110+(1-EXP(-LN(2)/2))/(LN(2)/2)*ER111*EU111*VLOOKUP('Données projet'!$B$15,Paramètres!$A$1:$I$89,3,0)*0.475*44/12</f>
        <v>1.6338970286360401E-11</v>
      </c>
      <c r="EY111" s="24">
        <f t="shared" si="75"/>
        <v>0.84877921947501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4.5474735088646412E-13</v>
      </c>
      <c r="FF111" s="18">
        <f>FE111*VLOOKUP('Données projet'!$B$16,Paramètres!$A$1:$I$89,3,0)*VLOOKUP('Données projet'!$B$16,Paramètres!$A$1:$I$89,5,0)</f>
        <v>2.1282176021486519E-13</v>
      </c>
      <c r="FG111" s="14">
        <f t="shared" si="101"/>
        <v>2.9281075858910828E-12</v>
      </c>
      <c r="FH111" s="22">
        <f t="shared" si="76"/>
        <v>5.4704519444678596E-12</v>
      </c>
      <c r="FI111" s="62">
        <f t="shared" si="77"/>
        <v>282.94714647583834</v>
      </c>
      <c r="FJ111" s="62">
        <f ca="1">AVERAGE(OFFSET($FI$3,0,0,'Données projet'!$E$16+1,1))-AVERAGE(OFFSET($H$3,0,0,'Données projet'!$E$16+1,1))</f>
        <v>344.55118007058775</v>
      </c>
      <c r="FK111" s="62">
        <f t="shared" si="102"/>
        <v>144.16931602355001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252.60122125520482</v>
      </c>
      <c r="GF111" s="62">
        <f t="shared" si="104"/>
        <v>357.56833754121317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1.1842210157105768</v>
      </c>
      <c r="GN111" s="23">
        <f>EXP(-LN(2)/2)*GN110+(1-EXP(-LN(2)/2))/(LN(2)/2)*GH111*GK111*VLOOKUP('Données projet'!$B$17,Paramètres!$A$1:$I$89,3,0)*0.475*44/12</f>
        <v>3.0047558322633993E-11</v>
      </c>
      <c r="GO111" s="23">
        <f t="shared" si="81"/>
        <v>1.1842210157406243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-1.1368683772161603E-13</v>
      </c>
      <c r="GV111" s="18">
        <f>GU111*VLOOKUP('Données projet'!$B$18,Paramètres!$A$1:$I$89,3,0)*VLOOKUP('Données projet'!$B$18,Paramètres!$A$1:$I$89,5,0)</f>
        <v>-9.2222762759774927E-14</v>
      </c>
      <c r="GW111" s="14" t="e">
        <f t="shared" si="105"/>
        <v>#NUM!</v>
      </c>
      <c r="GX111" s="22" t="e">
        <f t="shared" si="82"/>
        <v>#NUM!</v>
      </c>
      <c r="GY111" s="62" t="e">
        <f t="shared" si="83"/>
        <v>#NUM!</v>
      </c>
      <c r="GZ111" s="62">
        <f ca="1">AVERAGE(OFFSET($GY$3,0,0,'Données projet'!$E$18+1,1))-AVERAGE(OFFSET($H$3,0,0,'Données projet'!$E$18+1,1))</f>
        <v>268.57152522489537</v>
      </c>
      <c r="HA111" s="62">
        <f t="shared" si="106"/>
        <v>311.80303557283207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3.75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13.75</v>
      </c>
      <c r="H112" s="70">
        <f t="shared" si="56"/>
        <v>201.66666666666666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2">
        <f t="shared" si="55"/>
        <v>831.13482165837934</v>
      </c>
      <c r="S112" s="62">
        <f ca="1">AVERAGE(OFFSET($R$3,0,0,'Données projet'!$E$9+1,1))-AVERAGE(OFFSET($H$3,0,0,'Données projet'!$E$9+1,1))</f>
        <v>461.02780119093666</v>
      </c>
      <c r="T112" s="62">
        <f t="shared" si="88"/>
        <v>245.70016468438834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279.99999999999955</v>
      </c>
      <c r="AJ112" s="14">
        <f>AI112*VLOOKUP('Données projet'!$B$10,Paramètres!$A$1:$I$89,3,0)*VLOOKUP('Données projet'!$B$10,Paramètres!$A$1:$I$89,5,0)</f>
        <v>235.87199999999964</v>
      </c>
      <c r="AK112" s="14">
        <f t="shared" si="89"/>
        <v>57.55047634701517</v>
      </c>
      <c r="AL112" s="22">
        <f t="shared" si="58"/>
        <v>511.04414630438413</v>
      </c>
      <c r="AM112" s="62">
        <f t="shared" si="59"/>
        <v>794.17146990215952</v>
      </c>
      <c r="AN112" s="62">
        <f ca="1">AVERAGE(OFFSET($AM$3,0,0,'Données projet'!$E$10+1,1))-AVERAGE(OFFSET($H$3,0,0,'Données projet'!$E$10+1,1))</f>
        <v>434.22500776975596</v>
      </c>
      <c r="AO112" s="62">
        <f t="shared" si="90"/>
        <v>232.59777933076705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3.0769230769230802</v>
      </c>
      <c r="BD112" s="13">
        <f>IF('Données projet'!$A$88&gt;35,BD111+BC112-BL111,IF(A112&lt;'Données projet'!$A$88,$BA$205^A112,IF(A112='Données projet'!$A$88,'Données projet'!$B$88,BD111+BC112-BL111)))</f>
        <v>250.12820512820525</v>
      </c>
      <c r="BE112" s="14">
        <f>BD112*VLOOKUP('Données projet'!$B$11,Paramètres!$A$1:$I$89,3,0)*VLOOKUP('Données projet'!$B$11,Paramètres!$A$1:$I$89,5,0)</f>
        <v>238.02200000000013</v>
      </c>
      <c r="BF112" s="14">
        <f t="shared" si="91"/>
        <v>58.013749383704898</v>
      </c>
      <c r="BG112" s="22">
        <f t="shared" si="61"/>
        <v>515.59559684328622</v>
      </c>
      <c r="BH112" s="62">
        <f t="shared" si="62"/>
        <v>798.72292044106155</v>
      </c>
      <c r="BI112" s="62">
        <f ca="1">AVERAGE(OFFSET($BH$3,0,0,'Données projet'!$E$11+1,1))-AVERAGE(OFFSET($H$3,0,0,'Données projet'!$E$11+1,1))</f>
        <v>393.3005580838161</v>
      </c>
      <c r="BJ112" s="62">
        <f t="shared" si="92"/>
        <v>295.86019897822757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-4.5224624045658861E-14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388.52230330563884</v>
      </c>
      <c r="CE112" s="62">
        <f t="shared" si="94"/>
        <v>418.94833960687333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-4.1677594708744434E-14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362.38131866207266</v>
      </c>
      <c r="CZ112" s="62">
        <f t="shared" si="96"/>
        <v>390.74498763200336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8.5265128291212022E-14</v>
      </c>
      <c r="DP112" s="18">
        <f>DO112*VLOOKUP('Données projet'!$B$14,Paramètres!$A$1:$I$89,3,0)*VLOOKUP('Données projet'!$B$14,Paramètres!$A$1:$I$89,5,0)</f>
        <v>7.4487616075202836E-14</v>
      </c>
      <c r="DQ112" s="14">
        <f t="shared" si="97"/>
        <v>1.1580453144473142E-12</v>
      </c>
      <c r="DR112" s="22">
        <f t="shared" si="70"/>
        <v>2.1466615206600508E-12</v>
      </c>
      <c r="DS112" s="62">
        <f t="shared" si="71"/>
        <v>283.12732359777749</v>
      </c>
      <c r="DT112" s="62">
        <f ca="1">AVERAGE(OFFSET($DS$3,0,0,'Données projet'!$E$14+1,1))-AVERAGE(OFFSET($H$3,0,0,'Données projet'!$E$14+1,1))</f>
        <v>334.4692012109935</v>
      </c>
      <c r="DU112" s="62">
        <f t="shared" si="98"/>
        <v>316.360405424036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-3.4106051316484809E-13</v>
      </c>
      <c r="EK112" s="18">
        <f>EJ112*VLOOKUP('Données projet'!$B$15,Paramètres!$A$1:$I$89,3,0)*VLOOKUP('Données projet'!$B$15,Paramètres!$A$1:$I$89,5,0)</f>
        <v>-1.9065282685915009E-13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390.09289316045653</v>
      </c>
      <c r="EP112" s="62">
        <f t="shared" si="100"/>
        <v>364.34913542817617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0.82556930706721443</v>
      </c>
      <c r="EX112" s="23">
        <f>EXP(-LN(2)/2)*EX111+(1-EXP(-LN(2)/2))/(LN(2)/2)*ER112*EU112*VLOOKUP('Données projet'!$B$15,Paramètres!$A$1:$I$89,3,0)*0.475*44/12</f>
        <v>1.1553396687090946E-11</v>
      </c>
      <c r="EY112" s="24">
        <f t="shared" si="75"/>
        <v>0.82556930707876786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4.5474735088646412E-13</v>
      </c>
      <c r="FF112" s="18">
        <f>FE112*VLOOKUP('Données projet'!$B$16,Paramètres!$A$1:$I$89,3,0)*VLOOKUP('Données projet'!$B$16,Paramètres!$A$1:$I$89,5,0)</f>
        <v>2.1282176021486519E-13</v>
      </c>
      <c r="FG112" s="14">
        <f t="shared" si="101"/>
        <v>2.9281075858910828E-12</v>
      </c>
      <c r="FH112" s="22">
        <f t="shared" si="76"/>
        <v>5.4704519444678596E-12</v>
      </c>
      <c r="FI112" s="62">
        <f t="shared" si="77"/>
        <v>283.12732359778079</v>
      </c>
      <c r="FJ112" s="62">
        <f ca="1">AVERAGE(OFFSET($FI$3,0,0,'Données projet'!$E$16+1,1))-AVERAGE(OFFSET($H$3,0,0,'Données projet'!$E$16+1,1))</f>
        <v>344.55118007058775</v>
      </c>
      <c r="FK112" s="62">
        <f t="shared" si="102"/>
        <v>144.16931602355001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252.60122125520482</v>
      </c>
      <c r="GF112" s="62">
        <f t="shared" si="104"/>
        <v>357.56833754121317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1.1518384297604944</v>
      </c>
      <c r="GN112" s="23">
        <f>EXP(-LN(2)/2)*GN111+(1-EXP(-LN(2)/2))/(LN(2)/2)*GH112*GK112*VLOOKUP('Données projet'!$B$17,Paramètres!$A$1:$I$89,3,0)*0.475*44/12</f>
        <v>2.124683224803278E-11</v>
      </c>
      <c r="GO112" s="23">
        <f t="shared" si="81"/>
        <v>1.1518384297817412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-1.1368683772161603E-13</v>
      </c>
      <c r="GV112" s="18">
        <f>GU112*VLOOKUP('Données projet'!$B$18,Paramètres!$A$1:$I$89,3,0)*VLOOKUP('Données projet'!$B$18,Paramètres!$A$1:$I$89,5,0)</f>
        <v>-9.2222762759774927E-14</v>
      </c>
      <c r="GW112" s="14" t="e">
        <f t="shared" si="105"/>
        <v>#NUM!</v>
      </c>
      <c r="GX112" s="22" t="e">
        <f t="shared" si="82"/>
        <v>#NUM!</v>
      </c>
      <c r="GY112" s="62" t="e">
        <f t="shared" si="83"/>
        <v>#NUM!</v>
      </c>
      <c r="GZ112" s="62">
        <f ca="1">AVERAGE(OFFSET($GY$3,0,0,'Données projet'!$E$18+1,1))-AVERAGE(OFFSET($H$3,0,0,'Données projet'!$E$18+1,1))</f>
        <v>268.57152522489537</v>
      </c>
      <c r="HA112" s="62">
        <f t="shared" si="106"/>
        <v>311.80303557283207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3.75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13.75</v>
      </c>
      <c r="H113" s="70">
        <f t="shared" si="56"/>
        <v>201.66666666666666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2">
        <f t="shared" si="55"/>
        <v>838.96189928262629</v>
      </c>
      <c r="S113" s="62">
        <f ca="1">AVERAGE(OFFSET($R$3,0,0,'Données projet'!$E$9+1,1))-AVERAGE(OFFSET($H$3,0,0,'Données projet'!$E$9+1,1))</f>
        <v>461.02780119093666</v>
      </c>
      <c r="T113" s="62">
        <f t="shared" si="88"/>
        <v>245.70016468438834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283.99999999999955</v>
      </c>
      <c r="AJ113" s="14">
        <f>AI113*VLOOKUP('Données projet'!$B$10,Paramètres!$A$1:$I$89,3,0)*VLOOKUP('Données projet'!$B$10,Paramètres!$A$1:$I$89,5,0)</f>
        <v>239.24159999999964</v>
      </c>
      <c r="AK113" s="14">
        <f t="shared" si="89"/>
        <v>58.276326982845781</v>
      </c>
      <c r="AL113" s="22">
        <f t="shared" si="58"/>
        <v>518.1770561617891</v>
      </c>
      <c r="AM113" s="62">
        <f t="shared" si="59"/>
        <v>801.48143121125679</v>
      </c>
      <c r="AN113" s="62">
        <f ca="1">AVERAGE(OFFSET($AM$3,0,0,'Données projet'!$E$10+1,1))-AVERAGE(OFFSET($H$3,0,0,'Données projet'!$E$10+1,1))</f>
        <v>434.22500776975596</v>
      </c>
      <c r="AO113" s="62">
        <f t="shared" si="90"/>
        <v>232.59777933076705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253.2051282051282</v>
      </c>
      <c r="BB113" s="13">
        <f>VLOOKUP(A113,'Données projet'!$A$87:$I$107,9,0)</f>
        <v>3.0769230769230802</v>
      </c>
      <c r="BC113" s="13">
        <f t="array" ref="BC113">INDEX(BB:BB,MIN(IF(ISNUMBER(BB113:BB309),ROW(BB113:BB309),"")))</f>
        <v>3.0769230769230802</v>
      </c>
      <c r="BD113" s="13">
        <f>IF('Données projet'!$A$88&gt;35,BD112+BC113-BL112,IF(A113&lt;'Données projet'!$A$88,$BA$205^A113,IF(A113='Données projet'!$A$88,'Données projet'!$B$88,BD112+BC113-BL112)))</f>
        <v>253.20512820512835</v>
      </c>
      <c r="BE113" s="14">
        <f>BD113*VLOOKUP('Données projet'!$B$11,Paramètres!$A$1:$I$89,3,0)*VLOOKUP('Données projet'!$B$11,Paramètres!$A$1:$I$89,5,0)</f>
        <v>240.95000000000013</v>
      </c>
      <c r="BF113" s="14">
        <f t="shared" si="91"/>
        <v>58.643880591265685</v>
      </c>
      <c r="BG113" s="22">
        <f t="shared" si="61"/>
        <v>521.79267536312125</v>
      </c>
      <c r="BH113" s="62">
        <f t="shared" si="62"/>
        <v>805.09705041258894</v>
      </c>
      <c r="BI113" s="62">
        <f ca="1">AVERAGE(OFFSET($BH$3,0,0,'Données projet'!$E$11+1,1))-AVERAGE(OFFSET($H$3,0,0,'Données projet'!$E$11+1,1))</f>
        <v>393.3005580838161</v>
      </c>
      <c r="BJ113" s="62">
        <f t="shared" si="92"/>
        <v>295.86019897822757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-4.5224624045658861E-14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388.52230330563884</v>
      </c>
      <c r="CE113" s="62">
        <f t="shared" si="94"/>
        <v>418.94833960687333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-4.1677594708744434E-14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362.38131866207266</v>
      </c>
      <c r="CZ113" s="62">
        <f t="shared" si="96"/>
        <v>390.74498763200336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8.5265128291212022E-14</v>
      </c>
      <c r="DP113" s="18">
        <f>DO113*VLOOKUP('Données projet'!$B$14,Paramètres!$A$1:$I$89,3,0)*VLOOKUP('Données projet'!$B$14,Paramètres!$A$1:$I$89,5,0)</f>
        <v>7.4487616075202836E-14</v>
      </c>
      <c r="DQ113" s="14">
        <f t="shared" si="97"/>
        <v>1.1580453144473142E-12</v>
      </c>
      <c r="DR113" s="22">
        <f t="shared" si="70"/>
        <v>2.1466615206600508E-12</v>
      </c>
      <c r="DS113" s="62">
        <f t="shared" si="71"/>
        <v>283.30437504946985</v>
      </c>
      <c r="DT113" s="62">
        <f ca="1">AVERAGE(OFFSET($DS$3,0,0,'Données projet'!$E$14+1,1))-AVERAGE(OFFSET($H$3,0,0,'Données projet'!$E$14+1,1))</f>
        <v>334.4692012109935</v>
      </c>
      <c r="DU113" s="62">
        <f t="shared" si="98"/>
        <v>316.360405424036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-3.4106051316484809E-13</v>
      </c>
      <c r="EK113" s="18">
        <f>EJ113*VLOOKUP('Données projet'!$B$15,Paramètres!$A$1:$I$89,3,0)*VLOOKUP('Données projet'!$B$15,Paramètres!$A$1:$I$89,5,0)</f>
        <v>-1.9065282685915009E-13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390.09289316045653</v>
      </c>
      <c r="EP113" s="62">
        <f t="shared" si="100"/>
        <v>364.34913542817617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0.80299407095065845</v>
      </c>
      <c r="EX113" s="23">
        <f>EXP(-LN(2)/2)*EX112+(1-EXP(-LN(2)/2))/(LN(2)/2)*ER113*EU113*VLOOKUP('Données projet'!$B$15,Paramètres!$A$1:$I$89,3,0)*0.475*44/12</f>
        <v>8.1694851431802006E-12</v>
      </c>
      <c r="EY113" s="24">
        <f t="shared" si="75"/>
        <v>0.80299407095882791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4.5474735088646412E-13</v>
      </c>
      <c r="FF113" s="18">
        <f>FE113*VLOOKUP('Données projet'!$B$16,Paramètres!$A$1:$I$89,3,0)*VLOOKUP('Données projet'!$B$16,Paramètres!$A$1:$I$89,5,0)</f>
        <v>2.1282176021486519E-13</v>
      </c>
      <c r="FG113" s="14">
        <f t="shared" si="101"/>
        <v>2.9281075858910828E-12</v>
      </c>
      <c r="FH113" s="22">
        <f t="shared" si="76"/>
        <v>5.4704519444678596E-12</v>
      </c>
      <c r="FI113" s="62">
        <f t="shared" si="77"/>
        <v>283.30437504947315</v>
      </c>
      <c r="FJ113" s="62">
        <f ca="1">AVERAGE(OFFSET($FI$3,0,0,'Données projet'!$E$16+1,1))-AVERAGE(OFFSET($H$3,0,0,'Données projet'!$E$16+1,1))</f>
        <v>344.55118007058775</v>
      </c>
      <c r="FK113" s="62">
        <f t="shared" si="102"/>
        <v>144.16931602355001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252.60122125520482</v>
      </c>
      <c r="GF113" s="62">
        <f t="shared" si="104"/>
        <v>357.56833754121317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1.1203413473261432</v>
      </c>
      <c r="GN113" s="23">
        <f>EXP(-LN(2)/2)*GN112+(1-EXP(-LN(2)/2))/(LN(2)/2)*GH113*GK113*VLOOKUP('Données projet'!$B$17,Paramètres!$A$1:$I$89,3,0)*0.475*44/12</f>
        <v>1.5023779161316996E-11</v>
      </c>
      <c r="GO113" s="23">
        <f t="shared" si="81"/>
        <v>1.120341347341167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-1.1368683772161603E-13</v>
      </c>
      <c r="GV113" s="18">
        <f>GU113*VLOOKUP('Données projet'!$B$18,Paramètres!$A$1:$I$89,3,0)*VLOOKUP('Données projet'!$B$18,Paramètres!$A$1:$I$89,5,0)</f>
        <v>-9.2222762759774927E-14</v>
      </c>
      <c r="GW113" s="14" t="e">
        <f t="shared" si="105"/>
        <v>#NUM!</v>
      </c>
      <c r="GX113" s="22" t="e">
        <f t="shared" si="82"/>
        <v>#NUM!</v>
      </c>
      <c r="GY113" s="62" t="e">
        <f t="shared" si="83"/>
        <v>#NUM!</v>
      </c>
      <c r="GZ113" s="62">
        <f ca="1">AVERAGE(OFFSET($GY$3,0,0,'Données projet'!$E$18+1,1))-AVERAGE(OFFSET($H$3,0,0,'Données projet'!$E$18+1,1))</f>
        <v>268.57152522489537</v>
      </c>
      <c r="HA113" s="62">
        <f t="shared" si="106"/>
        <v>311.80303557283207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3.75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13.75</v>
      </c>
      <c r="H114" s="70">
        <f t="shared" si="56"/>
        <v>201.66666666666666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2">
        <f t="shared" si="55"/>
        <v>846.78369954887057</v>
      </c>
      <c r="S114" s="62">
        <f ca="1">AVERAGE(OFFSET($R$3,0,0,'Données projet'!$E$9+1,1))-AVERAGE(OFFSET($H$3,0,0,'Données projet'!$E$9+1,1))</f>
        <v>461.02780119093666</v>
      </c>
      <c r="T114" s="62">
        <f t="shared" si="88"/>
        <v>245.70016468438834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287.99999999999955</v>
      </c>
      <c r="AJ114" s="14">
        <f>AI114*VLOOKUP('Données projet'!$B$10,Paramètres!$A$1:$I$89,3,0)*VLOOKUP('Données projet'!$B$10,Paramètres!$A$1:$I$89,5,0)</f>
        <v>242.61119999999963</v>
      </c>
      <c r="AK114" s="14">
        <f t="shared" si="89"/>
        <v>59.00098856591547</v>
      </c>
      <c r="AL114" s="22">
        <f t="shared" si="58"/>
        <v>525.30789508563555</v>
      </c>
      <c r="AM114" s="62">
        <f t="shared" si="59"/>
        <v>808.78625013993656</v>
      </c>
      <c r="AN114" s="62">
        <f ca="1">AVERAGE(OFFSET($AM$3,0,0,'Données projet'!$E$10+1,1))-AVERAGE(OFFSET($H$3,0,0,'Données projet'!$E$10+1,1))</f>
        <v>434.22500776975596</v>
      </c>
      <c r="AO114" s="62">
        <f t="shared" si="90"/>
        <v>232.59777933076705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2.8846153846153841</v>
      </c>
      <c r="BD114" s="13">
        <f>IF('Données projet'!$A$88&gt;35,BD113+BC114-BL113,IF(A114&lt;'Données projet'!$A$88,$BA$205^A114,IF(A114='Données projet'!$A$88,'Données projet'!$B$88,BD113+BC114-BL113)))</f>
        <v>256.0897435897437</v>
      </c>
      <c r="BE114" s="14">
        <f>BD114*VLOOKUP('Données projet'!$B$11,Paramètres!$A$1:$I$89,3,0)*VLOOKUP('Données projet'!$B$11,Paramètres!$A$1:$I$89,5,0)</f>
        <v>243.69500000000011</v>
      </c>
      <c r="BF114" s="14">
        <f t="shared" si="91"/>
        <v>59.233819432983545</v>
      </c>
      <c r="BG114" s="22">
        <f t="shared" si="61"/>
        <v>527.60102717911309</v>
      </c>
      <c r="BH114" s="62">
        <f t="shared" si="62"/>
        <v>811.07938223341409</v>
      </c>
      <c r="BI114" s="62">
        <f ca="1">AVERAGE(OFFSET($BH$3,0,0,'Données projet'!$E$11+1,1))-AVERAGE(OFFSET($H$3,0,0,'Données projet'!$E$11+1,1))</f>
        <v>393.3005580838161</v>
      </c>
      <c r="BJ114" s="62">
        <f t="shared" si="92"/>
        <v>295.86019897822757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-4.5224624045658861E-14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388.52230330563884</v>
      </c>
      <c r="CE114" s="62">
        <f t="shared" si="94"/>
        <v>418.94833960687333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-4.1677594708744434E-14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362.38131866207266</v>
      </c>
      <c r="CZ114" s="62">
        <f t="shared" si="96"/>
        <v>390.74498763200336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8.5265128291212022E-14</v>
      </c>
      <c r="DP114" s="18">
        <f>DO114*VLOOKUP('Données projet'!$B$14,Paramètres!$A$1:$I$89,3,0)*VLOOKUP('Données projet'!$B$14,Paramètres!$A$1:$I$89,5,0)</f>
        <v>7.4487616075202836E-14</v>
      </c>
      <c r="DQ114" s="14">
        <f t="shared" si="97"/>
        <v>1.1580453144473142E-12</v>
      </c>
      <c r="DR114" s="22">
        <f t="shared" si="70"/>
        <v>2.1466615206600508E-12</v>
      </c>
      <c r="DS114" s="62">
        <f t="shared" si="71"/>
        <v>283.47835505430317</v>
      </c>
      <c r="DT114" s="62">
        <f ca="1">AVERAGE(OFFSET($DS$3,0,0,'Données projet'!$E$14+1,1))-AVERAGE(OFFSET($H$3,0,0,'Données projet'!$E$14+1,1))</f>
        <v>334.4692012109935</v>
      </c>
      <c r="DU114" s="62">
        <f t="shared" si="98"/>
        <v>316.360405424036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-3.4106051316484809E-13</v>
      </c>
      <c r="EK114" s="18">
        <f>EJ114*VLOOKUP('Données projet'!$B$15,Paramètres!$A$1:$I$89,3,0)*VLOOKUP('Données projet'!$B$15,Paramètres!$A$1:$I$89,5,0)</f>
        <v>-1.9065282685915009E-13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390.09289316045653</v>
      </c>
      <c r="EP114" s="62">
        <f t="shared" si="100"/>
        <v>364.34913542817617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0.78103615585288977</v>
      </c>
      <c r="EX114" s="23">
        <f>EXP(-LN(2)/2)*EX113+(1-EXP(-LN(2)/2))/(LN(2)/2)*ER114*EU114*VLOOKUP('Données projet'!$B$15,Paramètres!$A$1:$I$89,3,0)*0.475*44/12</f>
        <v>5.776698343545473E-12</v>
      </c>
      <c r="EY114" s="24">
        <f t="shared" si="75"/>
        <v>0.78103615585866648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4.5474735088646412E-13</v>
      </c>
      <c r="FF114" s="18">
        <f>FE114*VLOOKUP('Données projet'!$B$16,Paramètres!$A$1:$I$89,3,0)*VLOOKUP('Données projet'!$B$16,Paramètres!$A$1:$I$89,5,0)</f>
        <v>2.1282176021486519E-13</v>
      </c>
      <c r="FG114" s="14">
        <f t="shared" si="101"/>
        <v>2.9281075858910828E-12</v>
      </c>
      <c r="FH114" s="22">
        <f t="shared" si="76"/>
        <v>5.4704519444678596E-12</v>
      </c>
      <c r="FI114" s="62">
        <f t="shared" si="77"/>
        <v>283.47835505430646</v>
      </c>
      <c r="FJ114" s="62">
        <f ca="1">AVERAGE(OFFSET($FI$3,0,0,'Données projet'!$E$16+1,1))-AVERAGE(OFFSET($H$3,0,0,'Données projet'!$E$16+1,1))</f>
        <v>344.55118007058775</v>
      </c>
      <c r="FK114" s="62">
        <f t="shared" si="102"/>
        <v>144.16931602355001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252.60122125520482</v>
      </c>
      <c r="GF114" s="62">
        <f t="shared" si="104"/>
        <v>357.56833754121317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1.0897055542673189</v>
      </c>
      <c r="GN114" s="23">
        <f>EXP(-LN(2)/2)*GN113+(1-EXP(-LN(2)/2))/(LN(2)/2)*GH114*GK114*VLOOKUP('Données projet'!$B$17,Paramètres!$A$1:$I$89,3,0)*0.475*44/12</f>
        <v>1.062341612401639E-11</v>
      </c>
      <c r="GO114" s="23">
        <f t="shared" si="81"/>
        <v>1.0897055542779424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-1.1368683772161603E-13</v>
      </c>
      <c r="GV114" s="18">
        <f>GU114*VLOOKUP('Données projet'!$B$18,Paramètres!$A$1:$I$89,3,0)*VLOOKUP('Données projet'!$B$18,Paramètres!$A$1:$I$89,5,0)</f>
        <v>-9.2222762759774927E-14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268.57152522489537</v>
      </c>
      <c r="HA114" s="62">
        <f t="shared" si="106"/>
        <v>311.80303557283207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3.75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13.75</v>
      </c>
      <c r="H115" s="70">
        <f t="shared" si="56"/>
        <v>201.66666666666666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2">
        <f t="shared" si="55"/>
        <v>854.60030991830422</v>
      </c>
      <c r="S115" s="62">
        <f ca="1">AVERAGE(OFFSET($R$3,0,0,'Données projet'!$E$9+1,1))-AVERAGE(OFFSET($H$3,0,0,'Données projet'!$E$9+1,1))</f>
        <v>461.02780119093666</v>
      </c>
      <c r="T115" s="62">
        <f t="shared" si="88"/>
        <v>245.70016468438834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291.99999999999955</v>
      </c>
      <c r="AJ115" s="14">
        <f>AI115*VLOOKUP('Données projet'!$B$10,Paramètres!$A$1:$I$89,3,0)*VLOOKUP('Données projet'!$B$10,Paramètres!$A$1:$I$89,5,0)</f>
        <v>245.98079999999962</v>
      </c>
      <c r="AK115" s="14">
        <f t="shared" si="89"/>
        <v>59.724479519444756</v>
      </c>
      <c r="AL115" s="22">
        <f t="shared" si="58"/>
        <v>532.43669516303237</v>
      </c>
      <c r="AM115" s="62">
        <f t="shared" si="59"/>
        <v>816.08601205804393</v>
      </c>
      <c r="AN115" s="62">
        <f ca="1">AVERAGE(OFFSET($AM$3,0,0,'Données projet'!$E$10+1,1))-AVERAGE(OFFSET($H$3,0,0,'Données projet'!$E$10+1,1))</f>
        <v>434.22500776975596</v>
      </c>
      <c r="AO115" s="62">
        <f t="shared" si="90"/>
        <v>232.59777933076705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2.8846153846153841</v>
      </c>
      <c r="BD115" s="13">
        <f>IF('Données projet'!$A$88&gt;35,BD114+BC115-BL114,IF(A115&lt;'Données projet'!$A$88,$BA$205^A115,IF(A115='Données projet'!$A$88,'Données projet'!$B$88,BD114+BC115-BL114)))</f>
        <v>258.97435897435906</v>
      </c>
      <c r="BE115" s="14">
        <f>BD115*VLOOKUP('Données projet'!$B$11,Paramètres!$A$1:$I$89,3,0)*VLOOKUP('Données projet'!$B$11,Paramètres!$A$1:$I$89,5,0)</f>
        <v>246.44000000000011</v>
      </c>
      <c r="BF115" s="14">
        <f t="shared" si="91"/>
        <v>59.822985272492645</v>
      </c>
      <c r="BG115" s="22">
        <f t="shared" si="61"/>
        <v>533.40803268292484</v>
      </c>
      <c r="BH115" s="62">
        <f t="shared" si="62"/>
        <v>817.05734957793629</v>
      </c>
      <c r="BI115" s="62">
        <f ca="1">AVERAGE(OFFSET($BH$3,0,0,'Données projet'!$E$11+1,1))-AVERAGE(OFFSET($H$3,0,0,'Données projet'!$E$11+1,1))</f>
        <v>393.3005580838161</v>
      </c>
      <c r="BJ115" s="62">
        <f t="shared" si="92"/>
        <v>295.86019897822757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-4.5224624045658861E-14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388.52230330563884</v>
      </c>
      <c r="CE115" s="62">
        <f t="shared" si="94"/>
        <v>418.94833960687333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-4.1677594708744434E-14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362.38131866207266</v>
      </c>
      <c r="CZ115" s="62">
        <f t="shared" si="96"/>
        <v>390.74498763200336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8.5265128291212022E-14</v>
      </c>
      <c r="DP115" s="18">
        <f>DO115*VLOOKUP('Données projet'!$B$14,Paramètres!$A$1:$I$89,3,0)*VLOOKUP('Données projet'!$B$14,Paramètres!$A$1:$I$89,5,0)</f>
        <v>7.4487616075202836E-14</v>
      </c>
      <c r="DQ115" s="14">
        <f t="shared" si="97"/>
        <v>1.1580453144473142E-12</v>
      </c>
      <c r="DR115" s="22">
        <f t="shared" si="70"/>
        <v>2.1466615206600508E-12</v>
      </c>
      <c r="DS115" s="62">
        <f t="shared" si="71"/>
        <v>283.64931689501367</v>
      </c>
      <c r="DT115" s="62">
        <f ca="1">AVERAGE(OFFSET($DS$3,0,0,'Données projet'!$E$14+1,1))-AVERAGE(OFFSET($H$3,0,0,'Données projet'!$E$14+1,1))</f>
        <v>334.4692012109935</v>
      </c>
      <c r="DU115" s="62">
        <f t="shared" si="98"/>
        <v>316.360405424036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-3.4106051316484809E-13</v>
      </c>
      <c r="EK115" s="18">
        <f>EJ115*VLOOKUP('Données projet'!$B$15,Paramètres!$A$1:$I$89,3,0)*VLOOKUP('Données projet'!$B$15,Paramètres!$A$1:$I$89,5,0)</f>
        <v>-1.9065282685915009E-13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390.09289316045653</v>
      </c>
      <c r="EP115" s="62">
        <f t="shared" si="100"/>
        <v>364.34913542817617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0.75967868109818615</v>
      </c>
      <c r="EX115" s="23">
        <f>EXP(-LN(2)/2)*EX114+(1-EXP(-LN(2)/2))/(LN(2)/2)*ER115*EU115*VLOOKUP('Données projet'!$B$15,Paramètres!$A$1:$I$89,3,0)*0.475*44/12</f>
        <v>4.0847425715901003E-12</v>
      </c>
      <c r="EY115" s="24">
        <f t="shared" si="75"/>
        <v>0.75967868110227088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4.5474735088646412E-13</v>
      </c>
      <c r="FF115" s="18">
        <f>FE115*VLOOKUP('Données projet'!$B$16,Paramètres!$A$1:$I$89,3,0)*VLOOKUP('Données projet'!$B$16,Paramètres!$A$1:$I$89,5,0)</f>
        <v>2.1282176021486519E-13</v>
      </c>
      <c r="FG115" s="14">
        <f t="shared" si="101"/>
        <v>2.9281075858910828E-12</v>
      </c>
      <c r="FH115" s="22">
        <f t="shared" si="76"/>
        <v>5.4704519444678596E-12</v>
      </c>
      <c r="FI115" s="62">
        <f t="shared" si="77"/>
        <v>283.64931689501697</v>
      </c>
      <c r="FJ115" s="62">
        <f ca="1">AVERAGE(OFFSET($FI$3,0,0,'Données projet'!$E$16+1,1))-AVERAGE(OFFSET($H$3,0,0,'Données projet'!$E$16+1,1))</f>
        <v>344.55118007058775</v>
      </c>
      <c r="FK115" s="62">
        <f t="shared" si="102"/>
        <v>144.16931602355001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252.60122125520482</v>
      </c>
      <c r="GF115" s="62">
        <f t="shared" si="104"/>
        <v>357.56833754121317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1.0599074985807544</v>
      </c>
      <c r="GN115" s="23">
        <f>EXP(-LN(2)/2)*GN114+(1-EXP(-LN(2)/2))/(LN(2)/2)*GH115*GK115*VLOOKUP('Données projet'!$B$17,Paramètres!$A$1:$I$89,3,0)*0.475*44/12</f>
        <v>7.5118895806584982E-12</v>
      </c>
      <c r="GO115" s="23">
        <f t="shared" si="81"/>
        <v>1.0599074985882664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-1.1368683772161603E-13</v>
      </c>
      <c r="GV115" s="18">
        <f>GU115*VLOOKUP('Données projet'!$B$18,Paramètres!$A$1:$I$89,3,0)*VLOOKUP('Données projet'!$B$18,Paramètres!$A$1:$I$89,5,0)</f>
        <v>-9.2222762759774927E-14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268.57152522489537</v>
      </c>
      <c r="HA115" s="62">
        <f t="shared" si="106"/>
        <v>311.80303557283207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3.75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13.75</v>
      </c>
      <c r="H116" s="70">
        <f t="shared" si="56"/>
        <v>201.66666666666666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2">
        <f t="shared" si="55"/>
        <v>862.41181593758597</v>
      </c>
      <c r="S116" s="62">
        <f ca="1">AVERAGE(OFFSET($R$3,0,0,'Données projet'!$E$9+1,1))-AVERAGE(OFFSET($H$3,0,0,'Données projet'!$E$9+1,1))</f>
        <v>461.02780119093666</v>
      </c>
      <c r="T116" s="62">
        <f t="shared" si="88"/>
        <v>245.70016468438834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295.99999999999955</v>
      </c>
      <c r="AJ116" s="14">
        <f>AI116*VLOOKUP('Données projet'!$B$10,Paramètres!$A$1:$I$89,3,0)*VLOOKUP('Données projet'!$B$10,Paramètres!$A$1:$I$89,5,0)</f>
        <v>249.35039999999967</v>
      </c>
      <c r="AK116" s="14">
        <f t="shared" si="89"/>
        <v>60.446817732908109</v>
      </c>
      <c r="AL116" s="22">
        <f t="shared" si="58"/>
        <v>539.56348755148099</v>
      </c>
      <c r="AM116" s="62">
        <f t="shared" si="59"/>
        <v>823.38080048148004</v>
      </c>
      <c r="AN116" s="62">
        <f ca="1">AVERAGE(OFFSET($AM$3,0,0,'Données projet'!$E$10+1,1))-AVERAGE(OFFSET($H$3,0,0,'Données projet'!$E$10+1,1))</f>
        <v>434.22500776975596</v>
      </c>
      <c r="AO116" s="62">
        <f t="shared" si="90"/>
        <v>232.59777933076705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2.8846153846153841</v>
      </c>
      <c r="BD116" s="13">
        <f>IF('Données projet'!$A$88&gt;35,BD115+BC116-BL115,IF(A116&lt;'Données projet'!$A$88,$BA$205^A116,IF(A116='Données projet'!$A$88,'Données projet'!$B$88,BD115+BC116-BL115)))</f>
        <v>261.85897435897442</v>
      </c>
      <c r="BE116" s="14">
        <f>BD116*VLOOKUP('Données projet'!$B$11,Paramètres!$A$1:$I$89,3,0)*VLOOKUP('Données projet'!$B$11,Paramètres!$A$1:$I$89,5,0)</f>
        <v>249.18500000000006</v>
      </c>
      <c r="BF116" s="14">
        <f t="shared" si="91"/>
        <v>60.411387716360778</v>
      </c>
      <c r="BG116" s="22">
        <f t="shared" si="61"/>
        <v>539.21370860599507</v>
      </c>
      <c r="BH116" s="62">
        <f t="shared" si="62"/>
        <v>823.03102153599411</v>
      </c>
      <c r="BI116" s="62">
        <f ca="1">AVERAGE(OFFSET($BH$3,0,0,'Données projet'!$E$11+1,1))-AVERAGE(OFFSET($H$3,0,0,'Données projet'!$E$11+1,1))</f>
        <v>393.3005580838161</v>
      </c>
      <c r="BJ116" s="62">
        <f t="shared" si="92"/>
        <v>295.86019897822757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-4.5224624045658861E-14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388.52230330563884</v>
      </c>
      <c r="CE116" s="62">
        <f t="shared" si="94"/>
        <v>418.94833960687333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-4.1677594708744434E-14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362.38131866207266</v>
      </c>
      <c r="CZ116" s="62">
        <f t="shared" si="96"/>
        <v>390.74498763200336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8.5265128291212022E-14</v>
      </c>
      <c r="DP116" s="18">
        <f>DO116*VLOOKUP('Données projet'!$B$14,Paramètres!$A$1:$I$89,3,0)*VLOOKUP('Données projet'!$B$14,Paramètres!$A$1:$I$89,5,0)</f>
        <v>7.4487616075202836E-14</v>
      </c>
      <c r="DQ116" s="14">
        <f t="shared" si="97"/>
        <v>1.1580453144473142E-12</v>
      </c>
      <c r="DR116" s="22">
        <f t="shared" si="70"/>
        <v>2.1466615206600508E-12</v>
      </c>
      <c r="DS116" s="62">
        <f t="shared" si="71"/>
        <v>283.81731293000126</v>
      </c>
      <c r="DT116" s="62">
        <f ca="1">AVERAGE(OFFSET($DS$3,0,0,'Données projet'!$E$14+1,1))-AVERAGE(OFFSET($H$3,0,0,'Données projet'!$E$14+1,1))</f>
        <v>334.4692012109935</v>
      </c>
      <c r="DU116" s="62">
        <f t="shared" si="98"/>
        <v>316.360405424036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-3.4106051316484809E-13</v>
      </c>
      <c r="EK116" s="18">
        <f>EJ116*VLOOKUP('Données projet'!$B$15,Paramètres!$A$1:$I$89,3,0)*VLOOKUP('Données projet'!$B$15,Paramètres!$A$1:$I$89,5,0)</f>
        <v>-1.9065282685915009E-13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390.09289316045653</v>
      </c>
      <c r="EP116" s="62">
        <f t="shared" si="100"/>
        <v>364.34913542817617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0.73890522761379063</v>
      </c>
      <c r="EX116" s="23">
        <f>EXP(-LN(2)/2)*EX115+(1-EXP(-LN(2)/2))/(LN(2)/2)*ER116*EU116*VLOOKUP('Données projet'!$B$15,Paramètres!$A$1:$I$89,3,0)*0.475*44/12</f>
        <v>2.8883491717727365E-12</v>
      </c>
      <c r="EY116" s="24">
        <f t="shared" si="75"/>
        <v>0.73890522761667898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4.5474735088646412E-13</v>
      </c>
      <c r="FF116" s="18">
        <f>FE116*VLOOKUP('Données projet'!$B$16,Paramètres!$A$1:$I$89,3,0)*VLOOKUP('Données projet'!$B$16,Paramètres!$A$1:$I$89,5,0)</f>
        <v>2.1282176021486519E-13</v>
      </c>
      <c r="FG116" s="14">
        <f t="shared" si="101"/>
        <v>2.9281075858910828E-12</v>
      </c>
      <c r="FH116" s="22">
        <f t="shared" si="76"/>
        <v>5.4704519444678596E-12</v>
      </c>
      <c r="FI116" s="62">
        <f t="shared" si="77"/>
        <v>283.81731293000456</v>
      </c>
      <c r="FJ116" s="62">
        <f ca="1">AVERAGE(OFFSET($FI$3,0,0,'Données projet'!$E$16+1,1))-AVERAGE(OFFSET($H$3,0,0,'Données projet'!$E$16+1,1))</f>
        <v>344.55118007058775</v>
      </c>
      <c r="FK116" s="62">
        <f t="shared" si="102"/>
        <v>144.16931602355001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252.60122125520482</v>
      </c>
      <c r="GF116" s="62">
        <f t="shared" si="104"/>
        <v>357.56833754121317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1.0309242722939507</v>
      </c>
      <c r="GN116" s="23">
        <f>EXP(-LN(2)/2)*GN115+(1-EXP(-LN(2)/2))/(LN(2)/2)*GH116*GK116*VLOOKUP('Données projet'!$B$17,Paramètres!$A$1:$I$89,3,0)*0.475*44/12</f>
        <v>5.311708062008195E-12</v>
      </c>
      <c r="GO116" s="23">
        <f t="shared" si="81"/>
        <v>1.0309242722992624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-1.1368683772161603E-13</v>
      </c>
      <c r="GV116" s="18">
        <f>GU116*VLOOKUP('Données projet'!$B$18,Paramètres!$A$1:$I$89,3,0)*VLOOKUP('Données projet'!$B$18,Paramètres!$A$1:$I$89,5,0)</f>
        <v>-9.2222762759774927E-14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268.57152522489537</v>
      </c>
      <c r="HA116" s="62">
        <f t="shared" si="106"/>
        <v>311.80303557283207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3.75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13.75</v>
      </c>
      <c r="H117" s="70">
        <f t="shared" si="56"/>
        <v>201.66666666666666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2">
        <f t="shared" si="55"/>
        <v>870.21830129654984</v>
      </c>
      <c r="S117" s="62">
        <f ca="1">AVERAGE(OFFSET($R$3,0,0,'Données projet'!$E$9+1,1))-AVERAGE(OFFSET($H$3,0,0,'Données projet'!$E$9+1,1))</f>
        <v>461.02780119093666</v>
      </c>
      <c r="T117" s="62">
        <f t="shared" si="88"/>
        <v>245.70016468438834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299.99999999999955</v>
      </c>
      <c r="AJ117" s="14">
        <f>AI117*VLOOKUP('Données projet'!$B$10,Paramètres!$A$1:$I$89,3,0)*VLOOKUP('Données projet'!$B$10,Paramètres!$A$1:$I$89,5,0)</f>
        <v>252.71999999999966</v>
      </c>
      <c r="AK117" s="14">
        <f t="shared" si="89"/>
        <v>61.168020584496766</v>
      </c>
      <c r="AL117" s="22">
        <f t="shared" si="58"/>
        <v>546.68830251799795</v>
      </c>
      <c r="AM117" s="62">
        <f t="shared" si="59"/>
        <v>830.67069712736043</v>
      </c>
      <c r="AN117" s="62">
        <f ca="1">AVERAGE(OFFSET($AM$3,0,0,'Données projet'!$E$10+1,1))-AVERAGE(OFFSET($H$3,0,0,'Données projet'!$E$10+1,1))</f>
        <v>434.22500776975596</v>
      </c>
      <c r="AO117" s="62">
        <f t="shared" si="90"/>
        <v>232.59777933076705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2.8846153846153841</v>
      </c>
      <c r="BD117" s="13">
        <f>IF('Données projet'!$A$88&gt;35,BD116+BC117-BL116,IF(A117&lt;'Données projet'!$A$88,$BA$205^A117,IF(A117='Données projet'!$A$88,'Données projet'!$B$88,BD116+BC117-BL116)))</f>
        <v>264.74358974358978</v>
      </c>
      <c r="BE117" s="14">
        <f>BD117*VLOOKUP('Données projet'!$B$11,Paramètres!$A$1:$I$89,3,0)*VLOOKUP('Données projet'!$B$11,Paramètres!$A$1:$I$89,5,0)</f>
        <v>251.93000000000004</v>
      </c>
      <c r="BF117" s="14">
        <f t="shared" si="91"/>
        <v>60.999036147317533</v>
      </c>
      <c r="BG117" s="22">
        <f t="shared" si="61"/>
        <v>545.0180712899114</v>
      </c>
      <c r="BH117" s="62">
        <f t="shared" si="62"/>
        <v>829.00046589927388</v>
      </c>
      <c r="BI117" s="62">
        <f ca="1">AVERAGE(OFFSET($BH$3,0,0,'Données projet'!$E$11+1,1))-AVERAGE(OFFSET($H$3,0,0,'Données projet'!$E$11+1,1))</f>
        <v>393.3005580838161</v>
      </c>
      <c r="BJ117" s="62">
        <f t="shared" si="92"/>
        <v>295.86019897822757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-4.5224624045658861E-14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388.52230330563884</v>
      </c>
      <c r="CE117" s="62">
        <f t="shared" si="94"/>
        <v>418.94833960687333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-4.1677594708744434E-14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362.38131866207266</v>
      </c>
      <c r="CZ117" s="62">
        <f t="shared" si="96"/>
        <v>390.74498763200336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8.5265128291212022E-14</v>
      </c>
      <c r="DP117" s="18">
        <f>DO117*VLOOKUP('Données projet'!$B$14,Paramètres!$A$1:$I$89,3,0)*VLOOKUP('Données projet'!$B$14,Paramètres!$A$1:$I$89,5,0)</f>
        <v>7.4487616075202836E-14</v>
      </c>
      <c r="DQ117" s="14">
        <f t="shared" si="97"/>
        <v>1.1580453144473142E-12</v>
      </c>
      <c r="DR117" s="22">
        <f t="shared" si="70"/>
        <v>2.1466615206600508E-12</v>
      </c>
      <c r="DS117" s="62">
        <f t="shared" si="71"/>
        <v>283.98239460936463</v>
      </c>
      <c r="DT117" s="62">
        <f ca="1">AVERAGE(OFFSET($DS$3,0,0,'Données projet'!$E$14+1,1))-AVERAGE(OFFSET($H$3,0,0,'Données projet'!$E$14+1,1))</f>
        <v>334.4692012109935</v>
      </c>
      <c r="DU117" s="62">
        <f t="shared" si="98"/>
        <v>316.360405424036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-3.4106051316484809E-13</v>
      </c>
      <c r="EK117" s="18">
        <f>EJ117*VLOOKUP('Données projet'!$B$15,Paramètres!$A$1:$I$89,3,0)*VLOOKUP('Données projet'!$B$15,Paramètres!$A$1:$I$89,5,0)</f>
        <v>-1.9065282685915009E-13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390.09289316045653</v>
      </c>
      <c r="EP117" s="62">
        <f t="shared" si="100"/>
        <v>364.34913542817617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0.71869982530735443</v>
      </c>
      <c r="EX117" s="23">
        <f>EXP(-LN(2)/2)*EX116+(1-EXP(-LN(2)/2))/(LN(2)/2)*ER117*EU117*VLOOKUP('Données projet'!$B$15,Paramètres!$A$1:$I$89,3,0)*0.475*44/12</f>
        <v>2.0423712857950501E-12</v>
      </c>
      <c r="EY117" s="24">
        <f t="shared" si="75"/>
        <v>0.7186998253093968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4.5474735088646412E-13</v>
      </c>
      <c r="FF117" s="18">
        <f>FE117*VLOOKUP('Données projet'!$B$16,Paramètres!$A$1:$I$89,3,0)*VLOOKUP('Données projet'!$B$16,Paramètres!$A$1:$I$89,5,0)</f>
        <v>2.1282176021486519E-13</v>
      </c>
      <c r="FG117" s="14">
        <f t="shared" si="101"/>
        <v>2.9281075858910828E-12</v>
      </c>
      <c r="FH117" s="22">
        <f t="shared" si="76"/>
        <v>5.4704519444678596E-12</v>
      </c>
      <c r="FI117" s="62">
        <f t="shared" si="77"/>
        <v>283.98239460936793</v>
      </c>
      <c r="FJ117" s="62">
        <f ca="1">AVERAGE(OFFSET($FI$3,0,0,'Données projet'!$E$16+1,1))-AVERAGE(OFFSET($H$3,0,0,'Données projet'!$E$16+1,1))</f>
        <v>344.55118007058775</v>
      </c>
      <c r="FK117" s="62">
        <f t="shared" si="102"/>
        <v>144.16931602355001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252.60122125520482</v>
      </c>
      <c r="GF117" s="62">
        <f t="shared" si="104"/>
        <v>357.56833754121317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1.0027335938541213</v>
      </c>
      <c r="GN117" s="23">
        <f>EXP(-LN(2)/2)*GN116+(1-EXP(-LN(2)/2))/(LN(2)/2)*GH117*GK117*VLOOKUP('Données projet'!$B$17,Paramètres!$A$1:$I$89,3,0)*0.475*44/12</f>
        <v>3.7559447903292491E-12</v>
      </c>
      <c r="GO117" s="23">
        <f t="shared" si="81"/>
        <v>1.0027335938578772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-1.1368683772161603E-13</v>
      </c>
      <c r="GV117" s="18">
        <f>GU117*VLOOKUP('Données projet'!$B$18,Paramètres!$A$1:$I$89,3,0)*VLOOKUP('Données projet'!$B$18,Paramètres!$A$1:$I$89,5,0)</f>
        <v>-9.2222762759774927E-14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268.57152522489537</v>
      </c>
      <c r="HA117" s="62">
        <f t="shared" si="106"/>
        <v>311.80303557283207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3.75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13.75</v>
      </c>
      <c r="H118" s="70">
        <f t="shared" si="56"/>
        <v>201.66666666666666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2">
        <f t="shared" si="55"/>
        <v>878.01984788334823</v>
      </c>
      <c r="S118" s="62">
        <f ca="1">AVERAGE(OFFSET($R$3,0,0,'Données projet'!$E$9+1,1))-AVERAGE(OFFSET($H$3,0,0,'Données projet'!$E$9+1,1))</f>
        <v>461.02780119093666</v>
      </c>
      <c r="T118" s="62">
        <f t="shared" si="88"/>
        <v>245.70016468438834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303.99999999999955</v>
      </c>
      <c r="AJ118" s="14">
        <f>AI118*VLOOKUP('Données projet'!$B$10,Paramètres!$A$1:$I$89,3,0)*VLOOKUP('Données projet'!$B$10,Paramètres!$A$1:$I$89,5,0)</f>
        <v>256.08959999999962</v>
      </c>
      <c r="AK118" s="14">
        <f t="shared" si="89"/>
        <v>61.888104962349665</v>
      </c>
      <c r="AL118" s="22">
        <f t="shared" si="58"/>
        <v>553.81116947609155</v>
      </c>
      <c r="AM118" s="62">
        <f t="shared" si="59"/>
        <v>837.95578196674785</v>
      </c>
      <c r="AN118" s="62">
        <f ca="1">AVERAGE(OFFSET($AM$3,0,0,'Données projet'!$E$10+1,1))-AVERAGE(OFFSET($H$3,0,0,'Données projet'!$E$10+1,1))</f>
        <v>434.22500776975596</v>
      </c>
      <c r="AO118" s="62">
        <f t="shared" si="90"/>
        <v>232.59777933076705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2.8846153846153841</v>
      </c>
      <c r="BD118" s="13">
        <f>IF('Données projet'!$A$88&gt;35,BD117+BC118-BL117,IF(A118&lt;'Données projet'!$A$88,$BA$205^A118,IF(A118='Données projet'!$A$88,'Données projet'!$B$88,BD117+BC118-BL117)))</f>
        <v>267.62820512820514</v>
      </c>
      <c r="BE118" s="14">
        <f>BD118*VLOOKUP('Données projet'!$B$11,Paramètres!$A$1:$I$89,3,0)*VLOOKUP('Données projet'!$B$11,Paramètres!$A$1:$I$89,5,0)</f>
        <v>254.67500000000001</v>
      </c>
      <c r="BF118" s="14">
        <f t="shared" si="91"/>
        <v>61.585939731850885</v>
      </c>
      <c r="BG118" s="22">
        <f t="shared" si="61"/>
        <v>550.82113669964031</v>
      </c>
      <c r="BH118" s="62">
        <f t="shared" si="62"/>
        <v>834.96574919029661</v>
      </c>
      <c r="BI118" s="62">
        <f ca="1">AVERAGE(OFFSET($BH$3,0,0,'Données projet'!$E$11+1,1))-AVERAGE(OFFSET($H$3,0,0,'Données projet'!$E$11+1,1))</f>
        <v>393.3005580838161</v>
      </c>
      <c r="BJ118" s="62">
        <f t="shared" si="92"/>
        <v>295.86019897822757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-4.5224624045658861E-14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388.52230330563884</v>
      </c>
      <c r="CE118" s="62">
        <f t="shared" si="94"/>
        <v>418.94833960687333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-4.1677594708744434E-14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362.38131866207266</v>
      </c>
      <c r="CZ118" s="62">
        <f t="shared" si="96"/>
        <v>390.74498763200336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8.5265128291212022E-14</v>
      </c>
      <c r="DP118" s="18">
        <f>DO118*VLOOKUP('Données projet'!$B$14,Paramètres!$A$1:$I$89,3,0)*VLOOKUP('Données projet'!$B$14,Paramètres!$A$1:$I$89,5,0)</f>
        <v>7.4487616075202836E-14</v>
      </c>
      <c r="DQ118" s="14">
        <f t="shared" si="97"/>
        <v>1.1580453144473142E-12</v>
      </c>
      <c r="DR118" s="22">
        <f t="shared" si="70"/>
        <v>2.1466615206600508E-12</v>
      </c>
      <c r="DS118" s="62">
        <f t="shared" si="71"/>
        <v>284.14461249065846</v>
      </c>
      <c r="DT118" s="62">
        <f ca="1">AVERAGE(OFFSET($DS$3,0,0,'Données projet'!$E$14+1,1))-AVERAGE(OFFSET($H$3,0,0,'Données projet'!$E$14+1,1))</f>
        <v>334.4692012109935</v>
      </c>
      <c r="DU118" s="62">
        <f t="shared" si="98"/>
        <v>316.360405424036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-3.4106051316484809E-13</v>
      </c>
      <c r="EK118" s="18">
        <f>EJ118*VLOOKUP('Données projet'!$B$15,Paramètres!$A$1:$I$89,3,0)*VLOOKUP('Données projet'!$B$15,Paramètres!$A$1:$I$89,5,0)</f>
        <v>-1.9065282685915009E-13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390.09289316045653</v>
      </c>
      <c r="EP118" s="62">
        <f t="shared" si="100"/>
        <v>364.34913542817617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0.69904694078954366</v>
      </c>
      <c r="EX118" s="23">
        <f>EXP(-LN(2)/2)*EX117+(1-EXP(-LN(2)/2))/(LN(2)/2)*ER118*EU118*VLOOKUP('Données projet'!$B$15,Paramètres!$A$1:$I$89,3,0)*0.475*44/12</f>
        <v>1.4441745858863682E-12</v>
      </c>
      <c r="EY118" s="24">
        <f t="shared" si="75"/>
        <v>0.69904694079098784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4.5474735088646412E-13</v>
      </c>
      <c r="FF118" s="18">
        <f>FE118*VLOOKUP('Données projet'!$B$16,Paramètres!$A$1:$I$89,3,0)*VLOOKUP('Données projet'!$B$16,Paramètres!$A$1:$I$89,5,0)</f>
        <v>2.1282176021486519E-13</v>
      </c>
      <c r="FG118" s="14">
        <f t="shared" si="101"/>
        <v>2.9281075858910828E-12</v>
      </c>
      <c r="FH118" s="22">
        <f t="shared" si="76"/>
        <v>5.4704519444678596E-12</v>
      </c>
      <c r="FI118" s="62">
        <f t="shared" si="77"/>
        <v>284.14461249066176</v>
      </c>
      <c r="FJ118" s="62">
        <f ca="1">AVERAGE(OFFSET($FI$3,0,0,'Données projet'!$E$16+1,1))-AVERAGE(OFFSET($H$3,0,0,'Données projet'!$E$16+1,1))</f>
        <v>344.55118007058775</v>
      </c>
      <c r="FK118" s="62">
        <f t="shared" si="102"/>
        <v>144.16931602355001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252.60122125520482</v>
      </c>
      <c r="GF118" s="62">
        <f t="shared" si="104"/>
        <v>357.56833754121317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0.9753137909987124</v>
      </c>
      <c r="GN118" s="23">
        <f>EXP(-LN(2)/2)*GN117+(1-EXP(-LN(2)/2))/(LN(2)/2)*GH118*GK118*VLOOKUP('Données projet'!$B$17,Paramètres!$A$1:$I$89,3,0)*0.475*44/12</f>
        <v>2.6558540310040975E-12</v>
      </c>
      <c r="GO118" s="23">
        <f t="shared" si="81"/>
        <v>0.97531379100136828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-1.1368683772161603E-13</v>
      </c>
      <c r="GV118" s="18">
        <f>GU118*VLOOKUP('Données projet'!$B$18,Paramètres!$A$1:$I$89,3,0)*VLOOKUP('Données projet'!$B$18,Paramètres!$A$1:$I$89,5,0)</f>
        <v>-9.2222762759774927E-14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268.57152522489537</v>
      </c>
      <c r="HA118" s="62">
        <f t="shared" si="106"/>
        <v>311.80303557283207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3.75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13.75</v>
      </c>
      <c r="H119" s="70">
        <f t="shared" si="56"/>
        <v>201.66666666666666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2">
        <f t="shared" si="55"/>
        <v>813.94223839762947</v>
      </c>
      <c r="S119" s="62">
        <f ca="1">AVERAGE(OFFSET($R$3,0,0,'Données projet'!$E$9+1,1))-AVERAGE(OFFSET($H$3,0,0,'Données projet'!$E$9+1,1))</f>
        <v>461.02780119093666</v>
      </c>
      <c r="T119" s="62">
        <f t="shared" si="88"/>
        <v>245.70016468438834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270.39999999999952</v>
      </c>
      <c r="AJ119" s="14">
        <f>AI119*VLOOKUP('Données projet'!$B$10,Paramètres!$A$1:$I$89,3,0)*VLOOKUP('Données projet'!$B$10,Paramètres!$A$1:$I$89,5,0)</f>
        <v>227.78495999999964</v>
      </c>
      <c r="AK119" s="14">
        <f t="shared" si="89"/>
        <v>55.803468680001643</v>
      </c>
      <c r="AL119" s="22">
        <f t="shared" si="58"/>
        <v>493.91651328433562</v>
      </c>
      <c r="AM119" s="62">
        <f t="shared" si="59"/>
        <v>778.22052953871003</v>
      </c>
      <c r="AN119" s="62">
        <f ca="1">AVERAGE(OFFSET($AM$3,0,0,'Données projet'!$E$10+1,1))-AVERAGE(OFFSET($H$3,0,0,'Données projet'!$E$10+1,1))</f>
        <v>434.22500776975596</v>
      </c>
      <c r="AO119" s="62">
        <f t="shared" si="90"/>
        <v>232.59777933076705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2.8846153846153841</v>
      </c>
      <c r="BD119" s="13">
        <f>IF('Données projet'!$A$88&gt;35,BD118+BC119-BL118,IF(A119&lt;'Données projet'!$A$88,$BA$205^A119,IF(A119='Données projet'!$A$88,'Données projet'!$B$88,BD118+BC119-BL118)))</f>
        <v>270.5128205128205</v>
      </c>
      <c r="BE119" s="14">
        <f>BD119*VLOOKUP('Données projet'!$B$11,Paramètres!$A$1:$I$89,3,0)*VLOOKUP('Données projet'!$B$11,Paramètres!$A$1:$I$89,5,0)</f>
        <v>257.41999999999996</v>
      </c>
      <c r="BF119" s="14">
        <f t="shared" si="91"/>
        <v>62.172107427466436</v>
      </c>
      <c r="BG119" s="22">
        <f t="shared" si="61"/>
        <v>556.6229204361706</v>
      </c>
      <c r="BH119" s="62">
        <f t="shared" si="62"/>
        <v>840.92693669054506</v>
      </c>
      <c r="BI119" s="62">
        <f ca="1">AVERAGE(OFFSET($BH$3,0,0,'Données projet'!$E$11+1,1))-AVERAGE(OFFSET($H$3,0,0,'Données projet'!$E$11+1,1))</f>
        <v>393.3005580838161</v>
      </c>
      <c r="BJ119" s="62">
        <f t="shared" si="92"/>
        <v>295.86019897822757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-4.5224624045658861E-14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388.52230330563884</v>
      </c>
      <c r="CE119" s="62">
        <f t="shared" si="94"/>
        <v>418.94833960687333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-4.1677594708744434E-14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362.38131866207266</v>
      </c>
      <c r="CZ119" s="62">
        <f t="shared" si="96"/>
        <v>390.74498763200336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8.5265128291212022E-14</v>
      </c>
      <c r="DP119" s="18">
        <f>DO119*VLOOKUP('Données projet'!$B$14,Paramètres!$A$1:$I$89,3,0)*VLOOKUP('Données projet'!$B$14,Paramètres!$A$1:$I$89,5,0)</f>
        <v>7.4487616075202836E-14</v>
      </c>
      <c r="DQ119" s="14">
        <f t="shared" si="97"/>
        <v>1.1580453144473142E-12</v>
      </c>
      <c r="DR119" s="22">
        <f t="shared" si="70"/>
        <v>2.1466615206600508E-12</v>
      </c>
      <c r="DS119" s="62">
        <f t="shared" si="71"/>
        <v>284.30401625437662</v>
      </c>
      <c r="DT119" s="62">
        <f ca="1">AVERAGE(OFFSET($DS$3,0,0,'Données projet'!$E$14+1,1))-AVERAGE(OFFSET($H$3,0,0,'Données projet'!$E$14+1,1))</f>
        <v>334.4692012109935</v>
      </c>
      <c r="DU119" s="62">
        <f t="shared" si="98"/>
        <v>316.360405424036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-3.4106051316484809E-13</v>
      </c>
      <c r="EK119" s="18">
        <f>EJ119*VLOOKUP('Données projet'!$B$15,Paramètres!$A$1:$I$89,3,0)*VLOOKUP('Données projet'!$B$15,Paramètres!$A$1:$I$89,5,0)</f>
        <v>-1.9065282685915009E-13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390.09289316045653</v>
      </c>
      <c r="EP119" s="62">
        <f t="shared" si="100"/>
        <v>364.34913542817617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0.67993146543237271</v>
      </c>
      <c r="EX119" s="23">
        <f>EXP(-LN(2)/2)*EX118+(1-EXP(-LN(2)/2))/(LN(2)/2)*ER119*EU119*VLOOKUP('Données projet'!$B$15,Paramètres!$A$1:$I$89,3,0)*0.475*44/12</f>
        <v>1.0211856428975251E-12</v>
      </c>
      <c r="EY119" s="24">
        <f t="shared" si="75"/>
        <v>0.67993146543339389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4.5474735088646412E-13</v>
      </c>
      <c r="FF119" s="18">
        <f>FE119*VLOOKUP('Données projet'!$B$16,Paramètres!$A$1:$I$89,3,0)*VLOOKUP('Données projet'!$B$16,Paramètres!$A$1:$I$89,5,0)</f>
        <v>2.1282176021486519E-13</v>
      </c>
      <c r="FG119" s="14">
        <f t="shared" si="101"/>
        <v>2.9281075858910828E-12</v>
      </c>
      <c r="FH119" s="22">
        <f t="shared" si="76"/>
        <v>5.4704519444678596E-12</v>
      </c>
      <c r="FI119" s="62">
        <f t="shared" si="77"/>
        <v>284.30401625437992</v>
      </c>
      <c r="FJ119" s="62">
        <f ca="1">AVERAGE(OFFSET($FI$3,0,0,'Données projet'!$E$16+1,1))-AVERAGE(OFFSET($H$3,0,0,'Données projet'!$E$16+1,1))</f>
        <v>344.55118007058775</v>
      </c>
      <c r="FK119" s="62">
        <f t="shared" si="102"/>
        <v>144.16931602355001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252.60122125520482</v>
      </c>
      <c r="GF119" s="62">
        <f t="shared" si="104"/>
        <v>357.56833754121317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0.94864378409432948</v>
      </c>
      <c r="GN119" s="23">
        <f>EXP(-LN(2)/2)*GN118+(1-EXP(-LN(2)/2))/(LN(2)/2)*GH119*GK119*VLOOKUP('Données projet'!$B$17,Paramètres!$A$1:$I$89,3,0)*0.475*44/12</f>
        <v>1.8779723951646245E-12</v>
      </c>
      <c r="GO119" s="23">
        <f t="shared" si="81"/>
        <v>0.94864378409620742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-1.1368683772161603E-13</v>
      </c>
      <c r="GV119" s="18">
        <f>GU119*VLOOKUP('Données projet'!$B$18,Paramètres!$A$1:$I$89,3,0)*VLOOKUP('Données projet'!$B$18,Paramètres!$A$1:$I$89,5,0)</f>
        <v>-9.2222762759774927E-14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268.57152522489537</v>
      </c>
      <c r="HA119" s="62">
        <f t="shared" si="106"/>
        <v>311.80303557283207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3.75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13.75</v>
      </c>
      <c r="H120" s="70">
        <f t="shared" si="56"/>
        <v>201.66666666666666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2">
        <f t="shared" si="55"/>
        <v>820.60617008691679</v>
      </c>
      <c r="S120" s="62">
        <f ca="1">AVERAGE(OFFSET($R$3,0,0,'Données projet'!$E$9+1,1))-AVERAGE(OFFSET($H$3,0,0,'Données projet'!$E$9+1,1))</f>
        <v>461.02780119093666</v>
      </c>
      <c r="T120" s="62">
        <f t="shared" si="88"/>
        <v>245.70016468438834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273.7999999999995</v>
      </c>
      <c r="AJ120" s="14">
        <f>AI120*VLOOKUP('Données projet'!$B$10,Paramètres!$A$1:$I$89,3,0)*VLOOKUP('Données projet'!$B$10,Paramètres!$A$1:$I$89,5,0)</f>
        <v>230.64911999999961</v>
      </c>
      <c r="AK120" s="14">
        <f t="shared" si="89"/>
        <v>56.423013421666482</v>
      </c>
      <c r="AL120" s="22">
        <f t="shared" si="58"/>
        <v>499.98396570940173</v>
      </c>
      <c r="AM120" s="62">
        <f t="shared" si="59"/>
        <v>784.4446204285673</v>
      </c>
      <c r="AN120" s="62">
        <f ca="1">AVERAGE(OFFSET($AM$3,0,0,'Données projet'!$E$10+1,1))-AVERAGE(OFFSET($H$3,0,0,'Données projet'!$E$10+1,1))</f>
        <v>434.22500776975596</v>
      </c>
      <c r="AO120" s="62">
        <f t="shared" si="90"/>
        <v>232.59777933076705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2.8846153846153841</v>
      </c>
      <c r="BD120" s="13">
        <f>IF('Données projet'!$A$88&gt;35,BD119+BC120-BL119,IF(A120&lt;'Données projet'!$A$88,$BA$205^A120,IF(A120='Données projet'!$A$88,'Données projet'!$B$88,BD119+BC120-BL119)))</f>
        <v>273.39743589743586</v>
      </c>
      <c r="BE120" s="14">
        <f>BD120*VLOOKUP('Données projet'!$B$11,Paramètres!$A$1:$I$89,3,0)*VLOOKUP('Données projet'!$B$11,Paramètres!$A$1:$I$89,5,0)</f>
        <v>260.16499999999996</v>
      </c>
      <c r="BF120" s="14">
        <f t="shared" si="91"/>
        <v>62.757547989628748</v>
      </c>
      <c r="BG120" s="22">
        <f t="shared" si="61"/>
        <v>562.42343774860331</v>
      </c>
      <c r="BH120" s="62">
        <f t="shared" si="62"/>
        <v>846.88409246776882</v>
      </c>
      <c r="BI120" s="62">
        <f ca="1">AVERAGE(OFFSET($BH$3,0,0,'Données projet'!$E$11+1,1))-AVERAGE(OFFSET($H$3,0,0,'Données projet'!$E$11+1,1))</f>
        <v>393.3005580838161</v>
      </c>
      <c r="BJ120" s="62">
        <f t="shared" si="92"/>
        <v>295.86019897822757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-4.5224624045658861E-14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388.52230330563884</v>
      </c>
      <c r="CE120" s="62">
        <f t="shared" si="94"/>
        <v>418.94833960687333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-4.1677594708744434E-14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362.38131866207266</v>
      </c>
      <c r="CZ120" s="62">
        <f t="shared" si="96"/>
        <v>390.74498763200336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8.5265128291212022E-14</v>
      </c>
      <c r="DP120" s="18">
        <f>DO120*VLOOKUP('Données projet'!$B$14,Paramètres!$A$1:$I$89,3,0)*VLOOKUP('Données projet'!$B$14,Paramètres!$A$1:$I$89,5,0)</f>
        <v>7.4487616075202836E-14</v>
      </c>
      <c r="DQ120" s="14">
        <f t="shared" si="97"/>
        <v>1.1580453144473142E-12</v>
      </c>
      <c r="DR120" s="22">
        <f t="shared" si="70"/>
        <v>2.1466615206600508E-12</v>
      </c>
      <c r="DS120" s="62">
        <f t="shared" si="71"/>
        <v>284.46065471916774</v>
      </c>
      <c r="DT120" s="62">
        <f ca="1">AVERAGE(OFFSET($DS$3,0,0,'Données projet'!$E$14+1,1))-AVERAGE(OFFSET($H$3,0,0,'Données projet'!$E$14+1,1))</f>
        <v>334.4692012109935</v>
      </c>
      <c r="DU120" s="62">
        <f t="shared" si="98"/>
        <v>316.360405424036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-3.4106051316484809E-13</v>
      </c>
      <c r="EK120" s="18">
        <f>EJ120*VLOOKUP('Données projet'!$B$15,Paramètres!$A$1:$I$89,3,0)*VLOOKUP('Données projet'!$B$15,Paramètres!$A$1:$I$89,5,0)</f>
        <v>-1.9065282685915009E-13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390.09289316045653</v>
      </c>
      <c r="EP120" s="62">
        <f t="shared" si="100"/>
        <v>364.34913542817617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0.66133870375408266</v>
      </c>
      <c r="EX120" s="23">
        <f>EXP(-LN(2)/2)*EX119+(1-EXP(-LN(2)/2))/(LN(2)/2)*ER120*EU120*VLOOKUP('Données projet'!$B$15,Paramètres!$A$1:$I$89,3,0)*0.475*44/12</f>
        <v>7.2208729294318412E-13</v>
      </c>
      <c r="EY120" s="24">
        <f t="shared" si="75"/>
        <v>0.66133870375480475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4.5474735088646412E-13</v>
      </c>
      <c r="FF120" s="18">
        <f>FE120*VLOOKUP('Données projet'!$B$16,Paramètres!$A$1:$I$89,3,0)*VLOOKUP('Données projet'!$B$16,Paramètres!$A$1:$I$89,5,0)</f>
        <v>2.1282176021486519E-13</v>
      </c>
      <c r="FG120" s="14">
        <f t="shared" si="101"/>
        <v>2.9281075858910828E-12</v>
      </c>
      <c r="FH120" s="22">
        <f t="shared" si="76"/>
        <v>5.4704519444678596E-12</v>
      </c>
      <c r="FI120" s="62">
        <f t="shared" si="77"/>
        <v>284.46065471917103</v>
      </c>
      <c r="FJ120" s="62">
        <f ca="1">AVERAGE(OFFSET($FI$3,0,0,'Données projet'!$E$16+1,1))-AVERAGE(OFFSET($H$3,0,0,'Données projet'!$E$16+1,1))</f>
        <v>344.55118007058775</v>
      </c>
      <c r="FK120" s="62">
        <f t="shared" si="102"/>
        <v>144.16931602355001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252.60122125520482</v>
      </c>
      <c r="GF120" s="62">
        <f t="shared" si="104"/>
        <v>357.56833754121317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0.92270306993126161</v>
      </c>
      <c r="GN120" s="23">
        <f>EXP(-LN(2)/2)*GN119+(1-EXP(-LN(2)/2))/(LN(2)/2)*GH120*GK120*VLOOKUP('Données projet'!$B$17,Paramètres!$A$1:$I$89,3,0)*0.475*44/12</f>
        <v>1.3279270155020487E-12</v>
      </c>
      <c r="GO120" s="23">
        <f t="shared" si="81"/>
        <v>0.92270306993258955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-1.1368683772161603E-13</v>
      </c>
      <c r="GV120" s="18">
        <f>GU120*VLOOKUP('Données projet'!$B$18,Paramètres!$A$1:$I$89,3,0)*VLOOKUP('Données projet'!$B$18,Paramètres!$A$1:$I$89,5,0)</f>
        <v>-9.2222762759774927E-14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268.57152522489537</v>
      </c>
      <c r="HA120" s="62">
        <f t="shared" si="106"/>
        <v>311.80303557283207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3.75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13.75</v>
      </c>
      <c r="H121" s="70">
        <f t="shared" si="56"/>
        <v>201.66666666666666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2">
        <f t="shared" si="55"/>
        <v>827.2657242659385</v>
      </c>
      <c r="S121" s="62">
        <f ca="1">AVERAGE(OFFSET($R$3,0,0,'Données projet'!$E$9+1,1))-AVERAGE(OFFSET($H$3,0,0,'Données projet'!$E$9+1,1))</f>
        <v>461.02780119093666</v>
      </c>
      <c r="T121" s="62">
        <f t="shared" si="88"/>
        <v>245.70016468438834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277.19999999999948</v>
      </c>
      <c r="AJ121" s="14">
        <f>AI121*VLOOKUP('Données projet'!$B$10,Paramètres!$A$1:$I$89,3,0)*VLOOKUP('Données projet'!$B$10,Paramètres!$A$1:$I$89,5,0)</f>
        <v>233.51327999999958</v>
      </c>
      <c r="AK121" s="14">
        <f t="shared" si="89"/>
        <v>57.041663274479788</v>
      </c>
      <c r="AL121" s="22">
        <f t="shared" si="58"/>
        <v>506.04985953638487</v>
      </c>
      <c r="AM121" s="62">
        <f t="shared" si="59"/>
        <v>790.66443539316856</v>
      </c>
      <c r="AN121" s="62">
        <f ca="1">AVERAGE(OFFSET($AM$3,0,0,'Données projet'!$E$10+1,1))-AVERAGE(OFFSET($H$3,0,0,'Données projet'!$E$10+1,1))</f>
        <v>434.22500776975596</v>
      </c>
      <c r="AO121" s="62">
        <f t="shared" si="90"/>
        <v>232.59777933076705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2.8846153846153841</v>
      </c>
      <c r="BD121" s="13">
        <f>IF('Données projet'!$A$88&gt;35,BD120+BC121-BL120,IF(A121&lt;'Données projet'!$A$88,$BA$205^A121,IF(A121='Données projet'!$A$88,'Données projet'!$B$88,BD120+BC121-BL120)))</f>
        <v>276.28205128205121</v>
      </c>
      <c r="BE121" s="14">
        <f>BD121*VLOOKUP('Données projet'!$B$11,Paramètres!$A$1:$I$89,3,0)*VLOOKUP('Données projet'!$B$11,Paramètres!$A$1:$I$89,5,0)</f>
        <v>262.90999999999997</v>
      </c>
      <c r="BF121" s="14">
        <f t="shared" si="91"/>
        <v>63.342269978400836</v>
      </c>
      <c r="BG121" s="22">
        <f t="shared" si="61"/>
        <v>568.22270354571481</v>
      </c>
      <c r="BH121" s="62">
        <f t="shared" si="62"/>
        <v>852.83727940249844</v>
      </c>
      <c r="BI121" s="62">
        <f ca="1">AVERAGE(OFFSET($BH$3,0,0,'Données projet'!$E$11+1,1))-AVERAGE(OFFSET($H$3,0,0,'Données projet'!$E$11+1,1))</f>
        <v>393.3005580838161</v>
      </c>
      <c r="BJ121" s="62">
        <f t="shared" si="92"/>
        <v>295.86019897822757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-4.5224624045658861E-14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388.52230330563884</v>
      </c>
      <c r="CE121" s="62">
        <f t="shared" si="94"/>
        <v>418.94833960687333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-4.1677594708744434E-14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362.38131866207266</v>
      </c>
      <c r="CZ121" s="62">
        <f t="shared" si="96"/>
        <v>390.74498763200336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8.5265128291212022E-14</v>
      </c>
      <c r="DP121" s="18">
        <f>DO121*VLOOKUP('Données projet'!$B$14,Paramètres!$A$1:$I$89,3,0)*VLOOKUP('Données projet'!$B$14,Paramètres!$A$1:$I$89,5,0)</f>
        <v>7.4487616075202836E-14</v>
      </c>
      <c r="DQ121" s="14">
        <f t="shared" si="97"/>
        <v>1.1580453144473142E-12</v>
      </c>
      <c r="DR121" s="22">
        <f t="shared" si="70"/>
        <v>2.1466615206600508E-12</v>
      </c>
      <c r="DS121" s="62">
        <f t="shared" si="71"/>
        <v>284.61457585678579</v>
      </c>
      <c r="DT121" s="62">
        <f ca="1">AVERAGE(OFFSET($DS$3,0,0,'Données projet'!$E$14+1,1))-AVERAGE(OFFSET($H$3,0,0,'Données projet'!$E$14+1,1))</f>
        <v>334.4692012109935</v>
      </c>
      <c r="DU121" s="62">
        <f t="shared" si="98"/>
        <v>316.360405424036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-3.4106051316484809E-13</v>
      </c>
      <c r="EK121" s="18">
        <f>EJ121*VLOOKUP('Données projet'!$B$15,Paramètres!$A$1:$I$89,3,0)*VLOOKUP('Données projet'!$B$15,Paramètres!$A$1:$I$89,5,0)</f>
        <v>-1.9065282685915009E-13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390.09289316045653</v>
      </c>
      <c r="EP121" s="62">
        <f t="shared" si="100"/>
        <v>364.34913542817617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0.64325436212163634</v>
      </c>
      <c r="EX121" s="23">
        <f>EXP(-LN(2)/2)*EX120+(1-EXP(-LN(2)/2))/(LN(2)/2)*ER121*EU121*VLOOKUP('Données projet'!$B$15,Paramètres!$A$1:$I$89,3,0)*0.475*44/12</f>
        <v>5.1059282144876254E-13</v>
      </c>
      <c r="EY121" s="24">
        <f t="shared" si="75"/>
        <v>0.64325436212214693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4.5474735088646412E-13</v>
      </c>
      <c r="FF121" s="18">
        <f>FE121*VLOOKUP('Données projet'!$B$16,Paramètres!$A$1:$I$89,3,0)*VLOOKUP('Données projet'!$B$16,Paramètres!$A$1:$I$89,5,0)</f>
        <v>2.1282176021486519E-13</v>
      </c>
      <c r="FG121" s="14">
        <f t="shared" si="101"/>
        <v>2.9281075858910828E-12</v>
      </c>
      <c r="FH121" s="22">
        <f t="shared" si="76"/>
        <v>5.4704519444678596E-12</v>
      </c>
      <c r="FI121" s="62">
        <f t="shared" si="77"/>
        <v>284.61457585678909</v>
      </c>
      <c r="FJ121" s="62">
        <f ca="1">AVERAGE(OFFSET($FI$3,0,0,'Données projet'!$E$16+1,1))-AVERAGE(OFFSET($H$3,0,0,'Données projet'!$E$16+1,1))</f>
        <v>344.55118007058775</v>
      </c>
      <c r="FK121" s="62">
        <f t="shared" si="102"/>
        <v>144.16931602355001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252.60122125520482</v>
      </c>
      <c r="GF121" s="62">
        <f t="shared" si="104"/>
        <v>357.56833754121317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0.89747170596114567</v>
      </c>
      <c r="GN121" s="23">
        <f>EXP(-LN(2)/2)*GN120+(1-EXP(-LN(2)/2))/(LN(2)/2)*GH121*GK121*VLOOKUP('Données projet'!$B$17,Paramètres!$A$1:$I$89,3,0)*0.475*44/12</f>
        <v>9.3898619758231227E-13</v>
      </c>
      <c r="GO121" s="23">
        <f t="shared" si="81"/>
        <v>0.8974717059620847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-1.1368683772161603E-13</v>
      </c>
      <c r="GV121" s="18">
        <f>GU121*VLOOKUP('Données projet'!$B$18,Paramètres!$A$1:$I$89,3,0)*VLOOKUP('Données projet'!$B$18,Paramètres!$A$1:$I$89,5,0)</f>
        <v>-9.2222762759774927E-14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268.57152522489537</v>
      </c>
      <c r="HA121" s="62">
        <f t="shared" si="106"/>
        <v>311.80303557283207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3.75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13.75</v>
      </c>
      <c r="H122" s="70">
        <f t="shared" si="56"/>
        <v>201.66666666666666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2">
        <f t="shared" si="55"/>
        <v>833.92097079241989</v>
      </c>
      <c r="S122" s="62">
        <f ca="1">AVERAGE(OFFSET($R$3,0,0,'Données projet'!$E$9+1,1))-AVERAGE(OFFSET($H$3,0,0,'Données projet'!$E$9+1,1))</f>
        <v>461.02780119093666</v>
      </c>
      <c r="T122" s="62">
        <f t="shared" si="88"/>
        <v>245.70016468438834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280.59999999999945</v>
      </c>
      <c r="AJ122" s="14">
        <f>AI122*VLOOKUP('Données projet'!$B$10,Paramètres!$A$1:$I$89,3,0)*VLOOKUP('Données projet'!$B$10,Paramètres!$A$1:$I$89,5,0)</f>
        <v>236.37743999999955</v>
      </c>
      <c r="AK122" s="14">
        <f t="shared" si="89"/>
        <v>57.659430484223719</v>
      </c>
      <c r="AL122" s="22">
        <f t="shared" si="58"/>
        <v>512.11421609335548</v>
      </c>
      <c r="AM122" s="62">
        <f t="shared" si="59"/>
        <v>796.88004290013578</v>
      </c>
      <c r="AN122" s="62">
        <f ca="1">AVERAGE(OFFSET($AM$3,0,0,'Données projet'!$E$10+1,1))-AVERAGE(OFFSET($H$3,0,0,'Données projet'!$E$10+1,1))</f>
        <v>434.22500776975596</v>
      </c>
      <c r="AO122" s="62">
        <f t="shared" si="90"/>
        <v>232.59777933076705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2.8846153846153841</v>
      </c>
      <c r="BD122" s="13">
        <f>IF('Données projet'!$A$88&gt;35,BD121+BC122-BL121,IF(A122&lt;'Données projet'!$A$88,$BA$205^A122,IF(A122='Données projet'!$A$88,'Données projet'!$B$88,BD121+BC122-BL121)))</f>
        <v>279.16666666666657</v>
      </c>
      <c r="BE122" s="14">
        <f>BD122*VLOOKUP('Données projet'!$B$11,Paramètres!$A$1:$I$89,3,0)*VLOOKUP('Données projet'!$B$11,Paramètres!$A$1:$I$89,5,0)</f>
        <v>265.65499999999992</v>
      </c>
      <c r="BF122" s="14">
        <f t="shared" si="91"/>
        <v>63.926281764798937</v>
      </c>
      <c r="BG122" s="22">
        <f t="shared" si="61"/>
        <v>574.02073240702464</v>
      </c>
      <c r="BH122" s="62">
        <f t="shared" si="62"/>
        <v>858.78655921380482</v>
      </c>
      <c r="BI122" s="62">
        <f ca="1">AVERAGE(OFFSET($BH$3,0,0,'Données projet'!$E$11+1,1))-AVERAGE(OFFSET($H$3,0,0,'Données projet'!$E$11+1,1))</f>
        <v>393.3005580838161</v>
      </c>
      <c r="BJ122" s="62">
        <f t="shared" si="92"/>
        <v>295.86019897822757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-4.5224624045658861E-14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388.52230330563884</v>
      </c>
      <c r="CE122" s="62">
        <f t="shared" si="94"/>
        <v>418.94833960687333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-4.1677594708744434E-14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362.38131866207266</v>
      </c>
      <c r="CZ122" s="62">
        <f t="shared" si="96"/>
        <v>390.74498763200336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8.5265128291212022E-14</v>
      </c>
      <c r="DP122" s="18">
        <f>DO122*VLOOKUP('Données projet'!$B$14,Paramètres!$A$1:$I$89,3,0)*VLOOKUP('Données projet'!$B$14,Paramètres!$A$1:$I$89,5,0)</f>
        <v>7.4487616075202836E-14</v>
      </c>
      <c r="DQ122" s="14">
        <f t="shared" si="97"/>
        <v>1.1580453144473142E-12</v>
      </c>
      <c r="DR122" s="22">
        <f t="shared" si="70"/>
        <v>2.1466615206600508E-12</v>
      </c>
      <c r="DS122" s="62">
        <f t="shared" si="71"/>
        <v>284.7658268067824</v>
      </c>
      <c r="DT122" s="62">
        <f ca="1">AVERAGE(OFFSET($DS$3,0,0,'Données projet'!$E$14+1,1))-AVERAGE(OFFSET($H$3,0,0,'Données projet'!$E$14+1,1))</f>
        <v>334.4692012109935</v>
      </c>
      <c r="DU122" s="62">
        <f t="shared" si="98"/>
        <v>316.360405424036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-3.4106051316484809E-13</v>
      </c>
      <c r="EK122" s="18">
        <f>EJ122*VLOOKUP('Données projet'!$B$15,Paramètres!$A$1:$I$89,3,0)*VLOOKUP('Données projet'!$B$15,Paramètres!$A$1:$I$89,5,0)</f>
        <v>-1.9065282685915009E-13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390.09289316045653</v>
      </c>
      <c r="EP122" s="62">
        <f t="shared" si="100"/>
        <v>364.34913542817617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0.62566453776214348</v>
      </c>
      <c r="EX122" s="23">
        <f>EXP(-LN(2)/2)*EX121+(1-EXP(-LN(2)/2))/(LN(2)/2)*ER122*EU122*VLOOKUP('Données projet'!$B$15,Paramètres!$A$1:$I$89,3,0)*0.475*44/12</f>
        <v>3.6104364647159206E-13</v>
      </c>
      <c r="EY122" s="24">
        <f t="shared" si="75"/>
        <v>0.62566453776250452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4.5474735088646412E-13</v>
      </c>
      <c r="FF122" s="18">
        <f>FE122*VLOOKUP('Données projet'!$B$16,Paramètres!$A$1:$I$89,3,0)*VLOOKUP('Données projet'!$B$16,Paramètres!$A$1:$I$89,5,0)</f>
        <v>2.1282176021486519E-13</v>
      </c>
      <c r="FG122" s="14">
        <f t="shared" si="101"/>
        <v>2.9281075858910828E-12</v>
      </c>
      <c r="FH122" s="22">
        <f t="shared" si="76"/>
        <v>5.4704519444678596E-12</v>
      </c>
      <c r="FI122" s="62">
        <f t="shared" si="77"/>
        <v>284.7658268067857</v>
      </c>
      <c r="FJ122" s="62">
        <f ca="1">AVERAGE(OFFSET($FI$3,0,0,'Données projet'!$E$16+1,1))-AVERAGE(OFFSET($H$3,0,0,'Données projet'!$E$16+1,1))</f>
        <v>344.55118007058775</v>
      </c>
      <c r="FK122" s="62">
        <f t="shared" si="102"/>
        <v>144.16931602355001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252.60122125520482</v>
      </c>
      <c r="GF122" s="62">
        <f t="shared" si="104"/>
        <v>357.56833754121317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0.87293029496565233</v>
      </c>
      <c r="GN122" s="23">
        <f>EXP(-LN(2)/2)*GN121+(1-EXP(-LN(2)/2))/(LN(2)/2)*GH122*GK122*VLOOKUP('Données projet'!$B$17,Paramètres!$A$1:$I$89,3,0)*0.475*44/12</f>
        <v>6.6396350775102437E-13</v>
      </c>
      <c r="GO122" s="23">
        <f t="shared" si="81"/>
        <v>0.87293029496631624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-1.1368683772161603E-13</v>
      </c>
      <c r="GV122" s="18">
        <f>GU122*VLOOKUP('Données projet'!$B$18,Paramètres!$A$1:$I$89,3,0)*VLOOKUP('Données projet'!$B$18,Paramètres!$A$1:$I$89,5,0)</f>
        <v>-9.2222762759774927E-14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268.57152522489537</v>
      </c>
      <c r="HA122" s="62">
        <f t="shared" si="106"/>
        <v>311.80303557283207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3.75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13.75</v>
      </c>
      <c r="H123" s="70">
        <f t="shared" si="56"/>
        <v>201.66666666666666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2">
        <f t="shared" si="55"/>
        <v>840.57197812409913</v>
      </c>
      <c r="S123" s="62">
        <f ca="1">AVERAGE(OFFSET($R$3,0,0,'Données projet'!$E$9+1,1))-AVERAGE(OFFSET($H$3,0,0,'Données projet'!$E$9+1,1))</f>
        <v>461.02780119093666</v>
      </c>
      <c r="T123" s="62">
        <f t="shared" si="88"/>
        <v>245.70016468438834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283.99999999999943</v>
      </c>
      <c r="AJ123" s="14">
        <f>AI123*VLOOKUP('Données projet'!$B$10,Paramètres!$A$1:$I$89,3,0)*VLOOKUP('Données projet'!$B$10,Paramètres!$A$1:$I$89,5,0)</f>
        <v>239.24159999999955</v>
      </c>
      <c r="AK123" s="14">
        <f t="shared" si="89"/>
        <v>58.276326982845731</v>
      </c>
      <c r="AL123" s="22">
        <f t="shared" si="58"/>
        <v>518.17705616178876</v>
      </c>
      <c r="AM123" s="62">
        <f t="shared" si="59"/>
        <v>803.09151005272952</v>
      </c>
      <c r="AN123" s="62">
        <f ca="1">AVERAGE(OFFSET($AM$3,0,0,'Données projet'!$E$10+1,1))-AVERAGE(OFFSET($H$3,0,0,'Données projet'!$E$10+1,1))</f>
        <v>434.22500776975596</v>
      </c>
      <c r="AO123" s="62">
        <f t="shared" si="90"/>
        <v>232.59777933076705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282.05128205128204</v>
      </c>
      <c r="BB123" s="13">
        <f>VLOOKUP(A123,'Données projet'!$A$87:$I$107,9,0)</f>
        <v>2.8846153846153841</v>
      </c>
      <c r="BC123" s="13">
        <f t="array" ref="BC123">INDEX(BB:BB,MIN(IF(ISNUMBER(BB123:BB319),ROW(BB123:BB319),"")))</f>
        <v>2.8846153846153841</v>
      </c>
      <c r="BD123" s="13">
        <f>IF('Données projet'!$A$88&gt;35,BD122+BC123-BL122,IF(A123&lt;'Données projet'!$A$88,$BA$205^A123,IF(A123='Données projet'!$A$88,'Données projet'!$B$88,BD122+BC123-BL122)))</f>
        <v>282.05128205128193</v>
      </c>
      <c r="BE123" s="14">
        <f>BD123*VLOOKUP('Données projet'!$B$11,Paramètres!$A$1:$I$89,3,0)*VLOOKUP('Données projet'!$B$11,Paramètres!$A$1:$I$89,5,0)</f>
        <v>268.39999999999992</v>
      </c>
      <c r="BF123" s="14">
        <f t="shared" si="91"/>
        <v>64.509591536876712</v>
      </c>
      <c r="BG123" s="22">
        <f t="shared" si="61"/>
        <v>579.81753859339335</v>
      </c>
      <c r="BH123" s="62">
        <f t="shared" si="62"/>
        <v>864.73199248433411</v>
      </c>
      <c r="BI123" s="62">
        <f ca="1">AVERAGE(OFFSET($BH$3,0,0,'Données projet'!$E$11+1,1))-AVERAGE(OFFSET($H$3,0,0,'Données projet'!$E$11+1,1))</f>
        <v>393.3005580838161</v>
      </c>
      <c r="BJ123" s="62">
        <f t="shared" si="92"/>
        <v>295.86019897822757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282.05128205128204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-4.5224624045658861E-14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388.52230330563884</v>
      </c>
      <c r="CE123" s="62">
        <f t="shared" si="94"/>
        <v>418.94833960687333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-4.1677594708744434E-14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362.38131866207266</v>
      </c>
      <c r="CZ123" s="62">
        <f t="shared" si="96"/>
        <v>390.74498763200336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8.5265128291212022E-14</v>
      </c>
      <c r="DP123" s="18">
        <f>DO123*VLOOKUP('Données projet'!$B$14,Paramètres!$A$1:$I$89,3,0)*VLOOKUP('Données projet'!$B$14,Paramètres!$A$1:$I$89,5,0)</f>
        <v>7.4487616075202836E-14</v>
      </c>
      <c r="DQ123" s="14">
        <f t="shared" si="97"/>
        <v>1.1580453144473142E-12</v>
      </c>
      <c r="DR123" s="22">
        <f t="shared" si="70"/>
        <v>2.1466615206600508E-12</v>
      </c>
      <c r="DS123" s="62">
        <f t="shared" si="71"/>
        <v>284.91445389094298</v>
      </c>
      <c r="DT123" s="62">
        <f ca="1">AVERAGE(OFFSET($DS$3,0,0,'Données projet'!$E$14+1,1))-AVERAGE(OFFSET($H$3,0,0,'Données projet'!$E$14+1,1))</f>
        <v>334.4692012109935</v>
      </c>
      <c r="DU123" s="62">
        <f t="shared" si="98"/>
        <v>316.360405424036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-3.4106051316484809E-13</v>
      </c>
      <c r="EK123" s="18">
        <f>EJ123*VLOOKUP('Données projet'!$B$15,Paramètres!$A$1:$I$89,3,0)*VLOOKUP('Données projet'!$B$15,Paramètres!$A$1:$I$89,5,0)</f>
        <v>-1.9065282685915009E-13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390.09289316045653</v>
      </c>
      <c r="EP123" s="62">
        <f t="shared" si="100"/>
        <v>364.34913542817617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0.60855570807476955</v>
      </c>
      <c r="EX123" s="23">
        <f>EXP(-LN(2)/2)*EX122+(1-EXP(-LN(2)/2))/(LN(2)/2)*ER123*EU123*VLOOKUP('Données projet'!$B$15,Paramètres!$A$1:$I$89,3,0)*0.475*44/12</f>
        <v>2.5529641072438127E-13</v>
      </c>
      <c r="EY123" s="24">
        <f t="shared" si="75"/>
        <v>0.6085557080750249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4.5474735088646412E-13</v>
      </c>
      <c r="FF123" s="18">
        <f>FE123*VLOOKUP('Données projet'!$B$16,Paramètres!$A$1:$I$89,3,0)*VLOOKUP('Données projet'!$B$16,Paramètres!$A$1:$I$89,5,0)</f>
        <v>2.1282176021486519E-13</v>
      </c>
      <c r="FG123" s="14">
        <f t="shared" si="101"/>
        <v>2.9281075858910828E-12</v>
      </c>
      <c r="FH123" s="22">
        <f t="shared" si="76"/>
        <v>5.4704519444678596E-12</v>
      </c>
      <c r="FI123" s="62">
        <f t="shared" si="77"/>
        <v>284.91445389094628</v>
      </c>
      <c r="FJ123" s="62">
        <f ca="1">AVERAGE(OFFSET($FI$3,0,0,'Données projet'!$E$16+1,1))-AVERAGE(OFFSET($H$3,0,0,'Données projet'!$E$16+1,1))</f>
        <v>344.55118007058775</v>
      </c>
      <c r="FK123" s="62">
        <f t="shared" si="102"/>
        <v>144.16931602355001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252.60122125520482</v>
      </c>
      <c r="GF123" s="62">
        <f t="shared" si="104"/>
        <v>357.56833754121317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0.84905997014440748</v>
      </c>
      <c r="GN123" s="23">
        <f>EXP(-LN(2)/2)*GN122+(1-EXP(-LN(2)/2))/(LN(2)/2)*GH123*GK123*VLOOKUP('Données projet'!$B$17,Paramètres!$A$1:$I$89,3,0)*0.475*44/12</f>
        <v>4.6949309879115614E-13</v>
      </c>
      <c r="GO123" s="23">
        <f t="shared" si="81"/>
        <v>0.849059970144877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-1.1368683772161603E-13</v>
      </c>
      <c r="GV123" s="18">
        <f>GU123*VLOOKUP('Données projet'!$B$18,Paramètres!$A$1:$I$89,3,0)*VLOOKUP('Données projet'!$B$18,Paramètres!$A$1:$I$89,5,0)</f>
        <v>-9.2222762759774927E-14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268.57152522489537</v>
      </c>
      <c r="HA123" s="62">
        <f t="shared" si="106"/>
        <v>311.80303557283207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3.75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13.75</v>
      </c>
      <c r="H124" s="70">
        <f t="shared" si="56"/>
        <v>201.66666666666666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2">
        <f t="shared" si="55"/>
        <v>847.21881335462399</v>
      </c>
      <c r="S124" s="62">
        <f ca="1">AVERAGE(OFFSET($R$3,0,0,'Données projet'!$E$9+1,1))-AVERAGE(OFFSET($H$3,0,0,'Données projet'!$E$9+1,1))</f>
        <v>461.02780119093666</v>
      </c>
      <c r="T124" s="62">
        <f t="shared" si="88"/>
        <v>245.70016468438834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287.39999999999941</v>
      </c>
      <c r="AJ124" s="14">
        <f>AI124*VLOOKUP('Données projet'!$B$10,Paramètres!$A$1:$I$89,3,0)*VLOOKUP('Données projet'!$B$10,Paramètres!$A$1:$I$89,5,0)</f>
        <v>242.10575999999952</v>
      </c>
      <c r="AK124" s="14">
        <f t="shared" si="89"/>
        <v>58.892364400160623</v>
      </c>
      <c r="AL124" s="22">
        <f t="shared" si="58"/>
        <v>524.23839999694553</v>
      </c>
      <c r="AM124" s="62">
        <f t="shared" si="59"/>
        <v>809.29890262441722</v>
      </c>
      <c r="AN124" s="62">
        <f ca="1">AVERAGE(OFFSET($AM$3,0,0,'Données projet'!$E$10+1,1))-AVERAGE(OFFSET($H$3,0,0,'Données projet'!$E$10+1,1))</f>
        <v>434.22500776975596</v>
      </c>
      <c r="AO124" s="62">
        <f t="shared" si="90"/>
        <v>232.59777933076705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-1.0818439477588981E-13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393.3005580838161</v>
      </c>
      <c r="BJ124" s="62">
        <f t="shared" si="92"/>
        <v>295.86019897822757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-4.5224624045658861E-14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388.52230330563884</v>
      </c>
      <c r="CE124" s="62">
        <f t="shared" si="94"/>
        <v>418.94833960687333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-4.1677594708744434E-14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362.38131866207266</v>
      </c>
      <c r="CZ124" s="62">
        <f t="shared" si="96"/>
        <v>390.74498763200336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8.5265128291212022E-14</v>
      </c>
      <c r="DP124" s="18">
        <f>DO124*VLOOKUP('Données projet'!$B$14,Paramètres!$A$1:$I$89,3,0)*VLOOKUP('Données projet'!$B$14,Paramètres!$A$1:$I$89,5,0)</f>
        <v>7.4487616075202836E-14</v>
      </c>
      <c r="DQ124" s="14">
        <f t="shared" si="97"/>
        <v>1.1580453144473142E-12</v>
      </c>
      <c r="DR124" s="22">
        <f t="shared" si="70"/>
        <v>2.1466615206600508E-12</v>
      </c>
      <c r="DS124" s="62">
        <f t="shared" si="71"/>
        <v>285.0605026274738</v>
      </c>
      <c r="DT124" s="62">
        <f ca="1">AVERAGE(OFFSET($DS$3,0,0,'Données projet'!$E$14+1,1))-AVERAGE(OFFSET($H$3,0,0,'Données projet'!$E$14+1,1))</f>
        <v>334.4692012109935</v>
      </c>
      <c r="DU124" s="62">
        <f t="shared" si="98"/>
        <v>316.360405424036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-3.4106051316484809E-13</v>
      </c>
      <c r="EK124" s="18">
        <f>EJ124*VLOOKUP('Données projet'!$B$15,Paramètres!$A$1:$I$89,3,0)*VLOOKUP('Données projet'!$B$15,Paramètres!$A$1:$I$89,5,0)</f>
        <v>-1.9065282685915009E-13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390.09289316045653</v>
      </c>
      <c r="EP124" s="62">
        <f t="shared" si="100"/>
        <v>364.34913542817617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0.59191472023491121</v>
      </c>
      <c r="EX124" s="23">
        <f>EXP(-LN(2)/2)*EX123+(1-EXP(-LN(2)/2))/(LN(2)/2)*ER124*EU124*VLOOKUP('Données projet'!$B$15,Paramètres!$A$1:$I$89,3,0)*0.475*44/12</f>
        <v>1.8052182323579603E-13</v>
      </c>
      <c r="EY124" s="24">
        <f t="shared" si="75"/>
        <v>0.59191472023509173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4.5474735088646412E-13</v>
      </c>
      <c r="FF124" s="18">
        <f>FE124*VLOOKUP('Données projet'!$B$16,Paramètres!$A$1:$I$89,3,0)*VLOOKUP('Données projet'!$B$16,Paramètres!$A$1:$I$89,5,0)</f>
        <v>2.1282176021486519E-13</v>
      </c>
      <c r="FG124" s="14">
        <f t="shared" si="101"/>
        <v>2.9281075858910828E-12</v>
      </c>
      <c r="FH124" s="22">
        <f t="shared" si="76"/>
        <v>5.4704519444678596E-12</v>
      </c>
      <c r="FI124" s="62">
        <f t="shared" si="77"/>
        <v>285.06050262747709</v>
      </c>
      <c r="FJ124" s="62">
        <f ca="1">AVERAGE(OFFSET($FI$3,0,0,'Données projet'!$E$16+1,1))-AVERAGE(OFFSET($H$3,0,0,'Données projet'!$E$16+1,1))</f>
        <v>344.55118007058775</v>
      </c>
      <c r="FK124" s="62">
        <f t="shared" si="102"/>
        <v>144.16931602355001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252.60122125520482</v>
      </c>
      <c r="GF124" s="62">
        <f t="shared" si="104"/>
        <v>357.56833754121317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0.82584238061068538</v>
      </c>
      <c r="GN124" s="23">
        <f>EXP(-LN(2)/2)*GN123+(1-EXP(-LN(2)/2))/(LN(2)/2)*GH124*GK124*VLOOKUP('Données projet'!$B$17,Paramètres!$A$1:$I$89,3,0)*0.475*44/12</f>
        <v>3.3198175387551219E-13</v>
      </c>
      <c r="GO124" s="23">
        <f t="shared" si="81"/>
        <v>0.82584238061101733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-1.1368683772161603E-13</v>
      </c>
      <c r="GV124" s="18">
        <f>GU124*VLOOKUP('Données projet'!$B$18,Paramètres!$A$1:$I$89,3,0)*VLOOKUP('Données projet'!$B$18,Paramètres!$A$1:$I$89,5,0)</f>
        <v>-9.2222762759774927E-14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268.57152522489537</v>
      </c>
      <c r="HA124" s="62">
        <f t="shared" si="106"/>
        <v>311.80303557283207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3.75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13.75</v>
      </c>
      <c r="H125" s="70">
        <f t="shared" si="56"/>
        <v>201.66666666666666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2">
        <f t="shared" si="55"/>
        <v>853.86154224814254</v>
      </c>
      <c r="S125" s="62">
        <f ca="1">AVERAGE(OFFSET($R$3,0,0,'Données projet'!$E$9+1,1))-AVERAGE(OFFSET($H$3,0,0,'Données projet'!$E$9+1,1))</f>
        <v>461.02780119093666</v>
      </c>
      <c r="T125" s="62">
        <f t="shared" si="88"/>
        <v>245.70016468438834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290.79999999999939</v>
      </c>
      <c r="AJ125" s="14">
        <f>AI125*VLOOKUP('Données projet'!$B$10,Paramètres!$A$1:$I$89,3,0)*VLOOKUP('Données projet'!$B$10,Paramètres!$A$1:$I$89,5,0)</f>
        <v>244.96991999999949</v>
      </c>
      <c r="AK125" s="14">
        <f t="shared" si="89"/>
        <v>59.507554074982316</v>
      </c>
      <c r="AL125" s="22">
        <f t="shared" si="58"/>
        <v>530.29826734725987</v>
      </c>
      <c r="AM125" s="62">
        <f t="shared" si="59"/>
        <v>815.5022850921996</v>
      </c>
      <c r="AN125" s="62">
        <f ca="1">AVERAGE(OFFSET($AM$3,0,0,'Données projet'!$E$10+1,1))-AVERAGE(OFFSET($H$3,0,0,'Données projet'!$E$10+1,1))</f>
        <v>434.22500776975596</v>
      </c>
      <c r="AO125" s="62">
        <f t="shared" si="90"/>
        <v>232.59777933076705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-1.0818439477588981E-13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393.3005580838161</v>
      </c>
      <c r="BJ125" s="62">
        <f t="shared" si="92"/>
        <v>295.86019897822757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-4.5224624045658861E-14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388.52230330563884</v>
      </c>
      <c r="CE125" s="62">
        <f t="shared" si="94"/>
        <v>418.94833960687333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-4.1677594708744434E-14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362.38131866207266</v>
      </c>
      <c r="CZ125" s="62">
        <f t="shared" si="96"/>
        <v>390.74498763200336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8.5265128291212022E-14</v>
      </c>
      <c r="DP125" s="18">
        <f>DO125*VLOOKUP('Données projet'!$B$14,Paramètres!$A$1:$I$89,3,0)*VLOOKUP('Données projet'!$B$14,Paramètres!$A$1:$I$89,5,0)</f>
        <v>7.4487616075202836E-14</v>
      </c>
      <c r="DQ125" s="14">
        <f t="shared" si="97"/>
        <v>1.1580453144473142E-12</v>
      </c>
      <c r="DR125" s="22">
        <f t="shared" si="70"/>
        <v>2.1466615206600508E-12</v>
      </c>
      <c r="DS125" s="62">
        <f t="shared" si="71"/>
        <v>285.20401774494184</v>
      </c>
      <c r="DT125" s="62">
        <f ca="1">AVERAGE(OFFSET($DS$3,0,0,'Données projet'!$E$14+1,1))-AVERAGE(OFFSET($H$3,0,0,'Données projet'!$E$14+1,1))</f>
        <v>334.4692012109935</v>
      </c>
      <c r="DU125" s="62">
        <f t="shared" si="98"/>
        <v>316.360405424036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-1.9065282685915009E-13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390.09289316045653</v>
      </c>
      <c r="EP125" s="62">
        <f t="shared" si="100"/>
        <v>364.34913542817617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0.57572878108264525</v>
      </c>
      <c r="EX125" s="23">
        <f>EXP(-LN(2)/2)*EX124+(1-EXP(-LN(2)/2))/(LN(2)/2)*ER125*EU125*VLOOKUP('Données projet'!$B$15,Paramètres!$A$1:$I$89,3,0)*0.475*44/12</f>
        <v>1.2764820536219063E-13</v>
      </c>
      <c r="EY125" s="24">
        <f t="shared" si="75"/>
        <v>0.57572878108277292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4.5474735088646412E-13</v>
      </c>
      <c r="FF125" s="18">
        <f>FE125*VLOOKUP('Données projet'!$B$16,Paramètres!$A$1:$I$89,3,0)*VLOOKUP('Données projet'!$B$16,Paramètres!$A$1:$I$89,5,0)</f>
        <v>2.1282176021486519E-13</v>
      </c>
      <c r="FG125" s="14">
        <f t="shared" si="101"/>
        <v>2.9281075858910828E-12</v>
      </c>
      <c r="FH125" s="22">
        <f t="shared" si="76"/>
        <v>5.4704519444678596E-12</v>
      </c>
      <c r="FI125" s="62">
        <f t="shared" si="77"/>
        <v>285.20401774494513</v>
      </c>
      <c r="FJ125" s="62">
        <f ca="1">AVERAGE(OFFSET($FI$3,0,0,'Données projet'!$E$16+1,1))-AVERAGE(OFFSET($H$3,0,0,'Données projet'!$E$16+1,1))</f>
        <v>344.55118007058775</v>
      </c>
      <c r="FK125" s="62">
        <f t="shared" si="102"/>
        <v>144.16931602355001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252.60122125520482</v>
      </c>
      <c r="GF125" s="62">
        <f t="shared" si="104"/>
        <v>357.56833754121317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0.80325967728372283</v>
      </c>
      <c r="GN125" s="23">
        <f>EXP(-LN(2)/2)*GN124+(1-EXP(-LN(2)/2))/(LN(2)/2)*GH125*GK125*VLOOKUP('Données projet'!$B$17,Paramètres!$A$1:$I$89,3,0)*0.475*44/12</f>
        <v>2.3474654939557807E-13</v>
      </c>
      <c r="GO125" s="23">
        <f t="shared" si="81"/>
        <v>0.80325967728395753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-1.1368683772161603E-13</v>
      </c>
      <c r="GV125" s="18">
        <f>GU125*VLOOKUP('Données projet'!$B$18,Paramètres!$A$1:$I$89,3,0)*VLOOKUP('Données projet'!$B$18,Paramètres!$A$1:$I$89,5,0)</f>
        <v>-9.2222762759774927E-14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268.57152522489537</v>
      </c>
      <c r="HA125" s="62">
        <f t="shared" si="106"/>
        <v>311.80303557283207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3.75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13.75</v>
      </c>
      <c r="H126" s="70">
        <f t="shared" si="56"/>
        <v>201.66666666666666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2">
        <f t="shared" si="55"/>
        <v>860.50022927266241</v>
      </c>
      <c r="S126" s="62">
        <f ca="1">AVERAGE(OFFSET($R$3,0,0,'Données projet'!$E$9+1,1))-AVERAGE(OFFSET($H$3,0,0,'Données projet'!$E$9+1,1))</f>
        <v>461.02780119093666</v>
      </c>
      <c r="T126" s="62">
        <f t="shared" si="88"/>
        <v>245.70016468438834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294.19999999999936</v>
      </c>
      <c r="AJ126" s="14">
        <f>AI126*VLOOKUP('Données projet'!$B$10,Paramètres!$A$1:$I$89,3,0)*VLOOKUP('Données projet'!$B$10,Paramètres!$A$1:$I$89,5,0)</f>
        <v>247.83407999999946</v>
      </c>
      <c r="AK126" s="14">
        <f t="shared" si="89"/>
        <v>60.121907065721118</v>
      </c>
      <c r="AL126" s="22">
        <f t="shared" si="58"/>
        <v>536.35667747279672</v>
      </c>
      <c r="AM126" s="62">
        <f t="shared" si="59"/>
        <v>821.70172066876808</v>
      </c>
      <c r="AN126" s="62">
        <f ca="1">AVERAGE(OFFSET($AM$3,0,0,'Données projet'!$E$10+1,1))-AVERAGE(OFFSET($H$3,0,0,'Données projet'!$E$10+1,1))</f>
        <v>434.22500776975596</v>
      </c>
      <c r="AO126" s="62">
        <f t="shared" si="90"/>
        <v>232.59777933076705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-1.0818439477588981E-13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393.3005580838161</v>
      </c>
      <c r="BJ126" s="62">
        <f t="shared" si="92"/>
        <v>295.86019897822757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-4.5224624045658861E-14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388.52230330563884</v>
      </c>
      <c r="CE126" s="62">
        <f t="shared" si="94"/>
        <v>418.94833960687333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-4.1677594708744434E-14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362.38131866207266</v>
      </c>
      <c r="CZ126" s="62">
        <f t="shared" si="96"/>
        <v>390.74498763200336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8.5265128291212022E-14</v>
      </c>
      <c r="DP126" s="18">
        <f>DO126*VLOOKUP('Données projet'!$B$14,Paramètres!$A$1:$I$89,3,0)*VLOOKUP('Données projet'!$B$14,Paramètres!$A$1:$I$89,5,0)</f>
        <v>7.4487616075202836E-14</v>
      </c>
      <c r="DQ126" s="14">
        <f t="shared" si="97"/>
        <v>1.1580453144473142E-12</v>
      </c>
      <c r="DR126" s="22">
        <f t="shared" si="70"/>
        <v>2.1466615206600508E-12</v>
      </c>
      <c r="DS126" s="62">
        <f t="shared" si="71"/>
        <v>285.34504319597346</v>
      </c>
      <c r="DT126" s="62">
        <f ca="1">AVERAGE(OFFSET($DS$3,0,0,'Données projet'!$E$14+1,1))-AVERAGE(OFFSET($H$3,0,0,'Données projet'!$E$14+1,1))</f>
        <v>334.4692012109935</v>
      </c>
      <c r="DU126" s="62">
        <f t="shared" si="98"/>
        <v>316.360405424036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-1.9065282685915009E-13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390.09289316045653</v>
      </c>
      <c r="EP126" s="62">
        <f t="shared" si="100"/>
        <v>364.34913542817617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0.55998544728767952</v>
      </c>
      <c r="EX126" s="23">
        <f>EXP(-LN(2)/2)*EX125+(1-EXP(-LN(2)/2))/(LN(2)/2)*ER126*EU126*VLOOKUP('Données projet'!$B$15,Paramètres!$A$1:$I$89,3,0)*0.475*44/12</f>
        <v>9.0260911617898016E-14</v>
      </c>
      <c r="EY126" s="24">
        <f t="shared" si="75"/>
        <v>0.55998544728776978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4.5474735088646412E-13</v>
      </c>
      <c r="FF126" s="18">
        <f>FE126*VLOOKUP('Données projet'!$B$16,Paramètres!$A$1:$I$89,3,0)*VLOOKUP('Données projet'!$B$16,Paramètres!$A$1:$I$89,5,0)</f>
        <v>2.1282176021486519E-13</v>
      </c>
      <c r="FG126" s="14">
        <f t="shared" si="101"/>
        <v>2.9281075858910828E-12</v>
      </c>
      <c r="FH126" s="22">
        <f t="shared" si="76"/>
        <v>5.4704519444678596E-12</v>
      </c>
      <c r="FI126" s="62">
        <f t="shared" si="77"/>
        <v>285.34504319597676</v>
      </c>
      <c r="FJ126" s="62">
        <f ca="1">AVERAGE(OFFSET($FI$3,0,0,'Données projet'!$E$16+1,1))-AVERAGE(OFFSET($H$3,0,0,'Données projet'!$E$16+1,1))</f>
        <v>344.55118007058775</v>
      </c>
      <c r="FK126" s="62">
        <f t="shared" si="102"/>
        <v>144.16931602355001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252.60122125520482</v>
      </c>
      <c r="GF126" s="62">
        <f t="shared" si="104"/>
        <v>357.56833754121317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0.78129449916680882</v>
      </c>
      <c r="GN126" s="23">
        <f>EXP(-LN(2)/2)*GN125+(1-EXP(-LN(2)/2))/(LN(2)/2)*GH126*GK126*VLOOKUP('Données projet'!$B$17,Paramètres!$A$1:$I$89,3,0)*0.475*44/12</f>
        <v>1.6599087693775609E-13</v>
      </c>
      <c r="GO126" s="23">
        <f t="shared" si="81"/>
        <v>0.7812944991669748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-1.1368683772161603E-13</v>
      </c>
      <c r="GV126" s="18">
        <f>GU126*VLOOKUP('Données projet'!$B$18,Paramètres!$A$1:$I$89,3,0)*VLOOKUP('Données projet'!$B$18,Paramètres!$A$1:$I$89,5,0)</f>
        <v>-9.2222762759774927E-14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268.57152522489537</v>
      </c>
      <c r="HA126" s="62">
        <f t="shared" si="106"/>
        <v>311.80303557283207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3.75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13.75</v>
      </c>
      <c r="H127" s="70">
        <f t="shared" si="56"/>
        <v>201.66666666666666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2">
        <f t="shared" si="55"/>
        <v>867.13493763223528</v>
      </c>
      <c r="S127" s="62">
        <f ca="1">AVERAGE(OFFSET($R$3,0,0,'Données projet'!$E$9+1,1))-AVERAGE(OFFSET($H$3,0,0,'Données projet'!$E$9+1,1))</f>
        <v>461.02780119093666</v>
      </c>
      <c r="T127" s="62">
        <f t="shared" si="88"/>
        <v>245.70016468438834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297.59999999999934</v>
      </c>
      <c r="AJ127" s="14">
        <f>AI127*VLOOKUP('Données projet'!$B$10,Paramètres!$A$1:$I$89,3,0)*VLOOKUP('Données projet'!$B$10,Paramètres!$A$1:$I$89,5,0)</f>
        <v>250.69823999999949</v>
      </c>
      <c r="AK127" s="14">
        <f t="shared" si="89"/>
        <v>60.735434160476636</v>
      </c>
      <c r="AL127" s="22">
        <f t="shared" si="58"/>
        <v>542.41364916282919</v>
      </c>
      <c r="AM127" s="62">
        <f t="shared" si="59"/>
        <v>827.89727133354245</v>
      </c>
      <c r="AN127" s="62">
        <f ca="1">AVERAGE(OFFSET($AM$3,0,0,'Données projet'!$E$10+1,1))-AVERAGE(OFFSET($H$3,0,0,'Données projet'!$E$10+1,1))</f>
        <v>434.22500776975596</v>
      </c>
      <c r="AO127" s="62">
        <f t="shared" si="90"/>
        <v>232.59777933076705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-1.0818439477588981E-13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393.3005580838161</v>
      </c>
      <c r="BJ127" s="62">
        <f t="shared" si="92"/>
        <v>295.86019897822757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-4.5224624045658861E-14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388.52230330563884</v>
      </c>
      <c r="CE127" s="62">
        <f t="shared" si="94"/>
        <v>418.94833960687333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-4.1677594708744434E-14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362.38131866207266</v>
      </c>
      <c r="CZ127" s="62">
        <f t="shared" si="96"/>
        <v>390.74498763200336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8.5265128291212022E-14</v>
      </c>
      <c r="DP127" s="18">
        <f>DO127*VLOOKUP('Données projet'!$B$14,Paramètres!$A$1:$I$89,3,0)*VLOOKUP('Données projet'!$B$14,Paramètres!$A$1:$I$89,5,0)</f>
        <v>7.4487616075202836E-14</v>
      </c>
      <c r="DQ127" s="14">
        <f t="shared" si="97"/>
        <v>1.1580453144473142E-12</v>
      </c>
      <c r="DR127" s="22">
        <f t="shared" si="70"/>
        <v>2.1466615206600508E-12</v>
      </c>
      <c r="DS127" s="62">
        <f t="shared" si="71"/>
        <v>285.48362217071548</v>
      </c>
      <c r="DT127" s="62">
        <f ca="1">AVERAGE(OFFSET($DS$3,0,0,'Données projet'!$E$14+1,1))-AVERAGE(OFFSET($H$3,0,0,'Données projet'!$E$14+1,1))</f>
        <v>334.4692012109935</v>
      </c>
      <c r="DU127" s="62">
        <f t="shared" si="98"/>
        <v>316.360405424036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-1.9065282685915009E-13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390.09289316045653</v>
      </c>
      <c r="EP127" s="62">
        <f t="shared" si="100"/>
        <v>364.34913542817617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0.54467261578324311</v>
      </c>
      <c r="EX127" s="23">
        <f>EXP(-LN(2)/2)*EX126+(1-EXP(-LN(2)/2))/(LN(2)/2)*ER127*EU127*VLOOKUP('Données projet'!$B$15,Paramètres!$A$1:$I$89,3,0)*0.475*44/12</f>
        <v>6.3824102681095317E-14</v>
      </c>
      <c r="EY127" s="24">
        <f t="shared" si="75"/>
        <v>0.54467261578330695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4.5474735088646412E-13</v>
      </c>
      <c r="FF127" s="18">
        <f>FE127*VLOOKUP('Données projet'!$B$16,Paramètres!$A$1:$I$89,3,0)*VLOOKUP('Données projet'!$B$16,Paramètres!$A$1:$I$89,5,0)</f>
        <v>2.1282176021486519E-13</v>
      </c>
      <c r="FG127" s="14">
        <f t="shared" si="101"/>
        <v>2.9281075858910828E-12</v>
      </c>
      <c r="FH127" s="22">
        <f t="shared" si="76"/>
        <v>5.4704519444678596E-12</v>
      </c>
      <c r="FI127" s="62">
        <f t="shared" si="77"/>
        <v>285.48362217071877</v>
      </c>
      <c r="FJ127" s="62">
        <f ca="1">AVERAGE(OFFSET($FI$3,0,0,'Données projet'!$E$16+1,1))-AVERAGE(OFFSET($H$3,0,0,'Données projet'!$E$16+1,1))</f>
        <v>344.55118007058775</v>
      </c>
      <c r="FK127" s="62">
        <f t="shared" si="102"/>
        <v>144.16931602355001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252.60122125520482</v>
      </c>
      <c r="GF127" s="62">
        <f t="shared" si="104"/>
        <v>357.56833754121317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0.75992996000060042</v>
      </c>
      <c r="GN127" s="23">
        <f>EXP(-LN(2)/2)*GN126+(1-EXP(-LN(2)/2))/(LN(2)/2)*GH127*GK127*VLOOKUP('Données projet'!$B$17,Paramètres!$A$1:$I$89,3,0)*0.475*44/12</f>
        <v>1.1737327469778903E-13</v>
      </c>
      <c r="GO127" s="23">
        <f t="shared" si="81"/>
        <v>0.75992996000071777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-1.1368683772161603E-13</v>
      </c>
      <c r="GV127" s="18">
        <f>GU127*VLOOKUP('Données projet'!$B$18,Paramètres!$A$1:$I$89,3,0)*VLOOKUP('Données projet'!$B$18,Paramètres!$A$1:$I$89,5,0)</f>
        <v>-9.2222762759774927E-14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268.57152522489537</v>
      </c>
      <c r="HA127" s="62">
        <f t="shared" si="106"/>
        <v>311.80303557283207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3.75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13.75</v>
      </c>
      <c r="H128" s="70">
        <f t="shared" si="56"/>
        <v>201.66666666666666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2">
        <f t="shared" si="55"/>
        <v>873.76572929802842</v>
      </c>
      <c r="S128" s="62">
        <f ca="1">AVERAGE(OFFSET($R$3,0,0,'Données projet'!$E$9+1,1))-AVERAGE(OFFSET($H$3,0,0,'Données projet'!$E$9+1,1))</f>
        <v>461.02780119093666</v>
      </c>
      <c r="T128" s="62">
        <f t="shared" si="88"/>
        <v>245.70016468438834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300.99999999999932</v>
      </c>
      <c r="AJ128" s="14">
        <f>AI128*VLOOKUP('Données projet'!$B$10,Paramètres!$A$1:$I$89,3,0)*VLOOKUP('Données projet'!$B$10,Paramètres!$A$1:$I$89,5,0)</f>
        <v>253.56239999999946</v>
      </c>
      <c r="AK128" s="14">
        <f t="shared" si="89"/>
        <v>61.348145886656127</v>
      </c>
      <c r="AL128" s="22">
        <f t="shared" si="58"/>
        <v>548.46920075259175</v>
      </c>
      <c r="AM128" s="62">
        <f t="shared" si="59"/>
        <v>834.08899786265147</v>
      </c>
      <c r="AN128" s="62">
        <f ca="1">AVERAGE(OFFSET($AM$3,0,0,'Données projet'!$E$10+1,1))-AVERAGE(OFFSET($H$3,0,0,'Données projet'!$E$10+1,1))</f>
        <v>434.22500776975596</v>
      </c>
      <c r="AO128" s="62">
        <f t="shared" si="90"/>
        <v>232.59777933076705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-1.0818439477588981E-13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393.3005580838161</v>
      </c>
      <c r="BJ128" s="62">
        <f t="shared" si="92"/>
        <v>295.86019897822757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-4.5224624045658861E-14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388.52230330563884</v>
      </c>
      <c r="CE128" s="62">
        <f t="shared" si="94"/>
        <v>418.94833960687333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-4.1677594708744434E-14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362.38131866207266</v>
      </c>
      <c r="CZ128" s="62">
        <f t="shared" si="96"/>
        <v>390.74498763200336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8.5265128291212022E-14</v>
      </c>
      <c r="DP128" s="18">
        <f>DO128*VLOOKUP('Données projet'!$B$14,Paramètres!$A$1:$I$89,3,0)*VLOOKUP('Données projet'!$B$14,Paramètres!$A$1:$I$89,5,0)</f>
        <v>7.4487616075202836E-14</v>
      </c>
      <c r="DQ128" s="14">
        <f t="shared" si="97"/>
        <v>1.1580453144473142E-12</v>
      </c>
      <c r="DR128" s="22">
        <f t="shared" si="70"/>
        <v>2.1466615206600508E-12</v>
      </c>
      <c r="DS128" s="62">
        <f t="shared" si="71"/>
        <v>285.61979711006188</v>
      </c>
      <c r="DT128" s="62">
        <f ca="1">AVERAGE(OFFSET($DS$3,0,0,'Données projet'!$E$14+1,1))-AVERAGE(OFFSET($H$3,0,0,'Données projet'!$E$14+1,1))</f>
        <v>334.4692012109935</v>
      </c>
      <c r="DU128" s="62">
        <f t="shared" si="98"/>
        <v>316.360405424036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-1.9065282685915009E-13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390.09289316045653</v>
      </c>
      <c r="EP128" s="62">
        <f t="shared" si="100"/>
        <v>364.34913542817617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0.52977851446156232</v>
      </c>
      <c r="EX128" s="23">
        <f>EXP(-LN(2)/2)*EX127+(1-EXP(-LN(2)/2))/(LN(2)/2)*ER128*EU128*VLOOKUP('Données projet'!$B$15,Paramètres!$A$1:$I$89,3,0)*0.475*44/12</f>
        <v>4.5130455808949008E-14</v>
      </c>
      <c r="EY128" s="24">
        <f t="shared" si="75"/>
        <v>0.5297785144616074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4.5474735088646412E-13</v>
      </c>
      <c r="FF128" s="18">
        <f>FE128*VLOOKUP('Données projet'!$B$16,Paramètres!$A$1:$I$89,3,0)*VLOOKUP('Données projet'!$B$16,Paramètres!$A$1:$I$89,5,0)</f>
        <v>2.1282176021486519E-13</v>
      </c>
      <c r="FG128" s="14">
        <f t="shared" si="101"/>
        <v>2.9281075858910828E-12</v>
      </c>
      <c r="FH128" s="22">
        <f t="shared" si="76"/>
        <v>5.4704519444678596E-12</v>
      </c>
      <c r="FI128" s="62">
        <f t="shared" si="77"/>
        <v>285.61979711006518</v>
      </c>
      <c r="FJ128" s="62">
        <f ca="1">AVERAGE(OFFSET($FI$3,0,0,'Données projet'!$E$16+1,1))-AVERAGE(OFFSET($H$3,0,0,'Données projet'!$E$16+1,1))</f>
        <v>344.55118007058775</v>
      </c>
      <c r="FK128" s="62">
        <f t="shared" si="102"/>
        <v>144.16931602355001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252.60122125520482</v>
      </c>
      <c r="GF128" s="62">
        <f t="shared" si="104"/>
        <v>357.56833754121317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0.7391496352814042</v>
      </c>
      <c r="GN128" s="23">
        <f>EXP(-LN(2)/2)*GN127+(1-EXP(-LN(2)/2))/(LN(2)/2)*GH128*GK128*VLOOKUP('Données projet'!$B$17,Paramètres!$A$1:$I$89,3,0)*0.475*44/12</f>
        <v>8.2995438468878046E-14</v>
      </c>
      <c r="GO128" s="23">
        <f t="shared" si="81"/>
        <v>0.73914963528148725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-1.1368683772161603E-13</v>
      </c>
      <c r="GV128" s="18">
        <f>GU128*VLOOKUP('Données projet'!$B$18,Paramètres!$A$1:$I$89,3,0)*VLOOKUP('Données projet'!$B$18,Paramètres!$A$1:$I$89,5,0)</f>
        <v>-9.2222762759774927E-14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268.57152522489537</v>
      </c>
      <c r="HA128" s="62">
        <f t="shared" si="106"/>
        <v>311.80303557283207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3.75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13.75</v>
      </c>
      <c r="H129" s="70">
        <f t="shared" si="56"/>
        <v>201.66666666666666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2">
        <f t="shared" si="55"/>
        <v>816.54029938331223</v>
      </c>
      <c r="S129" s="62">
        <f ca="1">AVERAGE(OFFSET($R$3,0,0,'Données projet'!$E$9+1,1))-AVERAGE(OFFSET($H$3,0,0,'Données projet'!$E$9+1,1))</f>
        <v>461.02780119093666</v>
      </c>
      <c r="T129" s="62">
        <f t="shared" si="88"/>
        <v>245.70016468438834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270.99999999999932</v>
      </c>
      <c r="AJ129" s="14">
        <f>AI129*VLOOKUP('Données projet'!$B$10,Paramètres!$A$1:$I$89,3,0)*VLOOKUP('Données projet'!$B$10,Paramètres!$A$1:$I$89,5,0)</f>
        <v>228.29039999999944</v>
      </c>
      <c r="AK129" s="14">
        <f t="shared" si="89"/>
        <v>55.912865682480216</v>
      </c>
      <c r="AL129" s="22">
        <f t="shared" si="58"/>
        <v>494.98735439698538</v>
      </c>
      <c r="AM129" s="62">
        <f t="shared" si="59"/>
        <v>780.74096411563539</v>
      </c>
      <c r="AN129" s="62">
        <f ca="1">AVERAGE(OFFSET($AM$3,0,0,'Données projet'!$E$10+1,1))-AVERAGE(OFFSET($H$3,0,0,'Données projet'!$E$10+1,1))</f>
        <v>434.22500776975596</v>
      </c>
      <c r="AO129" s="62">
        <f t="shared" si="90"/>
        <v>232.59777933076705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-1.0818439477588981E-13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393.3005580838161</v>
      </c>
      <c r="BJ129" s="62">
        <f t="shared" si="92"/>
        <v>295.86019897822757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-4.5224624045658861E-14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388.52230330563884</v>
      </c>
      <c r="CE129" s="62">
        <f t="shared" si="94"/>
        <v>418.94833960687333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-4.1677594708744434E-14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362.38131866207266</v>
      </c>
      <c r="CZ129" s="62">
        <f t="shared" si="96"/>
        <v>390.74498763200336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8.5265128291212022E-14</v>
      </c>
      <c r="DP129" s="18">
        <f>DO129*VLOOKUP('Données projet'!$B$14,Paramètres!$A$1:$I$89,3,0)*VLOOKUP('Données projet'!$B$14,Paramètres!$A$1:$I$89,5,0)</f>
        <v>7.4487616075202836E-14</v>
      </c>
      <c r="DQ129" s="14">
        <f t="shared" si="97"/>
        <v>1.1580453144473142E-12</v>
      </c>
      <c r="DR129" s="22">
        <f t="shared" si="70"/>
        <v>2.1466615206600508E-12</v>
      </c>
      <c r="DS129" s="62">
        <f t="shared" si="71"/>
        <v>285.75360971865217</v>
      </c>
      <c r="DT129" s="62">
        <f ca="1">AVERAGE(OFFSET($DS$3,0,0,'Données projet'!$E$14+1,1))-AVERAGE(OFFSET($H$3,0,0,'Données projet'!$E$14+1,1))</f>
        <v>334.4692012109935</v>
      </c>
      <c r="DU129" s="62">
        <f t="shared" si="98"/>
        <v>316.360405424036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-1.9065282685915009E-13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390.09289316045653</v>
      </c>
      <c r="EP129" s="62">
        <f t="shared" si="100"/>
        <v>364.34913542817617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0.51529169312376966</v>
      </c>
      <c r="EX129" s="23">
        <f>EXP(-LN(2)/2)*EX128+(1-EXP(-LN(2)/2))/(LN(2)/2)*ER129*EU129*VLOOKUP('Données projet'!$B$15,Paramètres!$A$1:$I$89,3,0)*0.475*44/12</f>
        <v>3.1912051340547658E-14</v>
      </c>
      <c r="EY129" s="24">
        <f t="shared" si="75"/>
        <v>0.51529169312380152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4.5474735088646412E-13</v>
      </c>
      <c r="FF129" s="18">
        <f>FE129*VLOOKUP('Données projet'!$B$16,Paramètres!$A$1:$I$89,3,0)*VLOOKUP('Données projet'!$B$16,Paramètres!$A$1:$I$89,5,0)</f>
        <v>2.1282176021486519E-13</v>
      </c>
      <c r="FG129" s="14">
        <f t="shared" si="101"/>
        <v>2.9281075858910828E-12</v>
      </c>
      <c r="FH129" s="22">
        <f t="shared" si="76"/>
        <v>5.4704519444678596E-12</v>
      </c>
      <c r="FI129" s="62">
        <f t="shared" si="77"/>
        <v>285.75360971865547</v>
      </c>
      <c r="FJ129" s="62">
        <f ca="1">AVERAGE(OFFSET($FI$3,0,0,'Données projet'!$E$16+1,1))-AVERAGE(OFFSET($H$3,0,0,'Données projet'!$E$16+1,1))</f>
        <v>344.55118007058775</v>
      </c>
      <c r="FK129" s="62">
        <f t="shared" si="102"/>
        <v>144.16931602355001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252.60122125520482</v>
      </c>
      <c r="GF129" s="62">
        <f t="shared" si="104"/>
        <v>357.56833754121317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0.71893754963444423</v>
      </c>
      <c r="GN129" s="23">
        <f>EXP(-LN(2)/2)*GN128+(1-EXP(-LN(2)/2))/(LN(2)/2)*GH129*GK129*VLOOKUP('Données projet'!$B$17,Paramètres!$A$1:$I$89,3,0)*0.475*44/12</f>
        <v>5.8686637348894517E-14</v>
      </c>
      <c r="GO129" s="23">
        <f t="shared" si="81"/>
        <v>0.71893754963450296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-1.1368683772161603E-13</v>
      </c>
      <c r="GV129" s="18">
        <f>GU129*VLOOKUP('Données projet'!$B$18,Paramètres!$A$1:$I$89,3,0)*VLOOKUP('Données projet'!$B$18,Paramètres!$A$1:$I$89,5,0)</f>
        <v>-9.2222762759774927E-14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268.57152522489537</v>
      </c>
      <c r="HA129" s="62">
        <f t="shared" si="106"/>
        <v>311.80303557283207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3.75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13.75</v>
      </c>
      <c r="H130" s="70">
        <f t="shared" si="56"/>
        <v>201.66666666666666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2">
        <f t="shared" si="55"/>
        <v>822.41334637379146</v>
      </c>
      <c r="S130" s="62">
        <f ca="1">AVERAGE(OFFSET($R$3,0,0,'Données projet'!$E$9+1,1))-AVERAGE(OFFSET($H$3,0,0,'Données projet'!$E$9+1,1))</f>
        <v>461.02780119093666</v>
      </c>
      <c r="T130" s="62">
        <f t="shared" si="88"/>
        <v>245.70016468438834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273.99999999999932</v>
      </c>
      <c r="AJ130" s="14">
        <f>AI130*VLOOKUP('Données projet'!$B$10,Paramètres!$A$1:$I$89,3,0)*VLOOKUP('Données projet'!$B$10,Paramètres!$A$1:$I$89,5,0)</f>
        <v>230.81759999999943</v>
      </c>
      <c r="AK130" s="14">
        <f t="shared" si="89"/>
        <v>56.45942924032579</v>
      </c>
      <c r="AL130" s="22">
        <f t="shared" si="58"/>
        <v>500.3408259268997</v>
      </c>
      <c r="AM130" s="62">
        <f t="shared" si="59"/>
        <v>786.22592690454098</v>
      </c>
      <c r="AN130" s="62">
        <f ca="1">AVERAGE(OFFSET($AM$3,0,0,'Données projet'!$E$10+1,1))-AVERAGE(OFFSET($H$3,0,0,'Données projet'!$E$10+1,1))</f>
        <v>434.22500776975596</v>
      </c>
      <c r="AO130" s="62">
        <f t="shared" si="90"/>
        <v>232.59777933076705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-1.0818439477588981E-13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393.3005580838161</v>
      </c>
      <c r="BJ130" s="62">
        <f t="shared" si="92"/>
        <v>295.86019897822757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-4.5224624045658861E-14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388.52230330563884</v>
      </c>
      <c r="CE130" s="62">
        <f t="shared" si="94"/>
        <v>418.94833960687333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-4.1677594708744434E-14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362.38131866207266</v>
      </c>
      <c r="CZ130" s="62">
        <f t="shared" si="96"/>
        <v>390.74498763200336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8.5265128291212022E-14</v>
      </c>
      <c r="DP130" s="18">
        <f>DO130*VLOOKUP('Données projet'!$B$14,Paramètres!$A$1:$I$89,3,0)*VLOOKUP('Données projet'!$B$14,Paramètres!$A$1:$I$89,5,0)</f>
        <v>7.4487616075202836E-14</v>
      </c>
      <c r="DQ130" s="14">
        <f t="shared" si="97"/>
        <v>1.1580453144473142E-12</v>
      </c>
      <c r="DR130" s="22">
        <f t="shared" si="70"/>
        <v>2.1466615206600508E-12</v>
      </c>
      <c r="DS130" s="62">
        <f t="shared" si="71"/>
        <v>285.8851009776435</v>
      </c>
      <c r="DT130" s="62">
        <f ca="1">AVERAGE(OFFSET($DS$3,0,0,'Données projet'!$E$14+1,1))-AVERAGE(OFFSET($H$3,0,0,'Données projet'!$E$14+1,1))</f>
        <v>334.4692012109935</v>
      </c>
      <c r="DU130" s="62">
        <f t="shared" si="98"/>
        <v>316.360405424036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-1.9065282685915009E-13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390.09289316045653</v>
      </c>
      <c r="EP130" s="62">
        <f t="shared" si="100"/>
        <v>364.34913542817617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0.50120101467728773</v>
      </c>
      <c r="EX130" s="23">
        <f>EXP(-LN(2)/2)*EX129+(1-EXP(-LN(2)/2))/(LN(2)/2)*ER130*EU130*VLOOKUP('Données projet'!$B$15,Paramètres!$A$1:$I$89,3,0)*0.475*44/12</f>
        <v>2.2565227904474504E-14</v>
      </c>
      <c r="EY130" s="24">
        <f t="shared" si="75"/>
        <v>0.50120101467731026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4.5474735088646412E-13</v>
      </c>
      <c r="FF130" s="18">
        <f>FE130*VLOOKUP('Données projet'!$B$16,Paramètres!$A$1:$I$89,3,0)*VLOOKUP('Données projet'!$B$16,Paramètres!$A$1:$I$89,5,0)</f>
        <v>2.1282176021486519E-13</v>
      </c>
      <c r="FG130" s="14">
        <f t="shared" si="101"/>
        <v>2.9281075858910828E-12</v>
      </c>
      <c r="FH130" s="22">
        <f t="shared" si="76"/>
        <v>5.4704519444678596E-12</v>
      </c>
      <c r="FI130" s="62">
        <f t="shared" si="77"/>
        <v>285.8851009776468</v>
      </c>
      <c r="FJ130" s="62">
        <f ca="1">AVERAGE(OFFSET($FI$3,0,0,'Données projet'!$E$16+1,1))-AVERAGE(OFFSET($H$3,0,0,'Données projet'!$E$16+1,1))</f>
        <v>344.55118007058775</v>
      </c>
      <c r="FK130" s="62">
        <f t="shared" si="102"/>
        <v>144.16931602355001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252.60122125520482</v>
      </c>
      <c r="GF130" s="62">
        <f t="shared" si="104"/>
        <v>357.56833754121317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0.69927816453240776</v>
      </c>
      <c r="GN130" s="23">
        <f>EXP(-LN(2)/2)*GN129+(1-EXP(-LN(2)/2))/(LN(2)/2)*GH130*GK130*VLOOKUP('Données projet'!$B$17,Paramètres!$A$1:$I$89,3,0)*0.475*44/12</f>
        <v>4.1497719234439023E-14</v>
      </c>
      <c r="GO130" s="23">
        <f t="shared" si="81"/>
        <v>0.69927816453244929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-1.1368683772161603E-13</v>
      </c>
      <c r="GV130" s="18">
        <f>GU130*VLOOKUP('Données projet'!$B$18,Paramètres!$A$1:$I$89,3,0)*VLOOKUP('Données projet'!$B$18,Paramètres!$A$1:$I$89,5,0)</f>
        <v>-9.2222762759774927E-14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268.57152522489537</v>
      </c>
      <c r="HA130" s="62">
        <f t="shared" si="106"/>
        <v>311.80303557283207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3.75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13.75</v>
      </c>
      <c r="H131" s="70">
        <f t="shared" si="56"/>
        <v>201.66666666666666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828.2828208167623</v>
      </c>
      <c r="S131" s="62">
        <f ca="1">AVERAGE(OFFSET($R$3,0,0,'Données projet'!$E$9+1,1))-AVERAGE(OFFSET($H$3,0,0,'Données projet'!$E$9+1,1))</f>
        <v>461.02780119093666</v>
      </c>
      <c r="T131" s="62">
        <f t="shared" si="88"/>
        <v>245.70016468438834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276.99999999999932</v>
      </c>
      <c r="AJ131" s="14">
        <f>AI131*VLOOKUP('Données projet'!$B$10,Paramètres!$A$1:$I$89,3,0)*VLOOKUP('Données projet'!$B$10,Paramètres!$A$1:$I$89,5,0)</f>
        <v>233.34479999999945</v>
      </c>
      <c r="AK131" s="14">
        <f t="shared" si="89"/>
        <v>57.005296657823202</v>
      </c>
      <c r="AL131" s="22">
        <f t="shared" si="58"/>
        <v>505.69308501237447</v>
      </c>
      <c r="AM131" s="62">
        <f t="shared" si="59"/>
        <v>791.70739616963419</v>
      </c>
      <c r="AN131" s="62">
        <f ca="1">AVERAGE(OFFSET($AM$3,0,0,'Données projet'!$E$10+1,1))-AVERAGE(OFFSET($H$3,0,0,'Données projet'!$E$10+1,1))</f>
        <v>434.22500776975596</v>
      </c>
      <c r="AO131" s="62">
        <f t="shared" si="90"/>
        <v>232.59777933076705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-1.0818439477588981E-13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393.3005580838161</v>
      </c>
      <c r="BJ131" s="62">
        <f t="shared" si="92"/>
        <v>295.86019897822757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-4.5224624045658861E-14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388.52230330563884</v>
      </c>
      <c r="CE131" s="62">
        <f t="shared" si="94"/>
        <v>418.94833960687333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-4.1677594708744434E-14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362.38131866207266</v>
      </c>
      <c r="CZ131" s="62">
        <f t="shared" si="96"/>
        <v>390.74498763200336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8.5265128291212022E-14</v>
      </c>
      <c r="DP131" s="18">
        <f>DO131*VLOOKUP('Données projet'!$B$14,Paramètres!$A$1:$I$89,3,0)*VLOOKUP('Données projet'!$B$14,Paramètres!$A$1:$I$89,5,0)</f>
        <v>7.4487616075202836E-14</v>
      </c>
      <c r="DQ131" s="14">
        <f t="shared" si="97"/>
        <v>1.1580453144473142E-12</v>
      </c>
      <c r="DR131" s="22">
        <f t="shared" si="70"/>
        <v>2.1466615206600508E-12</v>
      </c>
      <c r="DS131" s="62">
        <f t="shared" si="71"/>
        <v>286.01431115726183</v>
      </c>
      <c r="DT131" s="62">
        <f ca="1">AVERAGE(OFFSET($DS$3,0,0,'Données projet'!$E$14+1,1))-AVERAGE(OFFSET($H$3,0,0,'Données projet'!$E$14+1,1))</f>
        <v>334.4692012109935</v>
      </c>
      <c r="DU131" s="62">
        <f t="shared" si="98"/>
        <v>316.360405424036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-1.9065282685915009E-13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390.09289316045653</v>
      </c>
      <c r="EP131" s="62">
        <f t="shared" si="100"/>
        <v>364.34913542817617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0.48749564657392142</v>
      </c>
      <c r="EX131" s="23">
        <f>EXP(-LN(2)/2)*EX130+(1-EXP(-LN(2)/2))/(LN(2)/2)*ER131*EU131*VLOOKUP('Données projet'!$B$15,Paramètres!$A$1:$I$89,3,0)*0.475*44/12</f>
        <v>1.5956025670273829E-14</v>
      </c>
      <c r="EY131" s="24">
        <f t="shared" si="75"/>
        <v>0.48749564657393735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4.5474735088646412E-13</v>
      </c>
      <c r="FF131" s="18">
        <f>FE131*VLOOKUP('Données projet'!$B$16,Paramètres!$A$1:$I$89,3,0)*VLOOKUP('Données projet'!$B$16,Paramètres!$A$1:$I$89,5,0)</f>
        <v>2.1282176021486519E-13</v>
      </c>
      <c r="FG131" s="14">
        <f t="shared" si="101"/>
        <v>2.9281075858910828E-12</v>
      </c>
      <c r="FH131" s="22">
        <f t="shared" si="76"/>
        <v>5.4704519444678596E-12</v>
      </c>
      <c r="FI131" s="62">
        <f t="shared" si="77"/>
        <v>286.01431115726513</v>
      </c>
      <c r="FJ131" s="62">
        <f ca="1">AVERAGE(OFFSET($FI$3,0,0,'Données projet'!$E$16+1,1))-AVERAGE(OFFSET($H$3,0,0,'Données projet'!$E$16+1,1))</f>
        <v>344.55118007058775</v>
      </c>
      <c r="FK131" s="62">
        <f t="shared" si="102"/>
        <v>144.16931602355001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252.60122125520482</v>
      </c>
      <c r="GF131" s="62">
        <f t="shared" si="104"/>
        <v>357.56833754121317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0.68015636634982868</v>
      </c>
      <c r="GN131" s="23">
        <f>EXP(-LN(2)/2)*GN130+(1-EXP(-LN(2)/2))/(LN(2)/2)*GH131*GK131*VLOOKUP('Données projet'!$B$17,Paramètres!$A$1:$I$89,3,0)*0.475*44/12</f>
        <v>2.9343318674447259E-14</v>
      </c>
      <c r="GO131" s="23">
        <f t="shared" si="81"/>
        <v>0.68015636634985799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-1.1368683772161603E-13</v>
      </c>
      <c r="GV131" s="18">
        <f>GU131*VLOOKUP('Données projet'!$B$18,Paramètres!$A$1:$I$89,3,0)*VLOOKUP('Données projet'!$B$18,Paramètres!$A$1:$I$89,5,0)</f>
        <v>-9.2222762759774927E-14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268.57152522489537</v>
      </c>
      <c r="HA131" s="62">
        <f t="shared" si="106"/>
        <v>311.80303557283207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3.75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13.75</v>
      </c>
      <c r="H132" s="70">
        <f t="shared" ref="H132:H195" si="110">(B132+E132+F132)*44/12+(C132+D132)*0.475*44/12</f>
        <v>201.66666666666666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2">
        <f t="shared" si="109"/>
        <v>834.14877788973581</v>
      </c>
      <c r="S132" s="62">
        <f ca="1">AVERAGE(OFFSET($R$3,0,0,'Données projet'!$E$9+1,1))-AVERAGE(OFFSET($H$3,0,0,'Données projet'!$E$9+1,1))</f>
        <v>461.02780119093666</v>
      </c>
      <c r="T132" s="62">
        <f t="shared" si="88"/>
        <v>245.70016468438834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279.99999999999932</v>
      </c>
      <c r="AJ132" s="14">
        <f>AI132*VLOOKUP('Données projet'!$B$10,Paramètres!$A$1:$I$89,3,0)*VLOOKUP('Données projet'!$B$10,Paramètres!$A$1:$I$89,5,0)</f>
        <v>235.87199999999945</v>
      </c>
      <c r="AK132" s="14">
        <f t="shared" si="89"/>
        <v>57.55047634701517</v>
      </c>
      <c r="AL132" s="22">
        <f t="shared" ref="AL132:AL153" si="112">(AJ132+AK132)*0.475*44/12</f>
        <v>511.04414630438373</v>
      </c>
      <c r="AM132" s="62">
        <f t="shared" ref="AM132:AM195" si="113">AL132+(AD132+AE132)*44/12</f>
        <v>797.1854261335161</v>
      </c>
      <c r="AN132" s="62">
        <f ca="1">AVERAGE(OFFSET($AM$3,0,0,'Données projet'!$E$10+1,1))-AVERAGE(OFFSET($H$3,0,0,'Données projet'!$E$10+1,1))</f>
        <v>434.22500776975596</v>
      </c>
      <c r="AO132" s="62">
        <f t="shared" si="90"/>
        <v>232.59777933076705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-1.0818439477588981E-13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393.3005580838161</v>
      </c>
      <c r="BJ132" s="62">
        <f t="shared" si="92"/>
        <v>295.86019897822757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-4.5224624045658861E-14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388.52230330563884</v>
      </c>
      <c r="CE132" s="62">
        <f t="shared" si="94"/>
        <v>418.94833960687333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-4.1677594708744434E-14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362.38131866207266</v>
      </c>
      <c r="CZ132" s="62">
        <f t="shared" si="96"/>
        <v>390.74498763200336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8.5265128291212022E-14</v>
      </c>
      <c r="DP132" s="18">
        <f>DO132*VLOOKUP('Données projet'!$B$14,Paramètres!$A$1:$I$89,3,0)*VLOOKUP('Données projet'!$B$14,Paramètres!$A$1:$I$89,5,0)</f>
        <v>7.4487616075202836E-14</v>
      </c>
      <c r="DQ132" s="14">
        <f t="shared" si="97"/>
        <v>1.1580453144473142E-12</v>
      </c>
      <c r="DR132" s="22">
        <f t="shared" ref="DR132:DR153" si="124">(DP132+DQ132)*0.475*44/12</f>
        <v>2.1466615206600508E-12</v>
      </c>
      <c r="DS132" s="62">
        <f t="shared" ref="DS132:DS195" si="125">DR132+(DJ132+DK132)*44/12</f>
        <v>286.14127982913448</v>
      </c>
      <c r="DT132" s="62">
        <f ca="1">AVERAGE(OFFSET($DS$3,0,0,'Données projet'!$E$14+1,1))-AVERAGE(OFFSET($H$3,0,0,'Données projet'!$E$14+1,1))</f>
        <v>334.4692012109935</v>
      </c>
      <c r="DU132" s="62">
        <f t="shared" si="98"/>
        <v>316.360405424036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-1.9065282685915009E-13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390.09289316045653</v>
      </c>
      <c r="EP132" s="62">
        <f t="shared" si="100"/>
        <v>364.34913542817617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0.47416505248207569</v>
      </c>
      <c r="EX132" s="23">
        <f>EXP(-LN(2)/2)*EX131+(1-EXP(-LN(2)/2))/(LN(2)/2)*ER132*EU132*VLOOKUP('Données projet'!$B$15,Paramètres!$A$1:$I$89,3,0)*0.475*44/12</f>
        <v>1.1282613952237252E-14</v>
      </c>
      <c r="EY132" s="24">
        <f t="shared" ref="EY132:EY153" si="129">SUM(EV132:EX132)</f>
        <v>0.47416505248208696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4.5474735088646412E-13</v>
      </c>
      <c r="FF132" s="18">
        <f>FE132*VLOOKUP('Données projet'!$B$16,Paramètres!$A$1:$I$89,3,0)*VLOOKUP('Données projet'!$B$16,Paramètres!$A$1:$I$89,5,0)</f>
        <v>2.1282176021486519E-13</v>
      </c>
      <c r="FG132" s="14">
        <f t="shared" si="101"/>
        <v>2.9281075858910828E-12</v>
      </c>
      <c r="FH132" s="22">
        <f t="shared" ref="FH132:FH153" si="130">(FF132+FG132)*0.475*44/12</f>
        <v>5.4704519444678596E-12</v>
      </c>
      <c r="FI132" s="62">
        <f t="shared" ref="FI132:FI195" si="131">FH132+(EZ132+FA132)*44/12</f>
        <v>286.14127982913777</v>
      </c>
      <c r="FJ132" s="62">
        <f ca="1">AVERAGE(OFFSET($FI$3,0,0,'Données projet'!$E$16+1,1))-AVERAGE(OFFSET($H$3,0,0,'Données projet'!$E$16+1,1))</f>
        <v>344.55118007058775</v>
      </c>
      <c r="FK132" s="62">
        <f t="shared" si="102"/>
        <v>144.16931602355001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252.60122125520482</v>
      </c>
      <c r="GF132" s="62">
        <f t="shared" si="104"/>
        <v>357.56833754121317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0.66155745474412386</v>
      </c>
      <c r="GN132" s="23">
        <f>EXP(-LN(2)/2)*GN131+(1-EXP(-LN(2)/2))/(LN(2)/2)*GH132*GK132*VLOOKUP('Données projet'!$B$17,Paramètres!$A$1:$I$89,3,0)*0.475*44/12</f>
        <v>2.0748859617219512E-14</v>
      </c>
      <c r="GO132" s="23">
        <f t="shared" ref="GO132:GO153" si="135">SUM(GL132:GN132)</f>
        <v>0.66155745474414462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-1.1368683772161603E-13</v>
      </c>
      <c r="GV132" s="18">
        <f>GU132*VLOOKUP('Données projet'!$B$18,Paramètres!$A$1:$I$89,3,0)*VLOOKUP('Données projet'!$B$18,Paramètres!$A$1:$I$89,5,0)</f>
        <v>-9.2222762759774927E-14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268.57152522489537</v>
      </c>
      <c r="HA132" s="62">
        <f t="shared" si="106"/>
        <v>311.80303557283207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3.75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13.75</v>
      </c>
      <c r="H133" s="70">
        <f t="shared" si="110"/>
        <v>201.66666666666666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2">
        <f t="shared" si="109"/>
        <v>840.01127173006944</v>
      </c>
      <c r="S133" s="62">
        <f ca="1">AVERAGE(OFFSET($R$3,0,0,'Données projet'!$E$9+1,1))-AVERAGE(OFFSET($H$3,0,0,'Données projet'!$E$9+1,1))</f>
        <v>461.02780119093666</v>
      </c>
      <c r="T133" s="62">
        <f t="shared" ref="T133:T196" si="142">$T$3</f>
        <v>245.70016468438834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282.99999999999932</v>
      </c>
      <c r="AJ133" s="14">
        <f>AI133*VLOOKUP('Données projet'!$B$10,Paramètres!$A$1:$I$89,3,0)*VLOOKUP('Données projet'!$B$10,Paramètres!$A$1:$I$89,5,0)</f>
        <v>238.39919999999947</v>
      </c>
      <c r="AK133" s="14">
        <f t="shared" ref="AK133:AK153" si="143">EXP(-1.0587+0.8836*LN(AJ133)+0.284)</f>
        <v>58.094976529303253</v>
      </c>
      <c r="AL133" s="22">
        <f t="shared" si="112"/>
        <v>516.39402412186882</v>
      </c>
      <c r="AM133" s="62">
        <f t="shared" si="113"/>
        <v>802.66007000027616</v>
      </c>
      <c r="AN133" s="62">
        <f ca="1">AVERAGE(OFFSET($AM$3,0,0,'Données projet'!$E$10+1,1))-AVERAGE(OFFSET($H$3,0,0,'Données projet'!$E$10+1,1))</f>
        <v>434.22500776975596</v>
      </c>
      <c r="AO133" s="62">
        <f t="shared" ref="AO133:AO196" si="144">$AO$3</f>
        <v>232.59777933076705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-1.0818439477588981E-13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393.3005580838161</v>
      </c>
      <c r="BJ133" s="62">
        <f t="shared" ref="BJ133:BJ196" si="146">$BJ$3</f>
        <v>295.86019897822757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-4.5224624045658861E-14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388.52230330563884</v>
      </c>
      <c r="CE133" s="62">
        <f t="shared" ref="CE133:CE196" si="148">$CE$3</f>
        <v>418.94833960687333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-4.1677594708744434E-14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362.38131866207266</v>
      </c>
      <c r="CZ133" s="62">
        <f t="shared" ref="CZ133:CZ196" si="150">$CZ$3</f>
        <v>390.74498763200336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8.5265128291212022E-14</v>
      </c>
      <c r="DP133" s="18">
        <f>DO133*VLOOKUP('Données projet'!$B$14,Paramètres!$A$1:$I$89,3,0)*VLOOKUP('Données projet'!$B$14,Paramètres!$A$1:$I$89,5,0)</f>
        <v>7.4487616075202836E-14</v>
      </c>
      <c r="DQ133" s="14">
        <f t="shared" ref="DQ133:DQ153" si="151">EXP(-1.0587+0.8836*LN(DP133)+0.284)</f>
        <v>1.1580453144473142E-12</v>
      </c>
      <c r="DR133" s="22">
        <f t="shared" si="124"/>
        <v>2.1466615206600508E-12</v>
      </c>
      <c r="DS133" s="62">
        <f t="shared" si="125"/>
        <v>286.26604587840956</v>
      </c>
      <c r="DT133" s="62">
        <f ca="1">AVERAGE(OFFSET($DS$3,0,0,'Données projet'!$E$14+1,1))-AVERAGE(OFFSET($H$3,0,0,'Données projet'!$E$14+1,1))</f>
        <v>334.4692012109935</v>
      </c>
      <c r="DU133" s="62">
        <f t="shared" ref="DU133:DU196" si="152">$DU$3</f>
        <v>316.360405424036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-1.9065282685915009E-13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390.09289316045653</v>
      </c>
      <c r="EP133" s="62">
        <f t="shared" ref="EP133:EP196" si="154">$EP$3</f>
        <v>364.34913542817617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0.46119898418669691</v>
      </c>
      <c r="EX133" s="23">
        <f>EXP(-LN(2)/2)*EX132+(1-EXP(-LN(2)/2))/(LN(2)/2)*ER133*EU133*VLOOKUP('Données projet'!$B$15,Paramètres!$A$1:$I$89,3,0)*0.475*44/12</f>
        <v>7.9780128351369146E-15</v>
      </c>
      <c r="EY133" s="24">
        <f t="shared" si="129"/>
        <v>0.46119898418670491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4.5474735088646412E-13</v>
      </c>
      <c r="FF133" s="18">
        <f>FE133*VLOOKUP('Données projet'!$B$16,Paramètres!$A$1:$I$89,3,0)*VLOOKUP('Données projet'!$B$16,Paramètres!$A$1:$I$89,5,0)</f>
        <v>2.1282176021486519E-13</v>
      </c>
      <c r="FG133" s="14">
        <f t="shared" ref="FG133:FG153" si="155">EXP(-1.0587+0.8836*LN(FF133)+0.284)</f>
        <v>2.9281075858910828E-12</v>
      </c>
      <c r="FH133" s="22">
        <f t="shared" si="130"/>
        <v>5.4704519444678596E-12</v>
      </c>
      <c r="FI133" s="62">
        <f t="shared" si="131"/>
        <v>286.26604587841285</v>
      </c>
      <c r="FJ133" s="62">
        <f ca="1">AVERAGE(OFFSET($FI$3,0,0,'Données projet'!$E$16+1,1))-AVERAGE(OFFSET($H$3,0,0,'Données projet'!$E$16+1,1))</f>
        <v>344.55118007058775</v>
      </c>
      <c r="FK133" s="62">
        <f t="shared" ref="FK133:FK196" si="156">$FK$3</f>
        <v>144.16931602355001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252.60122125520482</v>
      </c>
      <c r="GF133" s="62">
        <f t="shared" ref="GF133:GF196" si="158">$GF$3</f>
        <v>357.56833754121317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0.6434671313543513</v>
      </c>
      <c r="GN133" s="23">
        <f>EXP(-LN(2)/2)*GN132+(1-EXP(-LN(2)/2))/(LN(2)/2)*GH133*GK133*VLOOKUP('Données projet'!$B$17,Paramètres!$A$1:$I$89,3,0)*0.475*44/12</f>
        <v>1.4671659337223629E-14</v>
      </c>
      <c r="GO133" s="23">
        <f t="shared" si="135"/>
        <v>0.64346713135436595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-1.1368683772161603E-13</v>
      </c>
      <c r="GV133" s="18">
        <f>GU133*VLOOKUP('Données projet'!$B$18,Paramètres!$A$1:$I$89,3,0)*VLOOKUP('Données projet'!$B$18,Paramètres!$A$1:$I$89,5,0)</f>
        <v>-9.2222762759774927E-14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268.57152522489537</v>
      </c>
      <c r="HA133" s="62">
        <f t="shared" ref="HA133:HA196" si="160">$HA$3</f>
        <v>311.80303557283207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3.75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13.75</v>
      </c>
      <c r="H134" s="70">
        <f t="shared" si="110"/>
        <v>201.66666666666666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2">
        <f t="shared" si="109"/>
        <v>845.87035545855338</v>
      </c>
      <c r="S134" s="62">
        <f ca="1">AVERAGE(OFFSET($R$3,0,0,'Données projet'!$E$9+1,1))-AVERAGE(OFFSET($H$3,0,0,'Données projet'!$E$9+1,1))</f>
        <v>461.02780119093666</v>
      </c>
      <c r="T134" s="62">
        <f t="shared" si="142"/>
        <v>245.70016468438834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285.99999999999932</v>
      </c>
      <c r="AJ134" s="14">
        <f>AI134*VLOOKUP('Données projet'!$B$10,Paramètres!$A$1:$I$89,3,0)*VLOOKUP('Données projet'!$B$10,Paramètres!$A$1:$I$89,5,0)</f>
        <v>240.92639999999943</v>
      </c>
      <c r="AK134" s="14">
        <f t="shared" si="143"/>
        <v>58.638805241742666</v>
      </c>
      <c r="AL134" s="22">
        <f t="shared" si="112"/>
        <v>521.7427324627007</v>
      </c>
      <c r="AM134" s="62">
        <f t="shared" si="113"/>
        <v>808.13137997836338</v>
      </c>
      <c r="AN134" s="62">
        <f ca="1">AVERAGE(OFFSET($AM$3,0,0,'Données projet'!$E$10+1,1))-AVERAGE(OFFSET($H$3,0,0,'Données projet'!$E$10+1,1))</f>
        <v>434.22500776975596</v>
      </c>
      <c r="AO134" s="62">
        <f t="shared" si="144"/>
        <v>232.59777933076705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-1.0818439477588981E-13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393.3005580838161</v>
      </c>
      <c r="BJ134" s="62">
        <f t="shared" si="146"/>
        <v>295.86019897822757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-4.5224624045658861E-14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388.52230330563884</v>
      </c>
      <c r="CE134" s="62">
        <f t="shared" si="148"/>
        <v>418.94833960687333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-4.1677594708744434E-14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362.38131866207266</v>
      </c>
      <c r="CZ134" s="62">
        <f t="shared" si="150"/>
        <v>390.74498763200336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8.5265128291212022E-14</v>
      </c>
      <c r="DP134" s="18">
        <f>DO134*VLOOKUP('Données projet'!$B$14,Paramètres!$A$1:$I$89,3,0)*VLOOKUP('Données projet'!$B$14,Paramètres!$A$1:$I$89,5,0)</f>
        <v>7.4487616075202836E-14</v>
      </c>
      <c r="DQ134" s="14">
        <f t="shared" si="151"/>
        <v>1.1580453144473142E-12</v>
      </c>
      <c r="DR134" s="22">
        <f t="shared" si="124"/>
        <v>2.1466615206600508E-12</v>
      </c>
      <c r="DS134" s="62">
        <f t="shared" si="125"/>
        <v>286.38864751566479</v>
      </c>
      <c r="DT134" s="62">
        <f ca="1">AVERAGE(OFFSET($DS$3,0,0,'Données projet'!$E$14+1,1))-AVERAGE(OFFSET($H$3,0,0,'Données projet'!$E$14+1,1))</f>
        <v>334.4692012109935</v>
      </c>
      <c r="DU134" s="62">
        <f t="shared" si="152"/>
        <v>316.360405424036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-1.9065282685915009E-13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390.09289316045653</v>
      </c>
      <c r="EP134" s="62">
        <f t="shared" si="154"/>
        <v>364.34913542817617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0.44858747371071117</v>
      </c>
      <c r="EX134" s="23">
        <f>EXP(-LN(2)/2)*EX133+(1-EXP(-LN(2)/2))/(LN(2)/2)*ER134*EU134*VLOOKUP('Données projet'!$B$15,Paramètres!$A$1:$I$89,3,0)*0.475*44/12</f>
        <v>5.641306976118626E-15</v>
      </c>
      <c r="EY134" s="24">
        <f t="shared" si="129"/>
        <v>0.44858747371071683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4.5474735088646412E-13</v>
      </c>
      <c r="FF134" s="18">
        <f>FE134*VLOOKUP('Données projet'!$B$16,Paramètres!$A$1:$I$89,3,0)*VLOOKUP('Données projet'!$B$16,Paramètres!$A$1:$I$89,5,0)</f>
        <v>2.1282176021486519E-13</v>
      </c>
      <c r="FG134" s="14">
        <f t="shared" si="155"/>
        <v>2.9281075858910828E-12</v>
      </c>
      <c r="FH134" s="22">
        <f t="shared" si="130"/>
        <v>5.4704519444678596E-12</v>
      </c>
      <c r="FI134" s="62">
        <f t="shared" si="131"/>
        <v>286.38864751566808</v>
      </c>
      <c r="FJ134" s="62">
        <f ca="1">AVERAGE(OFFSET($FI$3,0,0,'Données projet'!$E$16+1,1))-AVERAGE(OFFSET($H$3,0,0,'Données projet'!$E$16+1,1))</f>
        <v>344.55118007058775</v>
      </c>
      <c r="FK134" s="62">
        <f t="shared" si="156"/>
        <v>144.16931602355001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252.60122125520482</v>
      </c>
      <c r="GF134" s="62">
        <f t="shared" si="158"/>
        <v>357.56833754121317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0.62587148880900079</v>
      </c>
      <c r="GN134" s="23">
        <f>EXP(-LN(2)/2)*GN133+(1-EXP(-LN(2)/2))/(LN(2)/2)*GH134*GK134*VLOOKUP('Données projet'!$B$17,Paramètres!$A$1:$I$89,3,0)*0.475*44/12</f>
        <v>1.0374429808609756E-14</v>
      </c>
      <c r="GO134" s="23">
        <f t="shared" si="135"/>
        <v>0.62587148880901111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-1.1368683772161603E-13</v>
      </c>
      <c r="GV134" s="18">
        <f>GU134*VLOOKUP('Données projet'!$B$18,Paramètres!$A$1:$I$89,3,0)*VLOOKUP('Données projet'!$B$18,Paramètres!$A$1:$I$89,5,0)</f>
        <v>-9.2222762759774927E-14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268.57152522489537</v>
      </c>
      <c r="HA134" s="62">
        <f t="shared" si="160"/>
        <v>311.80303557283207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3.75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13.75</v>
      </c>
      <c r="H135" s="70">
        <f t="shared" si="110"/>
        <v>201.66666666666666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2">
        <f t="shared" si="109"/>
        <v>851.72608120228722</v>
      </c>
      <c r="S135" s="62">
        <f ca="1">AVERAGE(OFFSET($R$3,0,0,'Données projet'!$E$9+1,1))-AVERAGE(OFFSET($H$3,0,0,'Données projet'!$E$9+1,1))</f>
        <v>461.02780119093666</v>
      </c>
      <c r="T135" s="62">
        <f t="shared" si="142"/>
        <v>245.70016468438834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288.99999999999932</v>
      </c>
      <c r="AJ135" s="14">
        <f>AI135*VLOOKUP('Données projet'!$B$10,Paramètres!$A$1:$I$89,3,0)*VLOOKUP('Données projet'!$B$10,Paramètres!$A$1:$I$89,5,0)</f>
        <v>243.45359999999943</v>
      </c>
      <c r="AK135" s="14">
        <f t="shared" si="143"/>
        <v>59.18197034306516</v>
      </c>
      <c r="AL135" s="22">
        <f t="shared" si="112"/>
        <v>527.09028501417083</v>
      </c>
      <c r="AM135" s="62">
        <f t="shared" si="113"/>
        <v>813.59940730277856</v>
      </c>
      <c r="AN135" s="62">
        <f ca="1">AVERAGE(OFFSET($AM$3,0,0,'Données projet'!$E$10+1,1))-AVERAGE(OFFSET($H$3,0,0,'Données projet'!$E$10+1,1))</f>
        <v>434.22500776975596</v>
      </c>
      <c r="AO135" s="62">
        <f t="shared" si="144"/>
        <v>232.59777933076705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-1.0818439477588981E-13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393.3005580838161</v>
      </c>
      <c r="BJ135" s="62">
        <f t="shared" si="146"/>
        <v>295.86019897822757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-4.5224624045658861E-14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388.52230330563884</v>
      </c>
      <c r="CE135" s="62">
        <f t="shared" si="148"/>
        <v>418.94833960687333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-4.1677594708744434E-14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362.38131866207266</v>
      </c>
      <c r="CZ135" s="62">
        <f t="shared" si="150"/>
        <v>390.74498763200336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8.5265128291212022E-14</v>
      </c>
      <c r="DP135" s="18">
        <f>DO135*VLOOKUP('Données projet'!$B$14,Paramètres!$A$1:$I$89,3,0)*VLOOKUP('Données projet'!$B$14,Paramètres!$A$1:$I$89,5,0)</f>
        <v>7.4487616075202836E-14</v>
      </c>
      <c r="DQ135" s="14">
        <f t="shared" si="151"/>
        <v>1.1580453144473142E-12</v>
      </c>
      <c r="DR135" s="22">
        <f t="shared" si="124"/>
        <v>2.1466615206600508E-12</v>
      </c>
      <c r="DS135" s="62">
        <f t="shared" si="125"/>
        <v>286.50912228860989</v>
      </c>
      <c r="DT135" s="62">
        <f ca="1">AVERAGE(OFFSET($DS$3,0,0,'Données projet'!$E$14+1,1))-AVERAGE(OFFSET($H$3,0,0,'Données projet'!$E$14+1,1))</f>
        <v>334.4692012109935</v>
      </c>
      <c r="DU135" s="62">
        <f t="shared" si="152"/>
        <v>316.360405424036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-1.9065282685915009E-13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390.09289316045653</v>
      </c>
      <c r="EP135" s="62">
        <f t="shared" si="154"/>
        <v>364.34913542817617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0.43632082565190178</v>
      </c>
      <c r="EX135" s="23">
        <f>EXP(-LN(2)/2)*EX134+(1-EXP(-LN(2)/2))/(LN(2)/2)*ER135*EU135*VLOOKUP('Données projet'!$B$15,Paramètres!$A$1:$I$89,3,0)*0.475*44/12</f>
        <v>3.9890064175684573E-15</v>
      </c>
      <c r="EY135" s="24">
        <f t="shared" si="129"/>
        <v>0.43632082565190577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4.5474735088646412E-13</v>
      </c>
      <c r="FF135" s="18">
        <f>FE135*VLOOKUP('Données projet'!$B$16,Paramètres!$A$1:$I$89,3,0)*VLOOKUP('Données projet'!$B$16,Paramètres!$A$1:$I$89,5,0)</f>
        <v>2.1282176021486519E-13</v>
      </c>
      <c r="FG135" s="14">
        <f t="shared" si="155"/>
        <v>2.9281075858910828E-12</v>
      </c>
      <c r="FH135" s="22">
        <f t="shared" si="130"/>
        <v>5.4704519444678596E-12</v>
      </c>
      <c r="FI135" s="62">
        <f t="shared" si="131"/>
        <v>286.50912228861318</v>
      </c>
      <c r="FJ135" s="62">
        <f ca="1">AVERAGE(OFFSET($FI$3,0,0,'Données projet'!$E$16+1,1))-AVERAGE(OFFSET($H$3,0,0,'Données projet'!$E$16+1,1))</f>
        <v>344.55118007058775</v>
      </c>
      <c r="FK135" s="62">
        <f t="shared" si="156"/>
        <v>144.16931602355001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252.60122125520482</v>
      </c>
      <c r="GF135" s="62">
        <f t="shared" si="158"/>
        <v>357.56833754121317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0.6087570000343675</v>
      </c>
      <c r="GN135" s="23">
        <f>EXP(-LN(2)/2)*GN134+(1-EXP(-LN(2)/2))/(LN(2)/2)*GH135*GK135*VLOOKUP('Données projet'!$B$17,Paramètres!$A$1:$I$89,3,0)*0.475*44/12</f>
        <v>7.3358296686118146E-15</v>
      </c>
      <c r="GO135" s="23">
        <f t="shared" si="135"/>
        <v>0.60875700003437483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-1.1368683772161603E-13</v>
      </c>
      <c r="GV135" s="18">
        <f>GU135*VLOOKUP('Données projet'!$B$18,Paramètres!$A$1:$I$89,3,0)*VLOOKUP('Données projet'!$B$18,Paramètres!$A$1:$I$89,5,0)</f>
        <v>-9.2222762759774927E-14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268.57152522489537</v>
      </c>
      <c r="HA135" s="62">
        <f t="shared" si="160"/>
        <v>311.80303557283207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3.75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13.75</v>
      </c>
      <c r="H136" s="70">
        <f t="shared" si="110"/>
        <v>201.66666666666666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2">
        <f t="shared" si="109"/>
        <v>857.57850011687538</v>
      </c>
      <c r="S136" s="62">
        <f ca="1">AVERAGE(OFFSET($R$3,0,0,'Données projet'!$E$9+1,1))-AVERAGE(OFFSET($H$3,0,0,'Données projet'!$E$9+1,1))</f>
        <v>461.02780119093666</v>
      </c>
      <c r="T136" s="62">
        <f t="shared" si="142"/>
        <v>245.70016468438834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291.99999999999932</v>
      </c>
      <c r="AJ136" s="14">
        <f>AI136*VLOOKUP('Données projet'!$B$10,Paramètres!$A$1:$I$89,3,0)*VLOOKUP('Données projet'!$B$10,Paramètres!$A$1:$I$89,5,0)</f>
        <v>245.98079999999945</v>
      </c>
      <c r="AK136" s="14">
        <f t="shared" si="143"/>
        <v>59.724479519444706</v>
      </c>
      <c r="AL136" s="22">
        <f t="shared" si="112"/>
        <v>532.43669516303191</v>
      </c>
      <c r="AM136" s="62">
        <f t="shared" si="113"/>
        <v>819.06420225661532</v>
      </c>
      <c r="AN136" s="62">
        <f ca="1">AVERAGE(OFFSET($AM$3,0,0,'Données projet'!$E$10+1,1))-AVERAGE(OFFSET($H$3,0,0,'Données projet'!$E$10+1,1))</f>
        <v>434.22500776975596</v>
      </c>
      <c r="AO136" s="62">
        <f t="shared" si="144"/>
        <v>232.59777933076705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-1.0818439477588981E-13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393.3005580838161</v>
      </c>
      <c r="BJ136" s="62">
        <f t="shared" si="146"/>
        <v>295.86019897822757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-4.5224624045658861E-14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388.52230330563884</v>
      </c>
      <c r="CE136" s="62">
        <f t="shared" si="148"/>
        <v>418.94833960687333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-4.1677594708744434E-14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362.38131866207266</v>
      </c>
      <c r="CZ136" s="62">
        <f t="shared" si="150"/>
        <v>390.74498763200336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8.5265128291212022E-14</v>
      </c>
      <c r="DP136" s="18">
        <f>DO136*VLOOKUP('Données projet'!$B$14,Paramètres!$A$1:$I$89,3,0)*VLOOKUP('Données projet'!$B$14,Paramètres!$A$1:$I$89,5,0)</f>
        <v>7.4487616075202836E-14</v>
      </c>
      <c r="DQ136" s="14">
        <f t="shared" si="151"/>
        <v>1.1580453144473142E-12</v>
      </c>
      <c r="DR136" s="22">
        <f t="shared" si="124"/>
        <v>2.1466615206600508E-12</v>
      </c>
      <c r="DS136" s="62">
        <f t="shared" si="125"/>
        <v>286.62750709358551</v>
      </c>
      <c r="DT136" s="62">
        <f ca="1">AVERAGE(OFFSET($DS$3,0,0,'Données projet'!$E$14+1,1))-AVERAGE(OFFSET($H$3,0,0,'Données projet'!$E$14+1,1))</f>
        <v>334.4692012109935</v>
      </c>
      <c r="DU136" s="62">
        <f t="shared" si="152"/>
        <v>316.360405424036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-1.9065282685915009E-13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390.09289316045653</v>
      </c>
      <c r="EP136" s="62">
        <f t="shared" si="154"/>
        <v>364.34913542817617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0.42438960972933554</v>
      </c>
      <c r="EX136" s="23">
        <f>EXP(-LN(2)/2)*EX135+(1-EXP(-LN(2)/2))/(LN(2)/2)*ER136*EU136*VLOOKUP('Données projet'!$B$15,Paramètres!$A$1:$I$89,3,0)*0.475*44/12</f>
        <v>2.820653488059313E-15</v>
      </c>
      <c r="EY136" s="24">
        <f t="shared" si="129"/>
        <v>0.42438960972933837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4.5474735088646412E-13</v>
      </c>
      <c r="FF136" s="18">
        <f>FE136*VLOOKUP('Données projet'!$B$16,Paramètres!$A$1:$I$89,3,0)*VLOOKUP('Données projet'!$B$16,Paramètres!$A$1:$I$89,5,0)</f>
        <v>2.1282176021486519E-13</v>
      </c>
      <c r="FG136" s="14">
        <f t="shared" si="155"/>
        <v>2.9281075858910828E-12</v>
      </c>
      <c r="FH136" s="22">
        <f t="shared" si="130"/>
        <v>5.4704519444678596E-12</v>
      </c>
      <c r="FI136" s="62">
        <f t="shared" si="131"/>
        <v>286.6275070935888</v>
      </c>
      <c r="FJ136" s="62">
        <f ca="1">AVERAGE(OFFSET($FI$3,0,0,'Données projet'!$E$16+1,1))-AVERAGE(OFFSET($H$3,0,0,'Données projet'!$E$16+1,1))</f>
        <v>344.55118007058775</v>
      </c>
      <c r="FK136" s="62">
        <f t="shared" si="156"/>
        <v>144.16931602355001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252.60122125520482</v>
      </c>
      <c r="GF136" s="62">
        <f t="shared" si="158"/>
        <v>357.56833754121317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0.5921105078552884</v>
      </c>
      <c r="GN136" s="23">
        <f>EXP(-LN(2)/2)*GN135+(1-EXP(-LN(2)/2))/(LN(2)/2)*GH136*GK136*VLOOKUP('Données projet'!$B$17,Paramètres!$A$1:$I$89,3,0)*0.475*44/12</f>
        <v>5.1872149043048779E-15</v>
      </c>
      <c r="GO136" s="23">
        <f t="shared" si="135"/>
        <v>0.59211050785529362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-1.1368683772161603E-13</v>
      </c>
      <c r="GV136" s="18">
        <f>GU136*VLOOKUP('Données projet'!$B$18,Paramètres!$A$1:$I$89,3,0)*VLOOKUP('Données projet'!$B$18,Paramètres!$A$1:$I$89,5,0)</f>
        <v>-9.2222762759774927E-14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268.57152522489537</v>
      </c>
      <c r="HA136" s="62">
        <f t="shared" si="160"/>
        <v>311.80303557283207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3.75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13.75</v>
      </c>
      <c r="H137" s="70">
        <f t="shared" si="110"/>
        <v>201.66666666666666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2">
        <f t="shared" si="109"/>
        <v>863.42766240797209</v>
      </c>
      <c r="S137" s="62">
        <f ca="1">AVERAGE(OFFSET($R$3,0,0,'Données projet'!$E$9+1,1))-AVERAGE(OFFSET($H$3,0,0,'Données projet'!$E$9+1,1))</f>
        <v>461.02780119093666</v>
      </c>
      <c r="T137" s="62">
        <f t="shared" si="142"/>
        <v>245.70016468438834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294.99999999999932</v>
      </c>
      <c r="AJ137" s="14">
        <f>AI137*VLOOKUP('Données projet'!$B$10,Paramètres!$A$1:$I$89,3,0)*VLOOKUP('Données projet'!$B$10,Paramètres!$A$1:$I$89,5,0)</f>
        <v>248.50799999999944</v>
      </c>
      <c r="AK137" s="14">
        <f t="shared" si="143"/>
        <v>60.266340290019563</v>
      </c>
      <c r="AL137" s="22">
        <f t="shared" si="112"/>
        <v>537.78197600511635</v>
      </c>
      <c r="AM137" s="62">
        <f t="shared" si="113"/>
        <v>824.52581419197782</v>
      </c>
      <c r="AN137" s="62">
        <f ca="1">AVERAGE(OFFSET($AM$3,0,0,'Données projet'!$E$10+1,1))-AVERAGE(OFFSET($H$3,0,0,'Données projet'!$E$10+1,1))</f>
        <v>434.22500776975596</v>
      </c>
      <c r="AO137" s="62">
        <f t="shared" si="144"/>
        <v>232.59777933076705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-1.0818439477588981E-13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393.3005580838161</v>
      </c>
      <c r="BJ137" s="62">
        <f t="shared" si="146"/>
        <v>295.86019897822757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-4.5224624045658861E-14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388.52230330563884</v>
      </c>
      <c r="CE137" s="62">
        <f t="shared" si="148"/>
        <v>418.94833960687333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-4.1677594708744434E-14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362.38131866207266</v>
      </c>
      <c r="CZ137" s="62">
        <f t="shared" si="150"/>
        <v>390.74498763200336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8.5265128291212022E-14</v>
      </c>
      <c r="DP137" s="18">
        <f>DO137*VLOOKUP('Données projet'!$B$14,Paramètres!$A$1:$I$89,3,0)*VLOOKUP('Données projet'!$B$14,Paramètres!$A$1:$I$89,5,0)</f>
        <v>7.4487616075202836E-14</v>
      </c>
      <c r="DQ137" s="14">
        <f t="shared" si="151"/>
        <v>1.1580453144473142E-12</v>
      </c>
      <c r="DR137" s="22">
        <f t="shared" si="124"/>
        <v>2.1466615206600508E-12</v>
      </c>
      <c r="DS137" s="62">
        <f t="shared" si="125"/>
        <v>286.74383818686368</v>
      </c>
      <c r="DT137" s="62">
        <f ca="1">AVERAGE(OFFSET($DS$3,0,0,'Données projet'!$E$14+1,1))-AVERAGE(OFFSET($H$3,0,0,'Données projet'!$E$14+1,1))</f>
        <v>334.4692012109935</v>
      </c>
      <c r="DU137" s="62">
        <f t="shared" si="152"/>
        <v>316.360405424036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-1.9065282685915009E-13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390.09289316045653</v>
      </c>
      <c r="EP137" s="62">
        <f t="shared" si="154"/>
        <v>364.34913542817617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0.41278465353360722</v>
      </c>
      <c r="EX137" s="23">
        <f>EXP(-LN(2)/2)*EX136+(1-EXP(-LN(2)/2))/(LN(2)/2)*ER137*EU137*VLOOKUP('Données projet'!$B$15,Paramètres!$A$1:$I$89,3,0)*0.475*44/12</f>
        <v>1.9945032087842287E-15</v>
      </c>
      <c r="EY137" s="24">
        <f t="shared" si="129"/>
        <v>0.41278465353360921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4.5474735088646412E-13</v>
      </c>
      <c r="FF137" s="18">
        <f>FE137*VLOOKUP('Données projet'!$B$16,Paramètres!$A$1:$I$89,3,0)*VLOOKUP('Données projet'!$B$16,Paramètres!$A$1:$I$89,5,0)</f>
        <v>2.1282176021486519E-13</v>
      </c>
      <c r="FG137" s="14">
        <f t="shared" si="155"/>
        <v>2.9281075858910828E-12</v>
      </c>
      <c r="FH137" s="22">
        <f t="shared" si="130"/>
        <v>5.4704519444678596E-12</v>
      </c>
      <c r="FI137" s="62">
        <f t="shared" si="131"/>
        <v>286.74383818686698</v>
      </c>
      <c r="FJ137" s="62">
        <f ca="1">AVERAGE(OFFSET($FI$3,0,0,'Données projet'!$E$16+1,1))-AVERAGE(OFFSET($H$3,0,0,'Données projet'!$E$16+1,1))</f>
        <v>344.55118007058775</v>
      </c>
      <c r="FK137" s="62">
        <f t="shared" si="156"/>
        <v>144.16931602355001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252.60122125520482</v>
      </c>
      <c r="GF137" s="62">
        <f t="shared" si="158"/>
        <v>357.56833754121317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0.57591921488024722</v>
      </c>
      <c r="GN137" s="23">
        <f>EXP(-LN(2)/2)*GN136+(1-EXP(-LN(2)/2))/(LN(2)/2)*GH137*GK137*VLOOKUP('Données projet'!$B$17,Paramètres!$A$1:$I$89,3,0)*0.475*44/12</f>
        <v>3.6679148343059073E-15</v>
      </c>
      <c r="GO137" s="23">
        <f t="shared" si="135"/>
        <v>0.57591921488025088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-1.1368683772161603E-13</v>
      </c>
      <c r="GV137" s="18">
        <f>GU137*VLOOKUP('Données projet'!$B$18,Paramètres!$A$1:$I$89,3,0)*VLOOKUP('Données projet'!$B$18,Paramètres!$A$1:$I$89,5,0)</f>
        <v>-9.2222762759774927E-14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268.57152522489537</v>
      </c>
      <c r="HA137" s="62">
        <f t="shared" si="160"/>
        <v>311.80303557283207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3.75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13.75</v>
      </c>
      <c r="H138" s="70">
        <f t="shared" si="110"/>
        <v>201.66666666666666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2">
        <f t="shared" si="109"/>
        <v>869.2736173521987</v>
      </c>
      <c r="S138" s="62">
        <f ca="1">AVERAGE(OFFSET($R$3,0,0,'Données projet'!$E$9+1,1))-AVERAGE(OFFSET($H$3,0,0,'Données projet'!$E$9+1,1))</f>
        <v>461.02780119093666</v>
      </c>
      <c r="T138" s="62">
        <f t="shared" si="142"/>
        <v>245.70016468438834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297.99999999999932</v>
      </c>
      <c r="AJ138" s="14">
        <f>AI138*VLOOKUP('Données projet'!$B$10,Paramètres!$A$1:$I$89,3,0)*VLOOKUP('Données projet'!$B$10,Paramètres!$A$1:$I$89,5,0)</f>
        <v>251.03519999999946</v>
      </c>
      <c r="AK138" s="14">
        <f t="shared" si="143"/>
        <v>60.807560012183195</v>
      </c>
      <c r="AL138" s="22">
        <f t="shared" si="112"/>
        <v>543.12614035455147</v>
      </c>
      <c r="AM138" s="62">
        <f t="shared" si="113"/>
        <v>829.98429155030021</v>
      </c>
      <c r="AN138" s="62">
        <f ca="1">AVERAGE(OFFSET($AM$3,0,0,'Données projet'!$E$10+1,1))-AVERAGE(OFFSET($H$3,0,0,'Données projet'!$E$10+1,1))</f>
        <v>434.22500776975596</v>
      </c>
      <c r="AO138" s="62">
        <f t="shared" si="144"/>
        <v>232.59777933076705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-1.0818439477588981E-13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393.3005580838161</v>
      </c>
      <c r="BJ138" s="62">
        <f t="shared" si="146"/>
        <v>295.86019897822757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-4.5224624045658861E-14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388.52230330563884</v>
      </c>
      <c r="CE138" s="62">
        <f t="shared" si="148"/>
        <v>418.94833960687333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-4.1677594708744434E-14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362.38131866207266</v>
      </c>
      <c r="CZ138" s="62">
        <f t="shared" si="150"/>
        <v>390.74498763200336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8.5265128291212022E-14</v>
      </c>
      <c r="DP138" s="18">
        <f>DO138*VLOOKUP('Données projet'!$B$14,Paramètres!$A$1:$I$89,3,0)*VLOOKUP('Données projet'!$B$14,Paramètres!$A$1:$I$89,5,0)</f>
        <v>7.4487616075202836E-14</v>
      </c>
      <c r="DQ138" s="14">
        <f t="shared" si="151"/>
        <v>1.1580453144473142E-12</v>
      </c>
      <c r="DR138" s="22">
        <f t="shared" si="124"/>
        <v>2.1466615206600508E-12</v>
      </c>
      <c r="DS138" s="62">
        <f t="shared" si="125"/>
        <v>286.85815119575085</v>
      </c>
      <c r="DT138" s="62">
        <f ca="1">AVERAGE(OFFSET($DS$3,0,0,'Données projet'!$E$14+1,1))-AVERAGE(OFFSET($H$3,0,0,'Données projet'!$E$14+1,1))</f>
        <v>334.4692012109935</v>
      </c>
      <c r="DU138" s="62">
        <f t="shared" si="152"/>
        <v>316.360405424036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-1.9065282685915009E-13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390.09289316045653</v>
      </c>
      <c r="EP138" s="62">
        <f t="shared" si="154"/>
        <v>364.34913542817617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0.40149703547532922</v>
      </c>
      <c r="EX138" s="23">
        <f>EXP(-LN(2)/2)*EX137+(1-EXP(-LN(2)/2))/(LN(2)/2)*ER138*EU138*VLOOKUP('Données projet'!$B$15,Paramètres!$A$1:$I$89,3,0)*0.475*44/12</f>
        <v>1.4103267440296565E-15</v>
      </c>
      <c r="EY138" s="24">
        <f t="shared" si="129"/>
        <v>0.40149703547533061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4.5474735088646412E-13</v>
      </c>
      <c r="FF138" s="18">
        <f>FE138*VLOOKUP('Données projet'!$B$16,Paramètres!$A$1:$I$89,3,0)*VLOOKUP('Données projet'!$B$16,Paramètres!$A$1:$I$89,5,0)</f>
        <v>2.1282176021486519E-13</v>
      </c>
      <c r="FG138" s="14">
        <f t="shared" si="155"/>
        <v>2.9281075858910828E-12</v>
      </c>
      <c r="FH138" s="22">
        <f t="shared" si="130"/>
        <v>5.4704519444678596E-12</v>
      </c>
      <c r="FI138" s="62">
        <f t="shared" si="131"/>
        <v>286.85815119575415</v>
      </c>
      <c r="FJ138" s="62">
        <f ca="1">AVERAGE(OFFSET($FI$3,0,0,'Données projet'!$E$16+1,1))-AVERAGE(OFFSET($H$3,0,0,'Données projet'!$E$16+1,1))</f>
        <v>344.55118007058775</v>
      </c>
      <c r="FK138" s="62">
        <f t="shared" si="156"/>
        <v>144.16931602355001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252.60122125520482</v>
      </c>
      <c r="GF138" s="62">
        <f t="shared" si="158"/>
        <v>357.56833754121317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0.56017067366307161</v>
      </c>
      <c r="GN138" s="23">
        <f>EXP(-LN(2)/2)*GN137+(1-EXP(-LN(2)/2))/(LN(2)/2)*GH138*GK138*VLOOKUP('Données projet'!$B$17,Paramètres!$A$1:$I$89,3,0)*0.475*44/12</f>
        <v>2.5936074521524389E-15</v>
      </c>
      <c r="GO138" s="23">
        <f t="shared" si="135"/>
        <v>0.56017067366307416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-1.1368683772161603E-13</v>
      </c>
      <c r="GV138" s="18">
        <f>GU138*VLOOKUP('Données projet'!$B$18,Paramètres!$A$1:$I$89,3,0)*VLOOKUP('Données projet'!$B$18,Paramètres!$A$1:$I$89,5,0)</f>
        <v>-9.2222762759774927E-14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268.57152522489537</v>
      </c>
      <c r="HA138" s="62">
        <f t="shared" si="160"/>
        <v>311.80303557283207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3.75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13.75</v>
      </c>
      <c r="H139" s="70">
        <f t="shared" si="110"/>
        <v>201.66666666666666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2">
        <f t="shared" si="109"/>
        <v>818.90558601918269</v>
      </c>
      <c r="S139" s="62">
        <f ca="1">AVERAGE(OFFSET($R$3,0,0,'Données projet'!$E$9+1,1))-AVERAGE(OFFSET($H$3,0,0,'Données projet'!$E$9+1,1))</f>
        <v>461.02780119093666</v>
      </c>
      <c r="T139" s="62">
        <f t="shared" si="142"/>
        <v>245.70016468438834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IF('Données projet'!$A$62&gt;35,AI138+AH139-AQ138,IF(A139&lt;'Données projet'!$A$62,$AF$205^A139,IF(A139='Données projet'!$A$62,'Données projet'!$B$62,AI138+AH139-AQ138)))</f>
        <v>271.59999999999934</v>
      </c>
      <c r="AJ139" s="14">
        <f>AI139*VLOOKUP('Données projet'!$B$10,Paramètres!$A$1:$I$89,3,0)*VLOOKUP('Données projet'!$B$10,Paramètres!$A$1:$I$89,5,0)</f>
        <v>228.79583999999946</v>
      </c>
      <c r="AK139" s="14">
        <f t="shared" si="143"/>
        <v>56.022234495627309</v>
      </c>
      <c r="AL139" s="22">
        <f t="shared" si="112"/>
        <v>496.05814641321666</v>
      </c>
      <c r="AM139" s="62">
        <f t="shared" si="113"/>
        <v>783.02862754271382</v>
      </c>
      <c r="AN139" s="62">
        <f ca="1">AVERAGE(OFFSET($AM$3,0,0,'Données projet'!$E$10+1,1))-AVERAGE(OFFSET($H$3,0,0,'Données projet'!$E$10+1,1))</f>
        <v>434.22500776975596</v>
      </c>
      <c r="AO139" s="62">
        <f t="shared" si="144"/>
        <v>232.59777933076705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-1.0818439477588981E-13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393.3005580838161</v>
      </c>
      <c r="BJ139" s="62">
        <f t="shared" si="146"/>
        <v>295.86019897822757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-4.5224624045658861E-14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388.52230330563884</v>
      </c>
      <c r="CE139" s="62">
        <f t="shared" si="148"/>
        <v>418.94833960687333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-4.1677594708744434E-14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362.38131866207266</v>
      </c>
      <c r="CZ139" s="62">
        <f t="shared" si="150"/>
        <v>390.74498763200336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8.5265128291212022E-14</v>
      </c>
      <c r="DP139" s="18">
        <f>DO139*VLOOKUP('Données projet'!$B$14,Paramètres!$A$1:$I$89,3,0)*VLOOKUP('Données projet'!$B$14,Paramètres!$A$1:$I$89,5,0)</f>
        <v>7.4487616075202836E-14</v>
      </c>
      <c r="DQ139" s="14">
        <f t="shared" si="151"/>
        <v>1.1580453144473142E-12</v>
      </c>
      <c r="DR139" s="22">
        <f t="shared" si="124"/>
        <v>2.1466615206600508E-12</v>
      </c>
      <c r="DS139" s="62">
        <f t="shared" si="125"/>
        <v>286.97048112949938</v>
      </c>
      <c r="DT139" s="62">
        <f ca="1">AVERAGE(OFFSET($DS$3,0,0,'Données projet'!$E$14+1,1))-AVERAGE(OFFSET($H$3,0,0,'Données projet'!$E$14+1,1))</f>
        <v>334.4692012109935</v>
      </c>
      <c r="DU139" s="62">
        <f t="shared" si="152"/>
        <v>316.360405424036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-1.9065282685915009E-13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390.09289316045653</v>
      </c>
      <c r="EP139" s="62">
        <f t="shared" si="154"/>
        <v>364.34913542817617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0.39051807792644488</v>
      </c>
      <c r="EX139" s="23">
        <f>EXP(-LN(2)/2)*EX138+(1-EXP(-LN(2)/2))/(LN(2)/2)*ER139*EU139*VLOOKUP('Données projet'!$B$15,Paramètres!$A$1:$I$89,3,0)*0.475*44/12</f>
        <v>9.9725160439211433E-16</v>
      </c>
      <c r="EY139" s="24">
        <f t="shared" si="129"/>
        <v>0.39051807792644588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4.5474735088646412E-13</v>
      </c>
      <c r="FF139" s="18">
        <f>FE139*VLOOKUP('Données projet'!$B$16,Paramètres!$A$1:$I$89,3,0)*VLOOKUP('Données projet'!$B$16,Paramètres!$A$1:$I$89,5,0)</f>
        <v>2.1282176021486519E-13</v>
      </c>
      <c r="FG139" s="14">
        <f t="shared" si="155"/>
        <v>2.9281075858910828E-12</v>
      </c>
      <c r="FH139" s="22">
        <f t="shared" si="130"/>
        <v>5.4704519444678596E-12</v>
      </c>
      <c r="FI139" s="62">
        <f t="shared" si="131"/>
        <v>286.97048112950267</v>
      </c>
      <c r="FJ139" s="62">
        <f ca="1">AVERAGE(OFFSET($FI$3,0,0,'Données projet'!$E$16+1,1))-AVERAGE(OFFSET($H$3,0,0,'Données projet'!$E$16+1,1))</f>
        <v>344.55118007058775</v>
      </c>
      <c r="FK139" s="62">
        <f t="shared" si="156"/>
        <v>144.16931602355001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252.60122125520482</v>
      </c>
      <c r="GF139" s="62">
        <f t="shared" si="158"/>
        <v>357.56833754121317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0.54485277713365943</v>
      </c>
      <c r="GN139" s="23">
        <f>EXP(-LN(2)/2)*GN138+(1-EXP(-LN(2)/2))/(LN(2)/2)*GH139*GK139*VLOOKUP('Données projet'!$B$17,Paramètres!$A$1:$I$89,3,0)*0.475*44/12</f>
        <v>1.8339574171529537E-15</v>
      </c>
      <c r="GO139" s="23">
        <f t="shared" si="135"/>
        <v>0.54485277713366131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-1.1368683772161603E-13</v>
      </c>
      <c r="GV139" s="18">
        <f>GU139*VLOOKUP('Données projet'!$B$18,Paramètres!$A$1:$I$89,3,0)*VLOOKUP('Données projet'!$B$18,Paramètres!$A$1:$I$89,5,0)</f>
        <v>-9.2222762759774927E-14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268.57152522489537</v>
      </c>
      <c r="HA139" s="62">
        <f t="shared" si="160"/>
        <v>311.80303557283207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3.75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13.75</v>
      </c>
      <c r="H140" s="70">
        <f t="shared" si="110"/>
        <v>201.66666666666666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2">
        <f t="shared" si="109"/>
        <v>823.99183207485294</v>
      </c>
      <c r="S140" s="62">
        <f ca="1">AVERAGE(OFFSET($R$3,0,0,'Données projet'!$E$9+1,1))-AVERAGE(OFFSET($H$3,0,0,'Données projet'!$E$9+1,1))</f>
        <v>461.02780119093666</v>
      </c>
      <c r="T140" s="62">
        <f t="shared" si="142"/>
        <v>245.70016468438834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IF('Données projet'!$A$62&gt;35,AI139+AH140-AQ139,IF(A140&lt;'Données projet'!$A$62,$AF$205^A140,IF(A140='Données projet'!$A$62,'Données projet'!$B$62,AI139+AH140-AQ139)))</f>
        <v>274.19999999999936</v>
      </c>
      <c r="AJ140" s="14">
        <f>AI140*VLOOKUP('Données projet'!$B$10,Paramètres!$A$1:$I$89,3,0)*VLOOKUP('Données projet'!$B$10,Paramètres!$A$1:$I$89,5,0)</f>
        <v>230.9860799999995</v>
      </c>
      <c r="AK140" s="14">
        <f t="shared" si="143"/>
        <v>56.495841965100695</v>
      </c>
      <c r="AL140" s="22">
        <f t="shared" si="112"/>
        <v>500.69768075588286</v>
      </c>
      <c r="AM140" s="62">
        <f t="shared" si="113"/>
        <v>787.77854314591013</v>
      </c>
      <c r="AN140" s="62">
        <f ca="1">AVERAGE(OFFSET($AM$3,0,0,'Données projet'!$E$10+1,1))-AVERAGE(OFFSET($H$3,0,0,'Données projet'!$E$10+1,1))</f>
        <v>434.22500776975596</v>
      </c>
      <c r="AO140" s="62">
        <f t="shared" si="144"/>
        <v>232.59777933076705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-1.0818439477588981E-13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393.3005580838161</v>
      </c>
      <c r="BJ140" s="62">
        <f t="shared" si="146"/>
        <v>295.86019897822757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-4.5224624045658861E-14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388.52230330563884</v>
      </c>
      <c r="CE140" s="62">
        <f t="shared" si="148"/>
        <v>418.94833960687333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-4.1677594708744434E-14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362.38131866207266</v>
      </c>
      <c r="CZ140" s="62">
        <f t="shared" si="150"/>
        <v>390.74498763200336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8.5265128291212022E-14</v>
      </c>
      <c r="DP140" s="18">
        <f>DO140*VLOOKUP('Données projet'!$B$14,Paramètres!$A$1:$I$89,3,0)*VLOOKUP('Données projet'!$B$14,Paramètres!$A$1:$I$89,5,0)</f>
        <v>7.4487616075202836E-14</v>
      </c>
      <c r="DQ140" s="14">
        <f t="shared" si="151"/>
        <v>1.1580453144473142E-12</v>
      </c>
      <c r="DR140" s="22">
        <f t="shared" si="124"/>
        <v>2.1466615206600508E-12</v>
      </c>
      <c r="DS140" s="62">
        <f t="shared" si="125"/>
        <v>287.08086239002949</v>
      </c>
      <c r="DT140" s="62">
        <f ca="1">AVERAGE(OFFSET($DS$3,0,0,'Données projet'!$E$14+1,1))-AVERAGE(OFFSET($H$3,0,0,'Données projet'!$E$14+1,1))</f>
        <v>334.4692012109935</v>
      </c>
      <c r="DU140" s="62">
        <f t="shared" si="152"/>
        <v>316.360405424036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-1.9065282685915009E-13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390.09289316045653</v>
      </c>
      <c r="EP140" s="62">
        <f t="shared" si="154"/>
        <v>364.34913542817617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0.37983934054909307</v>
      </c>
      <c r="EX140" s="23">
        <f>EXP(-LN(2)/2)*EX139+(1-EXP(-LN(2)/2))/(LN(2)/2)*ER140*EU140*VLOOKUP('Données projet'!$B$15,Paramètres!$A$1:$I$89,3,0)*0.475*44/12</f>
        <v>7.0516337201482825E-16</v>
      </c>
      <c r="EY140" s="24">
        <f t="shared" si="129"/>
        <v>0.3798393405490938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4.5474735088646412E-13</v>
      </c>
      <c r="FF140" s="18">
        <f>FE140*VLOOKUP('Données projet'!$B$16,Paramètres!$A$1:$I$89,3,0)*VLOOKUP('Données projet'!$B$16,Paramètres!$A$1:$I$89,5,0)</f>
        <v>2.1282176021486519E-13</v>
      </c>
      <c r="FG140" s="14">
        <f t="shared" si="155"/>
        <v>2.9281075858910828E-12</v>
      </c>
      <c r="FH140" s="22">
        <f t="shared" si="130"/>
        <v>5.4704519444678596E-12</v>
      </c>
      <c r="FI140" s="62">
        <f t="shared" si="131"/>
        <v>287.08086239003279</v>
      </c>
      <c r="FJ140" s="62">
        <f ca="1">AVERAGE(OFFSET($FI$3,0,0,'Données projet'!$E$16+1,1))-AVERAGE(OFFSET($H$3,0,0,'Données projet'!$E$16+1,1))</f>
        <v>344.55118007058775</v>
      </c>
      <c r="FK140" s="62">
        <f t="shared" si="156"/>
        <v>144.16931602355001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252.60122125520482</v>
      </c>
      <c r="GF140" s="62">
        <f t="shared" si="158"/>
        <v>357.56833754121317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0.5299537492903772</v>
      </c>
      <c r="GN140" s="23">
        <f>EXP(-LN(2)/2)*GN139+(1-EXP(-LN(2)/2))/(LN(2)/2)*GH140*GK140*VLOOKUP('Données projet'!$B$17,Paramètres!$A$1:$I$89,3,0)*0.475*44/12</f>
        <v>1.2968037260762195E-15</v>
      </c>
      <c r="GO140" s="23">
        <f t="shared" si="135"/>
        <v>0.52995374929037853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-1.1368683772161603E-13</v>
      </c>
      <c r="GV140" s="18">
        <f>GU140*VLOOKUP('Données projet'!$B$18,Paramètres!$A$1:$I$89,3,0)*VLOOKUP('Données projet'!$B$18,Paramètres!$A$1:$I$89,5,0)</f>
        <v>-9.2222762759774927E-14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268.57152522489537</v>
      </c>
      <c r="HA140" s="62">
        <f t="shared" si="160"/>
        <v>311.80303557283207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3.75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13.75</v>
      </c>
      <c r="H141" s="70">
        <f t="shared" si="110"/>
        <v>201.66666666666666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2">
        <f t="shared" si="109"/>
        <v>829.07519402194509</v>
      </c>
      <c r="S141" s="62">
        <f ca="1">AVERAGE(OFFSET($R$3,0,0,'Données projet'!$E$9+1,1))-AVERAGE(OFFSET($H$3,0,0,'Données projet'!$E$9+1,1))</f>
        <v>461.02780119093666</v>
      </c>
      <c r="T141" s="62">
        <f t="shared" si="142"/>
        <v>245.70016468438834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IF('Données projet'!$A$62&gt;35,AI140+AH141-AQ140,IF(A141&lt;'Données projet'!$A$62,$AF$205^A141,IF(A141='Données projet'!$A$62,'Données projet'!$B$62,AI140+AH141-AQ140)))</f>
        <v>276.79999999999939</v>
      </c>
      <c r="AJ141" s="14">
        <f>AI141*VLOOKUP('Données projet'!$B$10,Paramètres!$A$1:$I$89,3,0)*VLOOKUP('Données projet'!$B$10,Paramètres!$A$1:$I$89,5,0)</f>
        <v>233.17631999999949</v>
      </c>
      <c r="AK141" s="14">
        <f t="shared" si="143"/>
        <v>56.968926984666673</v>
      </c>
      <c r="AL141" s="22">
        <f t="shared" si="112"/>
        <v>505.33630516496027</v>
      </c>
      <c r="AM141" s="62">
        <f t="shared" si="113"/>
        <v>792.5256339474231</v>
      </c>
      <c r="AN141" s="62">
        <f ca="1">AVERAGE(OFFSET($AM$3,0,0,'Données projet'!$E$10+1,1))-AVERAGE(OFFSET($H$3,0,0,'Données projet'!$E$10+1,1))</f>
        <v>434.22500776975596</v>
      </c>
      <c r="AO141" s="62">
        <f t="shared" si="144"/>
        <v>232.59777933076705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-1.0818439477588981E-13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393.3005580838161</v>
      </c>
      <c r="BJ141" s="62">
        <f t="shared" si="146"/>
        <v>295.86019897822757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-4.5224624045658861E-14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388.52230330563884</v>
      </c>
      <c r="CE141" s="62">
        <f t="shared" si="148"/>
        <v>418.94833960687333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-4.1677594708744434E-14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362.38131866207266</v>
      </c>
      <c r="CZ141" s="62">
        <f t="shared" si="150"/>
        <v>390.74498763200336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8.5265128291212022E-14</v>
      </c>
      <c r="DP141" s="18">
        <f>DO141*VLOOKUP('Données projet'!$B$14,Paramètres!$A$1:$I$89,3,0)*VLOOKUP('Données projet'!$B$14,Paramètres!$A$1:$I$89,5,0)</f>
        <v>7.4487616075202836E-14</v>
      </c>
      <c r="DQ141" s="14">
        <f t="shared" si="151"/>
        <v>1.1580453144473142E-12</v>
      </c>
      <c r="DR141" s="22">
        <f t="shared" si="124"/>
        <v>2.1466615206600508E-12</v>
      </c>
      <c r="DS141" s="62">
        <f t="shared" si="125"/>
        <v>287.18932878246494</v>
      </c>
      <c r="DT141" s="62">
        <f ca="1">AVERAGE(OFFSET($DS$3,0,0,'Données projet'!$E$14+1,1))-AVERAGE(OFFSET($H$3,0,0,'Données projet'!$E$14+1,1))</f>
        <v>334.4692012109935</v>
      </c>
      <c r="DU141" s="62">
        <f t="shared" si="152"/>
        <v>316.360405424036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-1.9065282685915009E-13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390.09289316045653</v>
      </c>
      <c r="EP141" s="62">
        <f t="shared" si="154"/>
        <v>364.34913542817617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0.36945261380689531</v>
      </c>
      <c r="EX141" s="23">
        <f>EXP(-LN(2)/2)*EX140+(1-EXP(-LN(2)/2))/(LN(2)/2)*ER141*EU141*VLOOKUP('Données projet'!$B$15,Paramètres!$A$1:$I$89,3,0)*0.475*44/12</f>
        <v>4.9862580219605716E-16</v>
      </c>
      <c r="EY141" s="24">
        <f t="shared" si="129"/>
        <v>0.36945261380689581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4.5474735088646412E-13</v>
      </c>
      <c r="FF141" s="18">
        <f>FE141*VLOOKUP('Données projet'!$B$16,Paramètres!$A$1:$I$89,3,0)*VLOOKUP('Données projet'!$B$16,Paramètres!$A$1:$I$89,5,0)</f>
        <v>2.1282176021486519E-13</v>
      </c>
      <c r="FG141" s="14">
        <f t="shared" si="155"/>
        <v>2.9281075858910828E-12</v>
      </c>
      <c r="FH141" s="22">
        <f t="shared" si="130"/>
        <v>5.4704519444678596E-12</v>
      </c>
      <c r="FI141" s="62">
        <f t="shared" si="131"/>
        <v>287.18932878246824</v>
      </c>
      <c r="FJ141" s="62">
        <f ca="1">AVERAGE(OFFSET($FI$3,0,0,'Données projet'!$E$16+1,1))-AVERAGE(OFFSET($H$3,0,0,'Données projet'!$E$16+1,1))</f>
        <v>344.55118007058775</v>
      </c>
      <c r="FK141" s="62">
        <f t="shared" si="156"/>
        <v>144.16931602355001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252.60122125520482</v>
      </c>
      <c r="GF141" s="62">
        <f t="shared" si="158"/>
        <v>357.56833754121317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0.51546213614697534</v>
      </c>
      <c r="GN141" s="23">
        <f>EXP(-LN(2)/2)*GN140+(1-EXP(-LN(2)/2))/(LN(2)/2)*GH141*GK141*VLOOKUP('Données projet'!$B$17,Paramètres!$A$1:$I$89,3,0)*0.475*44/12</f>
        <v>9.1697870857647683E-16</v>
      </c>
      <c r="GO141" s="23">
        <f t="shared" si="135"/>
        <v>0.51546213614697622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-1.1368683772161603E-13</v>
      </c>
      <c r="GV141" s="18">
        <f>GU141*VLOOKUP('Données projet'!$B$18,Paramètres!$A$1:$I$89,3,0)*VLOOKUP('Données projet'!$B$18,Paramètres!$A$1:$I$89,5,0)</f>
        <v>-9.2222762759774927E-14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268.57152522489537</v>
      </c>
      <c r="HA141" s="62">
        <f t="shared" si="160"/>
        <v>311.80303557283207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3.75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13.75</v>
      </c>
      <c r="H142" s="70">
        <f t="shared" si="110"/>
        <v>201.66666666666666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2">
        <f t="shared" si="109"/>
        <v>834.15571523774452</v>
      </c>
      <c r="S142" s="62">
        <f ca="1">AVERAGE(OFFSET($R$3,0,0,'Données projet'!$E$9+1,1))-AVERAGE(OFFSET($H$3,0,0,'Données projet'!$E$9+1,1))</f>
        <v>461.02780119093666</v>
      </c>
      <c r="T142" s="62">
        <f t="shared" si="142"/>
        <v>245.70016468438834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IF('Données projet'!$A$62&gt;35,AI141+AH142-AQ141,IF(A142&lt;'Données projet'!$A$62,$AF$205^A142,IF(A142='Données projet'!$A$62,'Données projet'!$B$62,AI141+AH142-AQ141)))</f>
        <v>279.39999999999941</v>
      </c>
      <c r="AJ142" s="14">
        <f>AI142*VLOOKUP('Données projet'!$B$10,Paramètres!$A$1:$I$89,3,0)*VLOOKUP('Données projet'!$B$10,Paramètres!$A$1:$I$89,5,0)</f>
        <v>235.36655999999954</v>
      </c>
      <c r="AK142" s="14">
        <f t="shared" si="143"/>
        <v>57.441495030120343</v>
      </c>
      <c r="AL142" s="22">
        <f t="shared" si="112"/>
        <v>509.9740291774587</v>
      </c>
      <c r="AM142" s="62">
        <f t="shared" si="113"/>
        <v>797.26994270294267</v>
      </c>
      <c r="AN142" s="62">
        <f ca="1">AVERAGE(OFFSET($AM$3,0,0,'Données projet'!$E$10+1,1))-AVERAGE(OFFSET($H$3,0,0,'Données projet'!$E$10+1,1))</f>
        <v>434.22500776975596</v>
      </c>
      <c r="AO142" s="62">
        <f t="shared" si="144"/>
        <v>232.59777933076705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-1.0818439477588981E-13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393.3005580838161</v>
      </c>
      <c r="BJ142" s="62">
        <f t="shared" si="146"/>
        <v>295.86019897822757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-4.5224624045658861E-14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388.52230330563884</v>
      </c>
      <c r="CE142" s="62">
        <f t="shared" si="148"/>
        <v>418.94833960687333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-4.1677594708744434E-14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362.38131866207266</v>
      </c>
      <c r="CZ142" s="62">
        <f t="shared" si="150"/>
        <v>390.74498763200336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8.5265128291212022E-14</v>
      </c>
      <c r="DP142" s="18">
        <f>DO142*VLOOKUP('Données projet'!$B$14,Paramètres!$A$1:$I$89,3,0)*VLOOKUP('Données projet'!$B$14,Paramètres!$A$1:$I$89,5,0)</f>
        <v>7.4487616075202836E-14</v>
      </c>
      <c r="DQ142" s="14">
        <f t="shared" si="151"/>
        <v>1.1580453144473142E-12</v>
      </c>
      <c r="DR142" s="22">
        <f t="shared" si="124"/>
        <v>2.1466615206600508E-12</v>
      </c>
      <c r="DS142" s="62">
        <f t="shared" si="125"/>
        <v>287.29591352548618</v>
      </c>
      <c r="DT142" s="62">
        <f ca="1">AVERAGE(OFFSET($DS$3,0,0,'Données projet'!$E$14+1,1))-AVERAGE(OFFSET($H$3,0,0,'Données projet'!$E$14+1,1))</f>
        <v>334.4692012109935</v>
      </c>
      <c r="DU142" s="62">
        <f t="shared" si="152"/>
        <v>316.360405424036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-1.9065282685915009E-13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390.09289316045653</v>
      </c>
      <c r="EP142" s="62">
        <f t="shared" si="154"/>
        <v>364.34913542817617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0.35934991265367722</v>
      </c>
      <c r="EX142" s="23">
        <f>EXP(-LN(2)/2)*EX141+(1-EXP(-LN(2)/2))/(LN(2)/2)*ER142*EU142*VLOOKUP('Données projet'!$B$15,Paramètres!$A$1:$I$89,3,0)*0.475*44/12</f>
        <v>3.5258168600741412E-16</v>
      </c>
      <c r="EY142" s="24">
        <f t="shared" si="129"/>
        <v>0.35934991265367755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4.5474735088646412E-13</v>
      </c>
      <c r="FF142" s="18">
        <f>FE142*VLOOKUP('Données projet'!$B$16,Paramètres!$A$1:$I$89,3,0)*VLOOKUP('Données projet'!$B$16,Paramètres!$A$1:$I$89,5,0)</f>
        <v>2.1282176021486519E-13</v>
      </c>
      <c r="FG142" s="14">
        <f t="shared" si="155"/>
        <v>2.9281075858910828E-12</v>
      </c>
      <c r="FH142" s="22">
        <f t="shared" si="130"/>
        <v>5.4704519444678596E-12</v>
      </c>
      <c r="FI142" s="62">
        <f t="shared" si="131"/>
        <v>287.29591352548948</v>
      </c>
      <c r="FJ142" s="62">
        <f ca="1">AVERAGE(OFFSET($FI$3,0,0,'Données projet'!$E$16+1,1))-AVERAGE(OFFSET($H$3,0,0,'Données projet'!$E$16+1,1))</f>
        <v>344.55118007058775</v>
      </c>
      <c r="FK142" s="62">
        <f t="shared" si="156"/>
        <v>144.16931602355001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252.60122125520482</v>
      </c>
      <c r="GF142" s="62">
        <f t="shared" si="158"/>
        <v>357.56833754121317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0.50136679692706065</v>
      </c>
      <c r="GN142" s="23">
        <f>EXP(-LN(2)/2)*GN141+(1-EXP(-LN(2)/2))/(LN(2)/2)*GH142*GK142*VLOOKUP('Données projet'!$B$17,Paramètres!$A$1:$I$89,3,0)*0.475*44/12</f>
        <v>6.4840186303810974E-16</v>
      </c>
      <c r="GO142" s="23">
        <f t="shared" si="135"/>
        <v>0.50136679692706132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-1.1368683772161603E-13</v>
      </c>
      <c r="GV142" s="18">
        <f>GU142*VLOOKUP('Données projet'!$B$18,Paramètres!$A$1:$I$89,3,0)*VLOOKUP('Données projet'!$B$18,Paramètres!$A$1:$I$89,5,0)</f>
        <v>-9.2222762759774927E-14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268.57152522489537</v>
      </c>
      <c r="HA142" s="62">
        <f t="shared" si="160"/>
        <v>311.80303557283207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3.75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13.75</v>
      </c>
      <c r="H143" s="70">
        <f t="shared" si="110"/>
        <v>201.66666666666666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2">
        <f t="shared" si="109"/>
        <v>839.23343832329783</v>
      </c>
      <c r="S143" s="62">
        <f ca="1">AVERAGE(OFFSET($R$3,0,0,'Données projet'!$E$9+1,1))-AVERAGE(OFFSET($H$3,0,0,'Données projet'!$E$9+1,1))</f>
        <v>461.02780119093666</v>
      </c>
      <c r="T143" s="62">
        <f t="shared" si="142"/>
        <v>245.70016468438834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IF('Données projet'!$A$62&gt;35,AI142+AH143-AQ142,IF(A143&lt;'Données projet'!$A$62,$AF$205^A143,IF(A143='Données projet'!$A$62,'Données projet'!$B$62,AI142+AH143-AQ142)))</f>
        <v>281.99999999999943</v>
      </c>
      <c r="AJ143" s="14">
        <f>AI143*VLOOKUP('Données projet'!$B$10,Paramètres!$A$1:$I$89,3,0)*VLOOKUP('Données projet'!$B$10,Paramètres!$A$1:$I$89,5,0)</f>
        <v>237.55679999999955</v>
      </c>
      <c r="AK143" s="14">
        <f t="shared" si="143"/>
        <v>57.913551469467258</v>
      </c>
      <c r="AL143" s="22">
        <f t="shared" si="112"/>
        <v>514.61086214265481</v>
      </c>
      <c r="AM143" s="62">
        <f t="shared" si="113"/>
        <v>802.01151140415641</v>
      </c>
      <c r="AN143" s="62">
        <f ca="1">AVERAGE(OFFSET($AM$3,0,0,'Données projet'!$E$10+1,1))-AVERAGE(OFFSET($H$3,0,0,'Données projet'!$E$10+1,1))</f>
        <v>434.22500776975596</v>
      </c>
      <c r="AO143" s="62">
        <f t="shared" si="144"/>
        <v>232.59777933076705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-1.0818439477588981E-13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393.3005580838161</v>
      </c>
      <c r="BJ143" s="62">
        <f t="shared" si="146"/>
        <v>295.86019897822757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-4.5224624045658861E-14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388.52230330563884</v>
      </c>
      <c r="CE143" s="62">
        <f t="shared" si="148"/>
        <v>418.94833960687333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-4.1677594708744434E-14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362.38131866207266</v>
      </c>
      <c r="CZ143" s="62">
        <f t="shared" si="150"/>
        <v>390.74498763200336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8.5265128291212022E-14</v>
      </c>
      <c r="DP143" s="18">
        <f>DO143*VLOOKUP('Données projet'!$B$14,Paramètres!$A$1:$I$89,3,0)*VLOOKUP('Données projet'!$B$14,Paramètres!$A$1:$I$89,5,0)</f>
        <v>7.4487616075202836E-14</v>
      </c>
      <c r="DQ143" s="14">
        <f t="shared" si="151"/>
        <v>1.1580453144473142E-12</v>
      </c>
      <c r="DR143" s="22">
        <f t="shared" si="124"/>
        <v>2.1466615206600508E-12</v>
      </c>
      <c r="DS143" s="62">
        <f t="shared" si="125"/>
        <v>287.40064926150382</v>
      </c>
      <c r="DT143" s="62">
        <f ca="1">AVERAGE(OFFSET($DS$3,0,0,'Données projet'!$E$14+1,1))-AVERAGE(OFFSET($H$3,0,0,'Données projet'!$E$14+1,1))</f>
        <v>334.4692012109935</v>
      </c>
      <c r="DU143" s="62">
        <f t="shared" si="152"/>
        <v>316.360405424036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-1.9065282685915009E-13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390.09289316045653</v>
      </c>
      <c r="EP143" s="62">
        <f t="shared" si="154"/>
        <v>364.34913542817617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0.34952347039477183</v>
      </c>
      <c r="EX143" s="23">
        <f>EXP(-LN(2)/2)*EX142+(1-EXP(-LN(2)/2))/(LN(2)/2)*ER143*EU143*VLOOKUP('Données projet'!$B$15,Paramètres!$A$1:$I$89,3,0)*0.475*44/12</f>
        <v>2.4931290109802858E-16</v>
      </c>
      <c r="EY143" s="24">
        <f t="shared" si="129"/>
        <v>0.34952347039477205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4.5474735088646412E-13</v>
      </c>
      <c r="FF143" s="18">
        <f>FE143*VLOOKUP('Données projet'!$B$16,Paramètres!$A$1:$I$89,3,0)*VLOOKUP('Données projet'!$B$16,Paramètres!$A$1:$I$89,5,0)</f>
        <v>2.1282176021486519E-13</v>
      </c>
      <c r="FG143" s="14">
        <f t="shared" si="155"/>
        <v>2.9281075858910828E-12</v>
      </c>
      <c r="FH143" s="22">
        <f t="shared" si="130"/>
        <v>5.4704519444678596E-12</v>
      </c>
      <c r="FI143" s="62">
        <f t="shared" si="131"/>
        <v>287.40064926150711</v>
      </c>
      <c r="FJ143" s="62">
        <f ca="1">AVERAGE(OFFSET($FI$3,0,0,'Données projet'!$E$16+1,1))-AVERAGE(OFFSET($H$3,0,0,'Données projet'!$E$16+1,1))</f>
        <v>344.55118007058775</v>
      </c>
      <c r="FK143" s="62">
        <f t="shared" si="156"/>
        <v>144.16931602355001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252.60122125520482</v>
      </c>
      <c r="GF143" s="62">
        <f t="shared" si="158"/>
        <v>357.56833754121317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0.4876568954993562</v>
      </c>
      <c r="GN143" s="23">
        <f>EXP(-LN(2)/2)*GN142+(1-EXP(-LN(2)/2))/(LN(2)/2)*GH143*GK143*VLOOKUP('Données projet'!$B$17,Paramètres!$A$1:$I$89,3,0)*0.475*44/12</f>
        <v>4.5848935428823841E-16</v>
      </c>
      <c r="GO143" s="23">
        <f t="shared" si="135"/>
        <v>0.48765689549935665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-1.1368683772161603E-13</v>
      </c>
      <c r="GV143" s="18">
        <f>GU143*VLOOKUP('Données projet'!$B$18,Paramètres!$A$1:$I$89,3,0)*VLOOKUP('Données projet'!$B$18,Paramètres!$A$1:$I$89,5,0)</f>
        <v>-9.2222762759774927E-14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268.57152522489537</v>
      </c>
      <c r="HA143" s="62">
        <f t="shared" si="160"/>
        <v>311.80303557283207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3.75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13.75</v>
      </c>
      <c r="H144" s="70">
        <f t="shared" si="110"/>
        <v>201.66666666666666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2">
        <f t="shared" si="109"/>
        <v>844.30840511915278</v>
      </c>
      <c r="S144" s="62">
        <f ca="1">AVERAGE(OFFSET($R$3,0,0,'Données projet'!$E$9+1,1))-AVERAGE(OFFSET($H$3,0,0,'Données projet'!$E$9+1,1))</f>
        <v>461.02780119093666</v>
      </c>
      <c r="T144" s="62">
        <f t="shared" si="142"/>
        <v>245.70016468438834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IF('Données projet'!$A$62&gt;35,AI143+AH144-AQ143,IF(A144&lt;'Données projet'!$A$62,$AF$205^A144,IF(A144='Données projet'!$A$62,'Données projet'!$B$62,AI143+AH144-AQ143)))</f>
        <v>284.59999999999945</v>
      </c>
      <c r="AJ144" s="14">
        <f>AI144*VLOOKUP('Données projet'!$B$10,Paramètres!$A$1:$I$89,3,0)*VLOOKUP('Données projet'!$B$10,Paramètres!$A$1:$I$89,5,0)</f>
        <v>239.74703999999957</v>
      </c>
      <c r="AK144" s="14">
        <f t="shared" si="143"/>
        <v>58.385101566019657</v>
      </c>
      <c r="AL144" s="22">
        <f t="shared" si="112"/>
        <v>519.24681322748347</v>
      </c>
      <c r="AM144" s="62">
        <f t="shared" si="113"/>
        <v>806.75038129413679</v>
      </c>
      <c r="AN144" s="62">
        <f ca="1">AVERAGE(OFFSET($AM$3,0,0,'Données projet'!$E$10+1,1))-AVERAGE(OFFSET($H$3,0,0,'Données projet'!$E$10+1,1))</f>
        <v>434.22500776975596</v>
      </c>
      <c r="AO144" s="62">
        <f t="shared" si="144"/>
        <v>232.59777933076705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-1.0818439477588981E-13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393.3005580838161</v>
      </c>
      <c r="BJ144" s="62">
        <f t="shared" si="146"/>
        <v>295.86019897822757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-4.5224624045658861E-14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388.52230330563884</v>
      </c>
      <c r="CE144" s="62">
        <f t="shared" si="148"/>
        <v>418.94833960687333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-4.1677594708744434E-14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362.38131866207266</v>
      </c>
      <c r="CZ144" s="62">
        <f t="shared" si="150"/>
        <v>390.74498763200336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8.5265128291212022E-14</v>
      </c>
      <c r="DP144" s="18">
        <f>DO144*VLOOKUP('Données projet'!$B$14,Paramètres!$A$1:$I$89,3,0)*VLOOKUP('Données projet'!$B$14,Paramètres!$A$1:$I$89,5,0)</f>
        <v>7.4487616075202836E-14</v>
      </c>
      <c r="DQ144" s="14">
        <f t="shared" si="151"/>
        <v>1.1580453144473142E-12</v>
      </c>
      <c r="DR144" s="22">
        <f t="shared" si="124"/>
        <v>2.1466615206600508E-12</v>
      </c>
      <c r="DS144" s="62">
        <f t="shared" si="125"/>
        <v>287.50356806665548</v>
      </c>
      <c r="DT144" s="62">
        <f ca="1">AVERAGE(OFFSET($DS$3,0,0,'Données projet'!$E$14+1,1))-AVERAGE(OFFSET($H$3,0,0,'Données projet'!$E$14+1,1))</f>
        <v>334.4692012109935</v>
      </c>
      <c r="DU144" s="62">
        <f t="shared" si="152"/>
        <v>316.360405424036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-1.9065282685915009E-13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390.09289316045653</v>
      </c>
      <c r="EP144" s="62">
        <f t="shared" si="154"/>
        <v>364.34913542817617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0.33996573271618635</v>
      </c>
      <c r="EX144" s="23">
        <f>EXP(-LN(2)/2)*EX143+(1-EXP(-LN(2)/2))/(LN(2)/2)*ER144*EU144*VLOOKUP('Données projet'!$B$15,Paramètres!$A$1:$I$89,3,0)*0.475*44/12</f>
        <v>1.7629084300370706E-16</v>
      </c>
      <c r="EY144" s="24">
        <f t="shared" si="129"/>
        <v>0.33996573271618652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4.5474735088646412E-13</v>
      </c>
      <c r="FF144" s="18">
        <f>FE144*VLOOKUP('Données projet'!$B$16,Paramètres!$A$1:$I$89,3,0)*VLOOKUP('Données projet'!$B$16,Paramètres!$A$1:$I$89,5,0)</f>
        <v>2.1282176021486519E-13</v>
      </c>
      <c r="FG144" s="14">
        <f t="shared" si="155"/>
        <v>2.9281075858910828E-12</v>
      </c>
      <c r="FH144" s="22">
        <f t="shared" si="130"/>
        <v>5.4704519444678596E-12</v>
      </c>
      <c r="FI144" s="62">
        <f t="shared" si="131"/>
        <v>287.50356806665877</v>
      </c>
      <c r="FJ144" s="62">
        <f ca="1">AVERAGE(OFFSET($FI$3,0,0,'Données projet'!$E$16+1,1))-AVERAGE(OFFSET($H$3,0,0,'Données projet'!$E$16+1,1))</f>
        <v>344.55118007058775</v>
      </c>
      <c r="FK144" s="62">
        <f t="shared" si="156"/>
        <v>144.16931602355001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252.60122125520482</v>
      </c>
      <c r="GF144" s="62">
        <f t="shared" si="158"/>
        <v>357.56833754121317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0.47432189204716474</v>
      </c>
      <c r="GN144" s="23">
        <f>EXP(-LN(2)/2)*GN143+(1-EXP(-LN(2)/2))/(LN(2)/2)*GH144*GK144*VLOOKUP('Données projet'!$B$17,Paramètres!$A$1:$I$89,3,0)*0.475*44/12</f>
        <v>3.2420093151905487E-16</v>
      </c>
      <c r="GO144" s="23">
        <f t="shared" si="135"/>
        <v>0.47432189204716507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-1.1368683772161603E-13</v>
      </c>
      <c r="GV144" s="18">
        <f>GU144*VLOOKUP('Données projet'!$B$18,Paramètres!$A$1:$I$89,3,0)*VLOOKUP('Données projet'!$B$18,Paramètres!$A$1:$I$89,5,0)</f>
        <v>-9.2222762759774927E-14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268.57152522489537</v>
      </c>
      <c r="HA144" s="62">
        <f t="shared" si="160"/>
        <v>311.80303557283207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3.75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13.75</v>
      </c>
      <c r="H145" s="70">
        <f t="shared" si="110"/>
        <v>201.66666666666666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2">
        <f t="shared" si="109"/>
        <v>849.38065672070934</v>
      </c>
      <c r="S145" s="62">
        <f ca="1">AVERAGE(OFFSET($R$3,0,0,'Données projet'!$E$9+1,1))-AVERAGE(OFFSET($H$3,0,0,'Données projet'!$E$9+1,1))</f>
        <v>461.02780119093666</v>
      </c>
      <c r="T145" s="62">
        <f t="shared" si="142"/>
        <v>245.70016468438834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IF('Données projet'!$A$62&gt;35,AI144+AH145-AQ144,IF(A145&lt;'Données projet'!$A$62,$AF$205^A145,IF(A145='Données projet'!$A$62,'Données projet'!$B$62,AI144+AH145-AQ144)))</f>
        <v>287.19999999999948</v>
      </c>
      <c r="AJ145" s="14">
        <f>AI145*VLOOKUP('Données projet'!$B$10,Paramètres!$A$1:$I$89,3,0)*VLOOKUP('Données projet'!$B$10,Paramètres!$A$1:$I$89,5,0)</f>
        <v>241.93727999999959</v>
      </c>
      <c r="AK145" s="14">
        <f t="shared" si="143"/>
        <v>58.85615048137516</v>
      </c>
      <c r="AL145" s="22">
        <f t="shared" si="112"/>
        <v>523.88189142172769</v>
      </c>
      <c r="AM145" s="62">
        <f t="shared" si="113"/>
        <v>811.48659288235535</v>
      </c>
      <c r="AN145" s="62">
        <f ca="1">AVERAGE(OFFSET($AM$3,0,0,'Données projet'!$E$10+1,1))-AVERAGE(OFFSET($H$3,0,0,'Données projet'!$E$10+1,1))</f>
        <v>434.22500776975596</v>
      </c>
      <c r="AO145" s="62">
        <f t="shared" si="144"/>
        <v>232.59777933076705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-1.0818439477588981E-13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393.3005580838161</v>
      </c>
      <c r="BJ145" s="62">
        <f t="shared" si="146"/>
        <v>295.86019897822757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-4.5224624045658861E-14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388.52230330563884</v>
      </c>
      <c r="CE145" s="62">
        <f t="shared" si="148"/>
        <v>418.94833960687333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-4.1677594708744434E-14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362.38131866207266</v>
      </c>
      <c r="CZ145" s="62">
        <f t="shared" si="150"/>
        <v>390.74498763200336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8.5265128291212022E-14</v>
      </c>
      <c r="DP145" s="18">
        <f>DO145*VLOOKUP('Données projet'!$B$14,Paramètres!$A$1:$I$89,3,0)*VLOOKUP('Données projet'!$B$14,Paramètres!$A$1:$I$89,5,0)</f>
        <v>7.4487616075202836E-14</v>
      </c>
      <c r="DQ145" s="14">
        <f t="shared" si="151"/>
        <v>1.1580453144473142E-12</v>
      </c>
      <c r="DR145" s="22">
        <f t="shared" si="124"/>
        <v>2.1466615206600508E-12</v>
      </c>
      <c r="DS145" s="62">
        <f t="shared" si="125"/>
        <v>287.60470146062977</v>
      </c>
      <c r="DT145" s="62">
        <f ca="1">AVERAGE(OFFSET($DS$3,0,0,'Données projet'!$E$14+1,1))-AVERAGE(OFFSET($H$3,0,0,'Données projet'!$E$14+1,1))</f>
        <v>334.4692012109935</v>
      </c>
      <c r="DU145" s="62">
        <f t="shared" si="152"/>
        <v>316.360405424036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-1.9065282685915009E-13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390.09289316045653</v>
      </c>
      <c r="EP145" s="62">
        <f t="shared" si="154"/>
        <v>364.34913542817617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0.33066935187704133</v>
      </c>
      <c r="EX145" s="23">
        <f>EXP(-LN(2)/2)*EX144+(1-EXP(-LN(2)/2))/(LN(2)/2)*ER145*EU145*VLOOKUP('Données projet'!$B$15,Paramètres!$A$1:$I$89,3,0)*0.475*44/12</f>
        <v>1.2465645054901429E-16</v>
      </c>
      <c r="EY145" s="24">
        <f t="shared" si="129"/>
        <v>0.33066935187704144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4.5474735088646412E-13</v>
      </c>
      <c r="FF145" s="18">
        <f>FE145*VLOOKUP('Données projet'!$B$16,Paramètres!$A$1:$I$89,3,0)*VLOOKUP('Données projet'!$B$16,Paramètres!$A$1:$I$89,5,0)</f>
        <v>2.1282176021486519E-13</v>
      </c>
      <c r="FG145" s="14">
        <f t="shared" si="155"/>
        <v>2.9281075858910828E-12</v>
      </c>
      <c r="FH145" s="22">
        <f t="shared" si="130"/>
        <v>5.4704519444678596E-12</v>
      </c>
      <c r="FI145" s="62">
        <f t="shared" si="131"/>
        <v>287.60470146063307</v>
      </c>
      <c r="FJ145" s="62">
        <f ca="1">AVERAGE(OFFSET($FI$3,0,0,'Données projet'!$E$16+1,1))-AVERAGE(OFFSET($H$3,0,0,'Données projet'!$E$16+1,1))</f>
        <v>344.55118007058775</v>
      </c>
      <c r="FK145" s="62">
        <f t="shared" si="156"/>
        <v>144.16931602355001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252.60122125520482</v>
      </c>
      <c r="GF145" s="62">
        <f t="shared" si="158"/>
        <v>357.56833754121317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0.46135153496563081</v>
      </c>
      <c r="GN145" s="23">
        <f>EXP(-LN(2)/2)*GN144+(1-EXP(-LN(2)/2))/(LN(2)/2)*GH145*GK145*VLOOKUP('Données projet'!$B$17,Paramètres!$A$1:$I$89,3,0)*0.475*44/12</f>
        <v>2.2924467714411921E-16</v>
      </c>
      <c r="GO145" s="23">
        <f t="shared" si="135"/>
        <v>0.46135153496563103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-1.1368683772161603E-13</v>
      </c>
      <c r="GV145" s="18">
        <f>GU145*VLOOKUP('Données projet'!$B$18,Paramètres!$A$1:$I$89,3,0)*VLOOKUP('Données projet'!$B$18,Paramètres!$A$1:$I$89,5,0)</f>
        <v>-9.2222762759774927E-14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268.57152522489537</v>
      </c>
      <c r="HA145" s="62">
        <f t="shared" si="160"/>
        <v>311.80303557283207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3.75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13.75</v>
      </c>
      <c r="H146" s="70">
        <f t="shared" si="110"/>
        <v>201.66666666666666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2">
        <f t="shared" si="109"/>
        <v>854.45023349319354</v>
      </c>
      <c r="S146" s="62">
        <f ca="1">AVERAGE(OFFSET($R$3,0,0,'Données projet'!$E$9+1,1))-AVERAGE(OFFSET($H$3,0,0,'Données projet'!$E$9+1,1))</f>
        <v>461.02780119093666</v>
      </c>
      <c r="T146" s="62">
        <f t="shared" si="142"/>
        <v>245.70016468438834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IF('Données projet'!$A$62&gt;35,AI145+AH146-AQ145,IF(A146&lt;'Données projet'!$A$62,$AF$205^A146,IF(A146='Données projet'!$A$62,'Données projet'!$B$62,AI145+AH146-AQ145)))</f>
        <v>289.7999999999995</v>
      </c>
      <c r="AJ146" s="14">
        <f>AI146*VLOOKUP('Données projet'!$B$10,Paramètres!$A$1:$I$89,3,0)*VLOOKUP('Données projet'!$B$10,Paramètres!$A$1:$I$89,5,0)</f>
        <v>244.12751999999961</v>
      </c>
      <c r="AK146" s="14">
        <f t="shared" si="143"/>
        <v>59.3267032782855</v>
      </c>
      <c r="AL146" s="22">
        <f t="shared" si="112"/>
        <v>528.51610554301317</v>
      </c>
      <c r="AM146" s="62">
        <f t="shared" si="113"/>
        <v>816.22018595933014</v>
      </c>
      <c r="AN146" s="62">
        <f ca="1">AVERAGE(OFFSET($AM$3,0,0,'Données projet'!$E$10+1,1))-AVERAGE(OFFSET($H$3,0,0,'Données projet'!$E$10+1,1))</f>
        <v>434.22500776975596</v>
      </c>
      <c r="AO146" s="62">
        <f t="shared" si="144"/>
        <v>232.59777933076705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-1.0818439477588981E-13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393.3005580838161</v>
      </c>
      <c r="BJ146" s="62">
        <f t="shared" si="146"/>
        <v>295.86019897822757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-4.5224624045658861E-14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388.52230330563884</v>
      </c>
      <c r="CE146" s="62">
        <f t="shared" si="148"/>
        <v>418.94833960687333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-4.1677594708744434E-14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362.38131866207266</v>
      </c>
      <c r="CZ146" s="62">
        <f t="shared" si="150"/>
        <v>390.74498763200336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8.5265128291212022E-14</v>
      </c>
      <c r="DP146" s="18">
        <f>DO146*VLOOKUP('Données projet'!$B$14,Paramètres!$A$1:$I$89,3,0)*VLOOKUP('Données projet'!$B$14,Paramètres!$A$1:$I$89,5,0)</f>
        <v>7.4487616075202836E-14</v>
      </c>
      <c r="DQ146" s="14">
        <f t="shared" si="151"/>
        <v>1.1580453144473142E-12</v>
      </c>
      <c r="DR146" s="22">
        <f t="shared" si="124"/>
        <v>2.1466615206600508E-12</v>
      </c>
      <c r="DS146" s="62">
        <f t="shared" si="125"/>
        <v>287.70408041631907</v>
      </c>
      <c r="DT146" s="62">
        <f ca="1">AVERAGE(OFFSET($DS$3,0,0,'Données projet'!$E$14+1,1))-AVERAGE(OFFSET($H$3,0,0,'Données projet'!$E$14+1,1))</f>
        <v>334.4692012109935</v>
      </c>
      <c r="DU146" s="62">
        <f t="shared" si="152"/>
        <v>316.360405424036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-1.9065282685915009E-13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390.09289316045653</v>
      </c>
      <c r="EP146" s="62">
        <f t="shared" si="154"/>
        <v>364.34913542817617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0.32162718106081817</v>
      </c>
      <c r="EX146" s="23">
        <f>EXP(-LN(2)/2)*EX145+(1-EXP(-LN(2)/2))/(LN(2)/2)*ER146*EU146*VLOOKUP('Données projet'!$B$15,Paramètres!$A$1:$I$89,3,0)*0.475*44/12</f>
        <v>8.8145421501853531E-17</v>
      </c>
      <c r="EY146" s="24">
        <f t="shared" si="129"/>
        <v>0.32162718106081828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4.5474735088646412E-13</v>
      </c>
      <c r="FF146" s="18">
        <f>FE146*VLOOKUP('Données projet'!$B$16,Paramètres!$A$1:$I$89,3,0)*VLOOKUP('Données projet'!$B$16,Paramètres!$A$1:$I$89,5,0)</f>
        <v>2.1282176021486519E-13</v>
      </c>
      <c r="FG146" s="14">
        <f t="shared" si="155"/>
        <v>2.9281075858910828E-12</v>
      </c>
      <c r="FH146" s="22">
        <f t="shared" si="130"/>
        <v>5.4704519444678596E-12</v>
      </c>
      <c r="FI146" s="62">
        <f t="shared" si="131"/>
        <v>287.70408041632237</v>
      </c>
      <c r="FJ146" s="62">
        <f ca="1">AVERAGE(OFFSET($FI$3,0,0,'Données projet'!$E$16+1,1))-AVERAGE(OFFSET($H$3,0,0,'Données projet'!$E$16+1,1))</f>
        <v>344.55118007058775</v>
      </c>
      <c r="FK146" s="62">
        <f t="shared" si="156"/>
        <v>144.16931602355001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252.60122125520482</v>
      </c>
      <c r="GF146" s="62">
        <f t="shared" si="158"/>
        <v>357.56833754121317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0.44873585298057284</v>
      </c>
      <c r="GN146" s="23">
        <f>EXP(-LN(2)/2)*GN145+(1-EXP(-LN(2)/2))/(LN(2)/2)*GH146*GK146*VLOOKUP('Données projet'!$B$17,Paramètres!$A$1:$I$89,3,0)*0.475*44/12</f>
        <v>1.6210046575952743E-16</v>
      </c>
      <c r="GO146" s="23">
        <f t="shared" si="135"/>
        <v>0.448735852980573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-1.1368683772161603E-13</v>
      </c>
      <c r="GV146" s="18">
        <f>GU146*VLOOKUP('Données projet'!$B$18,Paramètres!$A$1:$I$89,3,0)*VLOOKUP('Données projet'!$B$18,Paramètres!$A$1:$I$89,5,0)</f>
        <v>-9.2222762759774927E-14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268.57152522489537</v>
      </c>
      <c r="HA146" s="62">
        <f t="shared" si="160"/>
        <v>311.80303557283207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3.75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13.75</v>
      </c>
      <c r="H147" s="70">
        <f t="shared" si="110"/>
        <v>201.66666666666666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2">
        <f t="shared" si="109"/>
        <v>859.5171750862678</v>
      </c>
      <c r="S147" s="62">
        <f ca="1">AVERAGE(OFFSET($R$3,0,0,'Données projet'!$E$9+1,1))-AVERAGE(OFFSET($H$3,0,0,'Données projet'!$E$9+1,1))</f>
        <v>461.02780119093666</v>
      </c>
      <c r="T147" s="62">
        <f t="shared" si="142"/>
        <v>245.70016468438834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IF('Données projet'!$A$62&gt;35,AI146+AH147-AQ146,IF(A147&lt;'Données projet'!$A$62,$AF$205^A147,IF(A147='Données projet'!$A$62,'Données projet'!$B$62,AI146+AH147-AQ146)))</f>
        <v>292.39999999999952</v>
      </c>
      <c r="AJ147" s="14">
        <f>AI147*VLOOKUP('Données projet'!$B$10,Paramètres!$A$1:$I$89,3,0)*VLOOKUP('Données projet'!$B$10,Paramètres!$A$1:$I$89,5,0)</f>
        <v>246.31775999999962</v>
      </c>
      <c r="AK147" s="14">
        <f t="shared" si="143"/>
        <v>59.796764923418536</v>
      </c>
      <c r="AL147" s="22">
        <f t="shared" si="112"/>
        <v>533.14946424161997</v>
      </c>
      <c r="AM147" s="62">
        <f t="shared" si="113"/>
        <v>820.95119961092291</v>
      </c>
      <c r="AN147" s="62">
        <f ca="1">AVERAGE(OFFSET($AM$3,0,0,'Données projet'!$E$10+1,1))-AVERAGE(OFFSET($H$3,0,0,'Données projet'!$E$10+1,1))</f>
        <v>434.22500776975596</v>
      </c>
      <c r="AO147" s="62">
        <f t="shared" si="144"/>
        <v>232.59777933076705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-1.0818439477588981E-13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393.3005580838161</v>
      </c>
      <c r="BJ147" s="62">
        <f t="shared" si="146"/>
        <v>295.86019897822757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-4.5224624045658861E-14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388.52230330563884</v>
      </c>
      <c r="CE147" s="62">
        <f t="shared" si="148"/>
        <v>418.94833960687333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-4.1677594708744434E-14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362.38131866207266</v>
      </c>
      <c r="CZ147" s="62">
        <f t="shared" si="150"/>
        <v>390.74498763200336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8.5265128291212022E-14</v>
      </c>
      <c r="DP147" s="18">
        <f>DO147*VLOOKUP('Données projet'!$B$14,Paramètres!$A$1:$I$89,3,0)*VLOOKUP('Données projet'!$B$14,Paramètres!$A$1:$I$89,5,0)</f>
        <v>7.4487616075202836E-14</v>
      </c>
      <c r="DQ147" s="14">
        <f t="shared" si="151"/>
        <v>1.1580453144473142E-12</v>
      </c>
      <c r="DR147" s="22">
        <f t="shared" si="124"/>
        <v>2.1466615206600508E-12</v>
      </c>
      <c r="DS147" s="62">
        <f t="shared" si="125"/>
        <v>287.80173536930516</v>
      </c>
      <c r="DT147" s="62">
        <f ca="1">AVERAGE(OFFSET($DS$3,0,0,'Données projet'!$E$14+1,1))-AVERAGE(OFFSET($H$3,0,0,'Données projet'!$E$14+1,1))</f>
        <v>334.4692012109935</v>
      </c>
      <c r="DU147" s="62">
        <f t="shared" si="152"/>
        <v>316.360405424036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-1.9065282685915009E-13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390.09289316045653</v>
      </c>
      <c r="EP147" s="62">
        <f t="shared" si="154"/>
        <v>364.34913542817617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0.31283226888107174</v>
      </c>
      <c r="EX147" s="23">
        <f>EXP(-LN(2)/2)*EX146+(1-EXP(-LN(2)/2))/(LN(2)/2)*ER147*EU147*VLOOKUP('Données projet'!$B$15,Paramètres!$A$1:$I$89,3,0)*0.475*44/12</f>
        <v>6.2328225274507146E-17</v>
      </c>
      <c r="EY147" s="24">
        <f t="shared" si="129"/>
        <v>0.3128322688810718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4.5474735088646412E-13</v>
      </c>
      <c r="FF147" s="18">
        <f>FE147*VLOOKUP('Données projet'!$B$16,Paramètres!$A$1:$I$89,3,0)*VLOOKUP('Données projet'!$B$16,Paramètres!$A$1:$I$89,5,0)</f>
        <v>2.1282176021486519E-13</v>
      </c>
      <c r="FG147" s="14">
        <f t="shared" si="155"/>
        <v>2.9281075858910828E-12</v>
      </c>
      <c r="FH147" s="22">
        <f t="shared" si="130"/>
        <v>5.4704519444678596E-12</v>
      </c>
      <c r="FI147" s="62">
        <f t="shared" si="131"/>
        <v>287.80173536930846</v>
      </c>
      <c r="FJ147" s="62">
        <f ca="1">AVERAGE(OFFSET($FI$3,0,0,'Données projet'!$E$16+1,1))-AVERAGE(OFFSET($H$3,0,0,'Données projet'!$E$16+1,1))</f>
        <v>344.55118007058775</v>
      </c>
      <c r="FK147" s="62">
        <f t="shared" si="156"/>
        <v>144.16931602355001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252.60122125520482</v>
      </c>
      <c r="GF147" s="62">
        <f t="shared" si="158"/>
        <v>357.56833754121317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0.43646514748282617</v>
      </c>
      <c r="GN147" s="23">
        <f>EXP(-LN(2)/2)*GN146+(1-EXP(-LN(2)/2))/(LN(2)/2)*GH147*GK147*VLOOKUP('Données projet'!$B$17,Paramètres!$A$1:$I$89,3,0)*0.475*44/12</f>
        <v>1.146223385720596E-16</v>
      </c>
      <c r="GO147" s="23">
        <f t="shared" si="135"/>
        <v>0.43646514748282628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-1.1368683772161603E-13</v>
      </c>
      <c r="GV147" s="18">
        <f>GU147*VLOOKUP('Données projet'!$B$18,Paramètres!$A$1:$I$89,3,0)*VLOOKUP('Données projet'!$B$18,Paramètres!$A$1:$I$89,5,0)</f>
        <v>-9.2222762759774927E-14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268.57152522489537</v>
      </c>
      <c r="HA147" s="62">
        <f t="shared" si="160"/>
        <v>311.80303557283207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3.75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13.75</v>
      </c>
      <c r="H148" s="70">
        <f t="shared" si="110"/>
        <v>201.66666666666666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2">
        <f t="shared" si="109"/>
        <v>864.58152044828944</v>
      </c>
      <c r="S148" s="62">
        <f ca="1">AVERAGE(OFFSET($R$3,0,0,'Données projet'!$E$9+1,1))-AVERAGE(OFFSET($H$3,0,0,'Données projet'!$E$9+1,1))</f>
        <v>461.02780119093666</v>
      </c>
      <c r="T148" s="62">
        <f t="shared" si="142"/>
        <v>245.70016468438834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IF('Données projet'!$A$62&gt;35,AI147+AH148-AQ147,IF(A148&lt;'Données projet'!$A$62,$AF$205^A148,IF(A148='Données projet'!$A$62,'Données projet'!$B$62,AI147+AH148-AQ147)))</f>
        <v>294.99999999999955</v>
      </c>
      <c r="AJ148" s="14">
        <f>AI148*VLOOKUP('Données projet'!$B$10,Paramètres!$A$1:$I$89,3,0)*VLOOKUP('Données projet'!$B$10,Paramètres!$A$1:$I$89,5,0)</f>
        <v>248.50799999999964</v>
      </c>
      <c r="AK148" s="14">
        <f t="shared" si="143"/>
        <v>60.26634029001962</v>
      </c>
      <c r="AL148" s="22">
        <f t="shared" si="112"/>
        <v>537.78197600511692</v>
      </c>
      <c r="AM148" s="62">
        <f t="shared" si="113"/>
        <v>825.67967223229539</v>
      </c>
      <c r="AN148" s="62">
        <f ca="1">AVERAGE(OFFSET($AM$3,0,0,'Données projet'!$E$10+1,1))-AVERAGE(OFFSET($H$3,0,0,'Données projet'!$E$10+1,1))</f>
        <v>434.22500776975596</v>
      </c>
      <c r="AO148" s="62">
        <f t="shared" si="144"/>
        <v>232.59777933076705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-1.0818439477588981E-13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393.3005580838161</v>
      </c>
      <c r="BJ148" s="62">
        <f t="shared" si="146"/>
        <v>295.86019897822757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-4.5224624045658861E-14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388.52230330563884</v>
      </c>
      <c r="CE148" s="62">
        <f t="shared" si="148"/>
        <v>418.94833960687333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-4.1677594708744434E-14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362.38131866207266</v>
      </c>
      <c r="CZ148" s="62">
        <f t="shared" si="150"/>
        <v>390.74498763200336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8.5265128291212022E-14</v>
      </c>
      <c r="DP148" s="18">
        <f>DO148*VLOOKUP('Données projet'!$B$14,Paramètres!$A$1:$I$89,3,0)*VLOOKUP('Données projet'!$B$14,Paramètres!$A$1:$I$89,5,0)</f>
        <v>7.4487616075202836E-14</v>
      </c>
      <c r="DQ148" s="14">
        <f t="shared" si="151"/>
        <v>1.1580453144473142E-12</v>
      </c>
      <c r="DR148" s="22">
        <f t="shared" si="124"/>
        <v>2.1466615206600508E-12</v>
      </c>
      <c r="DS148" s="62">
        <f t="shared" si="125"/>
        <v>287.89769622718069</v>
      </c>
      <c r="DT148" s="62">
        <f ca="1">AVERAGE(OFFSET($DS$3,0,0,'Données projet'!$E$14+1,1))-AVERAGE(OFFSET($H$3,0,0,'Données projet'!$E$14+1,1))</f>
        <v>334.4692012109935</v>
      </c>
      <c r="DU148" s="62">
        <f t="shared" si="152"/>
        <v>316.360405424036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-1.9065282685915009E-13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390.09289316045653</v>
      </c>
      <c r="EP148" s="62">
        <f t="shared" si="154"/>
        <v>364.34913542817617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0.30427785403738478</v>
      </c>
      <c r="EX148" s="23">
        <f>EXP(-LN(2)/2)*EX147+(1-EXP(-LN(2)/2))/(LN(2)/2)*ER148*EU148*VLOOKUP('Données projet'!$B$15,Paramètres!$A$1:$I$89,3,0)*0.475*44/12</f>
        <v>4.4072710750926765E-17</v>
      </c>
      <c r="EY148" s="24">
        <f t="shared" si="129"/>
        <v>0.30427785403738483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4.5474735088646412E-13</v>
      </c>
      <c r="FF148" s="18">
        <f>FE148*VLOOKUP('Données projet'!$B$16,Paramètres!$A$1:$I$89,3,0)*VLOOKUP('Données projet'!$B$16,Paramètres!$A$1:$I$89,5,0)</f>
        <v>2.1282176021486519E-13</v>
      </c>
      <c r="FG148" s="14">
        <f t="shared" si="155"/>
        <v>2.9281075858910828E-12</v>
      </c>
      <c r="FH148" s="22">
        <f t="shared" si="130"/>
        <v>5.4704519444678596E-12</v>
      </c>
      <c r="FI148" s="62">
        <f t="shared" si="131"/>
        <v>287.89769622718399</v>
      </c>
      <c r="FJ148" s="62">
        <f ca="1">AVERAGE(OFFSET($FI$3,0,0,'Données projet'!$E$16+1,1))-AVERAGE(OFFSET($H$3,0,0,'Données projet'!$E$16+1,1))</f>
        <v>344.55118007058775</v>
      </c>
      <c r="FK148" s="62">
        <f t="shared" si="156"/>
        <v>144.16931602355001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252.60122125520482</v>
      </c>
      <c r="GF148" s="62">
        <f t="shared" si="158"/>
        <v>357.56833754121317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0.42452998507220374</v>
      </c>
      <c r="GN148" s="23">
        <f>EXP(-LN(2)/2)*GN147+(1-EXP(-LN(2)/2))/(LN(2)/2)*GH148*GK148*VLOOKUP('Données projet'!$B$17,Paramètres!$A$1:$I$89,3,0)*0.475*44/12</f>
        <v>8.1050232879763717E-17</v>
      </c>
      <c r="GO148" s="23">
        <f t="shared" si="135"/>
        <v>0.4245299850722038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-1.1368683772161603E-13</v>
      </c>
      <c r="GV148" s="18">
        <f>GU148*VLOOKUP('Données projet'!$B$18,Paramètres!$A$1:$I$89,3,0)*VLOOKUP('Données projet'!$B$18,Paramètres!$A$1:$I$89,5,0)</f>
        <v>-9.2222762759774927E-14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268.57152522489537</v>
      </c>
      <c r="HA148" s="62">
        <f t="shared" si="160"/>
        <v>311.80303557283207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3.75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13.75</v>
      </c>
      <c r="H149" s="70">
        <f t="shared" si="110"/>
        <v>201.66666666666666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268.90655999999956</v>
      </c>
      <c r="P149" s="14">
        <f t="shared" si="141"/>
        <v>64.617158945843656</v>
      </c>
      <c r="Q149" s="22">
        <f t="shared" si="108"/>
        <v>580.88714383067679</v>
      </c>
      <c r="R149" s="62">
        <f t="shared" si="109"/>
        <v>868.87913620938309</v>
      </c>
      <c r="S149" s="62">
        <f ca="1">AVERAGE(OFFSET($R$3,0,0,'Données projet'!$E$9+1,1))-AVERAGE(OFFSET($H$3,0,0,'Données projet'!$E$9+1,1))</f>
        <v>461.02780119093666</v>
      </c>
      <c r="T149" s="62">
        <f t="shared" si="142"/>
        <v>245.70016468438834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IF('Données projet'!$A$62&gt;35,AI148+AH149-AQ148,IF(A149&lt;'Données projet'!$A$62,$AF$205^A149,IF(A149='Données projet'!$A$62,'Données projet'!$B$62,AI148+AH149-AQ148)))</f>
        <v>297.19999999999953</v>
      </c>
      <c r="AJ149" s="14">
        <f>AI149*VLOOKUP('Données projet'!$B$10,Paramètres!$A$1:$I$89,3,0)*VLOOKUP('Données projet'!$B$10,Paramètres!$A$1:$I$89,5,0)</f>
        <v>250.36127999999965</v>
      </c>
      <c r="AK149" s="14">
        <f t="shared" si="143"/>
        <v>60.663297023677906</v>
      </c>
      <c r="AL149" s="22">
        <f t="shared" si="112"/>
        <v>541.70113831623837</v>
      </c>
      <c r="AM149" s="62">
        <f t="shared" si="113"/>
        <v>829.69313069494467</v>
      </c>
      <c r="AN149" s="62">
        <f ca="1">AVERAGE(OFFSET($AM$3,0,0,'Données projet'!$E$10+1,1))-AVERAGE(OFFSET($H$3,0,0,'Données projet'!$E$10+1,1))</f>
        <v>434.22500776975596</v>
      </c>
      <c r="AO149" s="62">
        <f t="shared" si="144"/>
        <v>232.59777933076705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-1.0818439477588981E-13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393.3005580838161</v>
      </c>
      <c r="BJ149" s="62">
        <f t="shared" si="146"/>
        <v>295.86019897822757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-4.5224624045658861E-14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388.52230330563884</v>
      </c>
      <c r="CE149" s="62">
        <f t="shared" si="148"/>
        <v>418.94833960687333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-4.1677594708744434E-14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362.38131866207266</v>
      </c>
      <c r="CZ149" s="62">
        <f t="shared" si="150"/>
        <v>390.74498763200336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8.5265128291212022E-14</v>
      </c>
      <c r="DP149" s="18">
        <f>DO149*VLOOKUP('Données projet'!$B$14,Paramètres!$A$1:$I$89,3,0)*VLOOKUP('Données projet'!$B$14,Paramètres!$A$1:$I$89,5,0)</f>
        <v>7.4487616075202836E-14</v>
      </c>
      <c r="DQ149" s="14">
        <f t="shared" si="151"/>
        <v>1.1580453144473142E-12</v>
      </c>
      <c r="DR149" s="22">
        <f t="shared" si="124"/>
        <v>2.1466615206600508E-12</v>
      </c>
      <c r="DS149" s="62">
        <f t="shared" si="125"/>
        <v>287.99199237870846</v>
      </c>
      <c r="DT149" s="62">
        <f ca="1">AVERAGE(OFFSET($DS$3,0,0,'Données projet'!$E$14+1,1))-AVERAGE(OFFSET($H$3,0,0,'Données projet'!$E$14+1,1))</f>
        <v>334.4692012109935</v>
      </c>
      <c r="DU149" s="62">
        <f t="shared" si="152"/>
        <v>316.360405424036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-1.9065282685915009E-13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390.09289316045653</v>
      </c>
      <c r="EP149" s="62">
        <f t="shared" si="154"/>
        <v>364.34913542817617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0.2959573601174556</v>
      </c>
      <c r="EX149" s="23">
        <f>EXP(-LN(2)/2)*EX148+(1-EXP(-LN(2)/2))/(LN(2)/2)*ER149*EU149*VLOOKUP('Données projet'!$B$15,Paramètres!$A$1:$I$89,3,0)*0.475*44/12</f>
        <v>3.1164112637253573E-17</v>
      </c>
      <c r="EY149" s="24">
        <f t="shared" si="129"/>
        <v>0.29595736011745566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4.5474735088646412E-13</v>
      </c>
      <c r="FF149" s="18">
        <f>FE149*VLOOKUP('Données projet'!$B$16,Paramètres!$A$1:$I$89,3,0)*VLOOKUP('Données projet'!$B$16,Paramètres!$A$1:$I$89,5,0)</f>
        <v>2.1282176021486519E-13</v>
      </c>
      <c r="FG149" s="14">
        <f t="shared" si="155"/>
        <v>2.9281075858910828E-12</v>
      </c>
      <c r="FH149" s="22">
        <f t="shared" si="130"/>
        <v>5.4704519444678596E-12</v>
      </c>
      <c r="FI149" s="62">
        <f t="shared" si="131"/>
        <v>287.99199237871176</v>
      </c>
      <c r="FJ149" s="62">
        <f ca="1">AVERAGE(OFFSET($FI$3,0,0,'Données projet'!$E$16+1,1))-AVERAGE(OFFSET($H$3,0,0,'Données projet'!$E$16+1,1))</f>
        <v>344.55118007058775</v>
      </c>
      <c r="FK149" s="62">
        <f t="shared" si="156"/>
        <v>144.16931602355001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252.60122125520482</v>
      </c>
      <c r="GF149" s="62">
        <f t="shared" si="158"/>
        <v>357.56833754121317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0.41292119030534269</v>
      </c>
      <c r="GN149" s="23">
        <f>EXP(-LN(2)/2)*GN148+(1-EXP(-LN(2)/2))/(LN(2)/2)*GH149*GK149*VLOOKUP('Données projet'!$B$17,Paramètres!$A$1:$I$89,3,0)*0.475*44/12</f>
        <v>5.7311169286029802E-17</v>
      </c>
      <c r="GO149" s="23">
        <f t="shared" si="135"/>
        <v>0.41292119030534274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-1.1368683772161603E-13</v>
      </c>
      <c r="GV149" s="18">
        <f>GU149*VLOOKUP('Données projet'!$B$18,Paramètres!$A$1:$I$89,3,0)*VLOOKUP('Données projet'!$B$18,Paramètres!$A$1:$I$89,5,0)</f>
        <v>-9.2222762759774927E-14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268.57152522489537</v>
      </c>
      <c r="HA149" s="62">
        <f t="shared" si="160"/>
        <v>311.80303557283207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3.75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13.75</v>
      </c>
      <c r="H150" s="70">
        <f t="shared" si="110"/>
        <v>201.66666666666666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270.89711999999952</v>
      </c>
      <c r="P150" s="14">
        <f t="shared" si="141"/>
        <v>65.039624021315362</v>
      </c>
      <c r="Q150" s="22">
        <f t="shared" si="108"/>
        <v>585.08982917045671</v>
      </c>
      <c r="R150" s="62">
        <f t="shared" si="109"/>
        <v>873.17448187327636</v>
      </c>
      <c r="S150" s="62">
        <f ca="1">AVERAGE(OFFSET($R$3,0,0,'Données projet'!$E$9+1,1))-AVERAGE(OFFSET($H$3,0,0,'Données projet'!$E$9+1,1))</f>
        <v>461.02780119093666</v>
      </c>
      <c r="T150" s="62">
        <f t="shared" si="142"/>
        <v>245.70016468438834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IF('Données projet'!$A$62&gt;35,AI149+AH150-AQ149,IF(A150&lt;'Données projet'!$A$62,$AF$205^A150,IF(A150='Données projet'!$A$62,'Données projet'!$B$62,AI149+AH150-AQ149)))</f>
        <v>299.39999999999952</v>
      </c>
      <c r="AJ150" s="14">
        <f>AI150*VLOOKUP('Données projet'!$B$10,Paramètres!$A$1:$I$89,3,0)*VLOOKUP('Données projet'!$B$10,Paramètres!$A$1:$I$89,5,0)</f>
        <v>252.21455999999964</v>
      </c>
      <c r="AK150" s="14">
        <f t="shared" si="143"/>
        <v>61.059911866756195</v>
      </c>
      <c r="AL150" s="22">
        <f t="shared" si="112"/>
        <v>545.61970516793315</v>
      </c>
      <c r="AM150" s="62">
        <f t="shared" si="113"/>
        <v>833.7043578707528</v>
      </c>
      <c r="AN150" s="62">
        <f ca="1">AVERAGE(OFFSET($AM$3,0,0,'Données projet'!$E$10+1,1))-AVERAGE(OFFSET($H$3,0,0,'Données projet'!$E$10+1,1))</f>
        <v>434.22500776975596</v>
      </c>
      <c r="AO150" s="62">
        <f t="shared" si="144"/>
        <v>232.59777933076705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-1.0818439477588981E-13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393.3005580838161</v>
      </c>
      <c r="BJ150" s="62">
        <f t="shared" si="146"/>
        <v>295.86019897822757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-4.5224624045658861E-14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388.52230330563884</v>
      </c>
      <c r="CE150" s="62">
        <f t="shared" si="148"/>
        <v>418.94833960687333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-4.1677594708744434E-14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362.38131866207266</v>
      </c>
      <c r="CZ150" s="62">
        <f t="shared" si="150"/>
        <v>390.74498763200336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8.5265128291212022E-14</v>
      </c>
      <c r="DP150" s="18">
        <f>DO150*VLOOKUP('Données projet'!$B$14,Paramètres!$A$1:$I$89,3,0)*VLOOKUP('Données projet'!$B$14,Paramètres!$A$1:$I$89,5,0)</f>
        <v>7.4487616075202836E-14</v>
      </c>
      <c r="DQ150" s="14">
        <f t="shared" si="151"/>
        <v>1.1580453144473142E-12</v>
      </c>
      <c r="DR150" s="22">
        <f t="shared" si="124"/>
        <v>2.1466615206600508E-12</v>
      </c>
      <c r="DS150" s="62">
        <f t="shared" si="125"/>
        <v>288.08465270282176</v>
      </c>
      <c r="DT150" s="62">
        <f ca="1">AVERAGE(OFFSET($DS$3,0,0,'Données projet'!$E$14+1,1))-AVERAGE(OFFSET($H$3,0,0,'Données projet'!$E$14+1,1))</f>
        <v>334.4692012109935</v>
      </c>
      <c r="DU150" s="62">
        <f t="shared" si="152"/>
        <v>316.360405424036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-1.9065282685915009E-13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390.09289316045653</v>
      </c>
      <c r="EP150" s="62">
        <f t="shared" si="154"/>
        <v>364.34913542817617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0.28786439054132262</v>
      </c>
      <c r="EX150" s="23">
        <f>EXP(-LN(2)/2)*EX149+(1-EXP(-LN(2)/2))/(LN(2)/2)*ER150*EU150*VLOOKUP('Données projet'!$B$15,Paramètres!$A$1:$I$89,3,0)*0.475*44/12</f>
        <v>2.2036355375463383E-17</v>
      </c>
      <c r="EY150" s="24">
        <f t="shared" si="129"/>
        <v>0.28786439054132262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4.5474735088646412E-13</v>
      </c>
      <c r="FF150" s="18">
        <f>FE150*VLOOKUP('Données projet'!$B$16,Paramètres!$A$1:$I$89,3,0)*VLOOKUP('Données projet'!$B$16,Paramètres!$A$1:$I$89,5,0)</f>
        <v>2.1282176021486519E-13</v>
      </c>
      <c r="FG150" s="14">
        <f t="shared" si="155"/>
        <v>2.9281075858910828E-12</v>
      </c>
      <c r="FH150" s="22">
        <f t="shared" si="130"/>
        <v>5.4704519444678596E-12</v>
      </c>
      <c r="FI150" s="62">
        <f t="shared" si="131"/>
        <v>288.08465270282505</v>
      </c>
      <c r="FJ150" s="62">
        <f ca="1">AVERAGE(OFFSET($FI$3,0,0,'Données projet'!$E$16+1,1))-AVERAGE(OFFSET($H$3,0,0,'Données projet'!$E$16+1,1))</f>
        <v>344.55118007058775</v>
      </c>
      <c r="FK150" s="62">
        <f t="shared" si="156"/>
        <v>144.16931602355001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252.60122125520482</v>
      </c>
      <c r="GF150" s="62">
        <f t="shared" si="158"/>
        <v>357.56833754121317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0.40162983864186141</v>
      </c>
      <c r="GN150" s="23">
        <f>EXP(-LN(2)/2)*GN149+(1-EXP(-LN(2)/2))/(LN(2)/2)*GH150*GK150*VLOOKUP('Données projet'!$B$17,Paramètres!$A$1:$I$89,3,0)*0.475*44/12</f>
        <v>4.0525116439881859E-17</v>
      </c>
      <c r="GO150" s="23">
        <f t="shared" si="135"/>
        <v>0.40162983864186147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-1.1368683772161603E-13</v>
      </c>
      <c r="GV150" s="18">
        <f>GU150*VLOOKUP('Données projet'!$B$18,Paramètres!$A$1:$I$89,3,0)*VLOOKUP('Données projet'!$B$18,Paramètres!$A$1:$I$89,5,0)</f>
        <v>-9.2222762759774927E-14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268.57152522489537</v>
      </c>
      <c r="HA150" s="62">
        <f t="shared" si="160"/>
        <v>311.80303557283207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3.75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13.75</v>
      </c>
      <c r="H151" s="70">
        <f t="shared" si="110"/>
        <v>201.66666666666666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272.88767999999953</v>
      </c>
      <c r="P151" s="14">
        <f t="shared" si="141"/>
        <v>65.461727908967305</v>
      </c>
      <c r="Q151" s="22">
        <f t="shared" si="108"/>
        <v>589.29188544145063</v>
      </c>
      <c r="R151" s="62">
        <f t="shared" si="109"/>
        <v>877.4675910189178</v>
      </c>
      <c r="S151" s="62">
        <f ca="1">AVERAGE(OFFSET($R$3,0,0,'Données projet'!$E$9+1,1))-AVERAGE(OFFSET($H$3,0,0,'Données projet'!$E$9+1,1))</f>
        <v>461.02780119093666</v>
      </c>
      <c r="T151" s="62">
        <f t="shared" si="142"/>
        <v>245.70016468438834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IF('Données projet'!$A$62&gt;35,AI150+AH151-AQ150,IF(A151&lt;'Données projet'!$A$62,$AF$205^A151,IF(A151='Données projet'!$A$62,'Données projet'!$B$62,AI150+AH151-AQ150)))</f>
        <v>301.59999999999951</v>
      </c>
      <c r="AJ151" s="14">
        <f>AI151*VLOOKUP('Données projet'!$B$10,Paramètres!$A$1:$I$89,3,0)*VLOOKUP('Données projet'!$B$10,Paramètres!$A$1:$I$89,5,0)</f>
        <v>254.06783999999962</v>
      </c>
      <c r="AK151" s="14">
        <f t="shared" si="143"/>
        <v>61.456187622750669</v>
      </c>
      <c r="AL151" s="22">
        <f t="shared" si="112"/>
        <v>549.5376814429568</v>
      </c>
      <c r="AM151" s="62">
        <f t="shared" si="113"/>
        <v>837.71338702042385</v>
      </c>
      <c r="AN151" s="62">
        <f ca="1">AVERAGE(OFFSET($AM$3,0,0,'Données projet'!$E$10+1,1))-AVERAGE(OFFSET($H$3,0,0,'Données projet'!$E$10+1,1))</f>
        <v>434.22500776975596</v>
      </c>
      <c r="AO151" s="62">
        <f t="shared" si="144"/>
        <v>232.59777933076705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-1.0818439477588981E-13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393.3005580838161</v>
      </c>
      <c r="BJ151" s="62">
        <f t="shared" si="146"/>
        <v>295.86019897822757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-4.5224624045658861E-14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388.52230330563884</v>
      </c>
      <c r="CE151" s="62">
        <f t="shared" si="148"/>
        <v>418.94833960687333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-4.1677594708744434E-14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362.38131866207266</v>
      </c>
      <c r="CZ151" s="62">
        <f t="shared" si="150"/>
        <v>390.74498763200336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8.5265128291212022E-14</v>
      </c>
      <c r="DP151" s="18">
        <f>DO151*VLOOKUP('Données projet'!$B$14,Paramètres!$A$1:$I$89,3,0)*VLOOKUP('Données projet'!$B$14,Paramètres!$A$1:$I$89,5,0)</f>
        <v>7.4487616075202836E-14</v>
      </c>
      <c r="DQ151" s="14">
        <f t="shared" si="151"/>
        <v>1.1580453144473142E-12</v>
      </c>
      <c r="DR151" s="22">
        <f t="shared" si="124"/>
        <v>2.1466615206600508E-12</v>
      </c>
      <c r="DS151" s="62">
        <f t="shared" si="125"/>
        <v>288.17570557746927</v>
      </c>
      <c r="DT151" s="62">
        <f ca="1">AVERAGE(OFFSET($DS$3,0,0,'Données projet'!$E$14+1,1))-AVERAGE(OFFSET($H$3,0,0,'Données projet'!$E$14+1,1))</f>
        <v>334.4692012109935</v>
      </c>
      <c r="DU151" s="62">
        <f t="shared" si="152"/>
        <v>316.360405424036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-1.9065282685915009E-13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390.09289316045653</v>
      </c>
      <c r="EP151" s="62">
        <f t="shared" si="154"/>
        <v>364.34913542817617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0.27999272364383976</v>
      </c>
      <c r="EX151" s="23">
        <f>EXP(-LN(2)/2)*EX150+(1-EXP(-LN(2)/2))/(LN(2)/2)*ER151*EU151*VLOOKUP('Données projet'!$B$15,Paramètres!$A$1:$I$89,3,0)*0.475*44/12</f>
        <v>1.5582056318626786E-17</v>
      </c>
      <c r="EY151" s="24">
        <f t="shared" si="129"/>
        <v>0.27999272364383976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4.5474735088646412E-13</v>
      </c>
      <c r="FF151" s="18">
        <f>FE151*VLOOKUP('Données projet'!$B$16,Paramètres!$A$1:$I$89,3,0)*VLOOKUP('Données projet'!$B$16,Paramètres!$A$1:$I$89,5,0)</f>
        <v>2.1282176021486519E-13</v>
      </c>
      <c r="FG151" s="14">
        <f t="shared" si="155"/>
        <v>2.9281075858910828E-12</v>
      </c>
      <c r="FH151" s="22">
        <f t="shared" si="130"/>
        <v>5.4704519444678596E-12</v>
      </c>
      <c r="FI151" s="62">
        <f t="shared" si="131"/>
        <v>288.17570557747257</v>
      </c>
      <c r="FJ151" s="62">
        <f ca="1">AVERAGE(OFFSET($FI$3,0,0,'Données projet'!$E$16+1,1))-AVERAGE(OFFSET($H$3,0,0,'Données projet'!$E$16+1,1))</f>
        <v>344.55118007058775</v>
      </c>
      <c r="FK151" s="62">
        <f t="shared" si="156"/>
        <v>144.16931602355001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252.60122125520482</v>
      </c>
      <c r="GF151" s="62">
        <f t="shared" si="158"/>
        <v>357.56833754121317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0.39064724958340441</v>
      </c>
      <c r="GN151" s="23">
        <f>EXP(-LN(2)/2)*GN150+(1-EXP(-LN(2)/2))/(LN(2)/2)*GH151*GK151*VLOOKUP('Données projet'!$B$17,Paramètres!$A$1:$I$89,3,0)*0.475*44/12</f>
        <v>2.8655584643014901E-17</v>
      </c>
      <c r="GO151" s="23">
        <f t="shared" si="135"/>
        <v>0.39064724958340447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-1.1368683772161603E-13</v>
      </c>
      <c r="GV151" s="18">
        <f>GU151*VLOOKUP('Données projet'!$B$18,Paramètres!$A$1:$I$89,3,0)*VLOOKUP('Données projet'!$B$18,Paramètres!$A$1:$I$89,5,0)</f>
        <v>-9.2222762759774927E-14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268.57152522489537</v>
      </c>
      <c r="HA151" s="62">
        <f t="shared" si="160"/>
        <v>311.80303557283207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3.75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13.75</v>
      </c>
      <c r="H152" s="70">
        <f t="shared" si="110"/>
        <v>201.66666666666666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274.87823999999955</v>
      </c>
      <c r="P152" s="14">
        <f t="shared" si="141"/>
        <v>65.883473548936905</v>
      </c>
      <c r="Q152" s="22">
        <f t="shared" si="108"/>
        <v>593.4933177643976</v>
      </c>
      <c r="R152" s="62">
        <f t="shared" si="109"/>
        <v>881.75849665270084</v>
      </c>
      <c r="S152" s="62">
        <f ca="1">AVERAGE(OFFSET($R$3,0,0,'Données projet'!$E$9+1,1))-AVERAGE(OFFSET($H$3,0,0,'Données projet'!$E$9+1,1))</f>
        <v>461.02780119093666</v>
      </c>
      <c r="T152" s="62">
        <f t="shared" si="142"/>
        <v>245.70016468438834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IF('Données projet'!$A$62&gt;35,AI151+AH152-AQ151,IF(A152&lt;'Données projet'!$A$62,$AF$205^A152,IF(A152='Données projet'!$A$62,'Données projet'!$B$62,AI151+AH152-AQ151)))</f>
        <v>303.7999999999995</v>
      </c>
      <c r="AJ152" s="14">
        <f>AI152*VLOOKUP('Données projet'!$B$10,Paramètres!$A$1:$I$89,3,0)*VLOOKUP('Données projet'!$B$10,Paramètres!$A$1:$I$89,5,0)</f>
        <v>255.9211199999996</v>
      </c>
      <c r="AK152" s="14">
        <f t="shared" si="143"/>
        <v>61.852127051894556</v>
      </c>
      <c r="AL152" s="22">
        <f t="shared" si="112"/>
        <v>553.45507194871561</v>
      </c>
      <c r="AM152" s="62">
        <f t="shared" si="113"/>
        <v>841.72025083701874</v>
      </c>
      <c r="AN152" s="62">
        <f ca="1">AVERAGE(OFFSET($AM$3,0,0,'Données projet'!$E$10+1,1))-AVERAGE(OFFSET($H$3,0,0,'Données projet'!$E$10+1,1))</f>
        <v>434.22500776975596</v>
      </c>
      <c r="AO152" s="62">
        <f t="shared" si="144"/>
        <v>232.59777933076705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-1.0818439477588981E-13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393.3005580838161</v>
      </c>
      <c r="BJ152" s="62">
        <f t="shared" si="146"/>
        <v>295.86019897822757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-4.5224624045658861E-14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388.52230330563884</v>
      </c>
      <c r="CE152" s="62">
        <f t="shared" si="148"/>
        <v>418.94833960687333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-4.1677594708744434E-14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362.38131866207266</v>
      </c>
      <c r="CZ152" s="62">
        <f t="shared" si="150"/>
        <v>390.74498763200336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8.5265128291212022E-14</v>
      </c>
      <c r="DP152" s="18">
        <f>DO152*VLOOKUP('Données projet'!$B$14,Paramètres!$A$1:$I$89,3,0)*VLOOKUP('Données projet'!$B$14,Paramètres!$A$1:$I$89,5,0)</f>
        <v>7.4487616075202836E-14</v>
      </c>
      <c r="DQ152" s="14">
        <f t="shared" si="151"/>
        <v>1.1580453144473142E-12</v>
      </c>
      <c r="DR152" s="22">
        <f t="shared" si="124"/>
        <v>2.1466615206600508E-12</v>
      </c>
      <c r="DS152" s="62">
        <f t="shared" si="125"/>
        <v>288.26517888830534</v>
      </c>
      <c r="DT152" s="62">
        <f ca="1">AVERAGE(OFFSET($DS$3,0,0,'Données projet'!$E$14+1,1))-AVERAGE(OFFSET($H$3,0,0,'Données projet'!$E$14+1,1))</f>
        <v>334.4692012109935</v>
      </c>
      <c r="DU152" s="62">
        <f t="shared" si="152"/>
        <v>316.360405424036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-1.9065282685915009E-13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390.09289316045653</v>
      </c>
      <c r="EP152" s="62">
        <f t="shared" si="154"/>
        <v>364.34913542817617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0.27233630789162155</v>
      </c>
      <c r="EX152" s="23">
        <f>EXP(-LN(2)/2)*EX151+(1-EXP(-LN(2)/2))/(LN(2)/2)*ER152*EU152*VLOOKUP('Données projet'!$B$15,Paramètres!$A$1:$I$89,3,0)*0.475*44/12</f>
        <v>1.1018177687731691E-17</v>
      </c>
      <c r="EY152" s="24">
        <f t="shared" si="129"/>
        <v>0.27233630789162155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4.5474735088646412E-13</v>
      </c>
      <c r="FF152" s="18">
        <f>FE152*VLOOKUP('Données projet'!$B$16,Paramètres!$A$1:$I$89,3,0)*VLOOKUP('Données projet'!$B$16,Paramètres!$A$1:$I$89,5,0)</f>
        <v>2.1282176021486519E-13</v>
      </c>
      <c r="FG152" s="14">
        <f t="shared" si="155"/>
        <v>2.9281075858910828E-12</v>
      </c>
      <c r="FH152" s="22">
        <f t="shared" si="130"/>
        <v>5.4704519444678596E-12</v>
      </c>
      <c r="FI152" s="62">
        <f t="shared" si="131"/>
        <v>288.26517888830864</v>
      </c>
      <c r="FJ152" s="62">
        <f ca="1">AVERAGE(OFFSET($FI$3,0,0,'Données projet'!$E$16+1,1))-AVERAGE(OFFSET($H$3,0,0,'Données projet'!$E$16+1,1))</f>
        <v>344.55118007058775</v>
      </c>
      <c r="FK152" s="62">
        <f t="shared" si="156"/>
        <v>144.16931602355001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252.60122125520482</v>
      </c>
      <c r="GF152" s="62">
        <f t="shared" si="158"/>
        <v>357.56833754121317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0.37996498000030021</v>
      </c>
      <c r="GN152" s="23">
        <f>EXP(-LN(2)/2)*GN151+(1-EXP(-LN(2)/2))/(LN(2)/2)*GH152*GK152*VLOOKUP('Données projet'!$B$17,Paramètres!$A$1:$I$89,3,0)*0.475*44/12</f>
        <v>2.0262558219940929E-17</v>
      </c>
      <c r="GO152" s="23">
        <f t="shared" si="135"/>
        <v>0.37996498000030021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-1.1368683772161603E-13</v>
      </c>
      <c r="GV152" s="18">
        <f>GU152*VLOOKUP('Données projet'!$B$18,Paramètres!$A$1:$I$89,3,0)*VLOOKUP('Données projet'!$B$18,Paramètres!$A$1:$I$89,5,0)</f>
        <v>-9.2222762759774927E-14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268.57152522489537</v>
      </c>
      <c r="HA152" s="62">
        <f t="shared" si="160"/>
        <v>311.80303557283207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3.75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13.75</v>
      </c>
      <c r="H153" s="70">
        <f t="shared" si="110"/>
        <v>201.66666666666666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276.86879999999951</v>
      </c>
      <c r="P153" s="14">
        <f t="shared" si="141"/>
        <v>66.304863836318546</v>
      </c>
      <c r="Q153" s="22">
        <f t="shared" si="108"/>
        <v>597.6941311815873</v>
      </c>
      <c r="R153" s="62">
        <f t="shared" si="109"/>
        <v>886.0472312188158</v>
      </c>
      <c r="S153" s="62">
        <f ca="1">AVERAGE(OFFSET($R$3,0,0,'Données projet'!$E$9+1,1))-AVERAGE(OFFSET($H$3,0,0,'Données projet'!$E$9+1,1))</f>
        <v>461.02780119093666</v>
      </c>
      <c r="T153" s="62">
        <f t="shared" si="142"/>
        <v>245.70016468438834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IF('Données projet'!$A$62&gt;35,AI152+AH153-AQ152,IF(A153&lt;'Données projet'!$A$62,$AF$205^A153,IF(A153='Données projet'!$A$62,'Données projet'!$B$62,AI152+AH153-AQ152)))</f>
        <v>305.99999999999949</v>
      </c>
      <c r="AJ153" s="14">
        <f>AI153*VLOOKUP('Données projet'!$B$10,Paramètres!$A$1:$I$89,3,0)*VLOOKUP('Données projet'!$B$10,Paramètres!$A$1:$I$89,5,0)</f>
        <v>257.77439999999956</v>
      </c>
      <c r="AK153" s="14">
        <f t="shared" si="143"/>
        <v>62.247732872134186</v>
      </c>
      <c r="AL153" s="22">
        <f t="shared" si="112"/>
        <v>557.37188141896615</v>
      </c>
      <c r="AM153" s="62">
        <f t="shared" si="113"/>
        <v>845.72498145619466</v>
      </c>
      <c r="AN153" s="62">
        <f ca="1">AVERAGE(OFFSET($AM$3,0,0,'Données projet'!$E$10+1,1))-AVERAGE(OFFSET($H$3,0,0,'Données projet'!$E$10+1,1))</f>
        <v>434.22500776975596</v>
      </c>
      <c r="AO153" s="62">
        <f t="shared" si="144"/>
        <v>232.59777933076705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-1.0818439477588981E-13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393.3005580838161</v>
      </c>
      <c r="BJ153" s="62">
        <f t="shared" si="146"/>
        <v>295.86019897822757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-4.5224624045658861E-14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388.52230330563884</v>
      </c>
      <c r="CE153" s="62">
        <f t="shared" si="148"/>
        <v>418.94833960687333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-4.1677594708744434E-14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362.38131866207266</v>
      </c>
      <c r="CZ153" s="62">
        <f t="shared" si="150"/>
        <v>390.74498763200336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8.5265128291212022E-14</v>
      </c>
      <c r="DP153" s="18">
        <f>DO153*VLOOKUP('Données projet'!$B$14,Paramètres!$A$1:$I$89,3,0)*VLOOKUP('Données projet'!$B$14,Paramètres!$A$1:$I$89,5,0)</f>
        <v>7.4487616075202836E-14</v>
      </c>
      <c r="DQ153" s="14">
        <f t="shared" si="151"/>
        <v>1.1580453144473142E-12</v>
      </c>
      <c r="DR153" s="22">
        <f t="shared" si="124"/>
        <v>2.1466615206600508E-12</v>
      </c>
      <c r="DS153" s="62">
        <f t="shared" si="125"/>
        <v>288.35310003723072</v>
      </c>
      <c r="DT153" s="62">
        <f ca="1">AVERAGE(OFFSET($DS$3,0,0,'Données projet'!$E$14+1,1))-AVERAGE(OFFSET($H$3,0,0,'Données projet'!$E$14+1,1))</f>
        <v>334.4692012109935</v>
      </c>
      <c r="DU153" s="62">
        <f t="shared" si="152"/>
        <v>316.360405424036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-1.9065282685915009E-13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390.09289316045653</v>
      </c>
      <c r="EP153" s="62">
        <f t="shared" si="154"/>
        <v>364.34913542817617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0.26488925723078116</v>
      </c>
      <c r="EX153" s="23">
        <f>EXP(-LN(2)/2)*EX152+(1-EXP(-LN(2)/2))/(LN(2)/2)*ER153*EU153*VLOOKUP('Données projet'!$B$15,Paramètres!$A$1:$I$89,3,0)*0.475*44/12</f>
        <v>7.7910281593133932E-18</v>
      </c>
      <c r="EY153" s="24">
        <f t="shared" si="129"/>
        <v>0.26488925723078116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4.5474735088646412E-13</v>
      </c>
      <c r="FF153" s="18">
        <f>FE153*VLOOKUP('Données projet'!$B$16,Paramètres!$A$1:$I$89,3,0)*VLOOKUP('Données projet'!$B$16,Paramètres!$A$1:$I$89,5,0)</f>
        <v>2.1282176021486519E-13</v>
      </c>
      <c r="FG153" s="14">
        <f t="shared" si="155"/>
        <v>2.9281075858910828E-12</v>
      </c>
      <c r="FH153" s="22">
        <f t="shared" si="130"/>
        <v>5.4704519444678596E-12</v>
      </c>
      <c r="FI153" s="62">
        <f t="shared" si="131"/>
        <v>288.35310003723401</v>
      </c>
      <c r="FJ153" s="62">
        <f ca="1">AVERAGE(OFFSET($FI$3,0,0,'Données projet'!$E$16+1,1))-AVERAGE(OFFSET($H$3,0,0,'Données projet'!$E$16+1,1))</f>
        <v>344.55118007058775</v>
      </c>
      <c r="FK153" s="62">
        <f t="shared" si="156"/>
        <v>144.16931602355001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252.60122125520482</v>
      </c>
      <c r="GF153" s="62">
        <f t="shared" si="158"/>
        <v>357.56833754121317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0.3695748176407021</v>
      </c>
      <c r="GN153" s="23">
        <f>EXP(-LN(2)/2)*GN152+(1-EXP(-LN(2)/2))/(LN(2)/2)*GH153*GK153*VLOOKUP('Données projet'!$B$17,Paramètres!$A$1:$I$89,3,0)*0.475*44/12</f>
        <v>1.432779232150745E-17</v>
      </c>
      <c r="GO153" s="23">
        <f t="shared" si="135"/>
        <v>0.3695748176407021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-1.1368683772161603E-13</v>
      </c>
      <c r="GV153" s="18">
        <f>GU153*VLOOKUP('Données projet'!$B$18,Paramètres!$A$1:$I$89,3,0)*VLOOKUP('Données projet'!$B$18,Paramètres!$A$1:$I$89,5,0)</f>
        <v>-9.2222762759774927E-14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268.57152522489537</v>
      </c>
      <c r="HA153" s="62">
        <f t="shared" si="160"/>
        <v>311.80303557283207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3.75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13.75</v>
      </c>
      <c r="H154" s="70">
        <f t="shared" si="110"/>
        <v>201.66666666666666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-4.6288732846733184E-13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461.02780119093666</v>
      </c>
      <c r="T154" s="62">
        <f t="shared" si="142"/>
        <v>245.70016468438834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-4.3096406443510209E-13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434.22500776975596</v>
      </c>
      <c r="AO154" s="62">
        <f t="shared" si="144"/>
        <v>232.59777933076705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-1.0818439477588981E-13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393.3005580838161</v>
      </c>
      <c r="BJ154" s="62">
        <f t="shared" si="146"/>
        <v>295.86019897822757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-4.5224624045658861E-14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388.52230330563884</v>
      </c>
      <c r="CE154" s="62">
        <f t="shared" si="148"/>
        <v>418.94833960687333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-4.1677594708744434E-14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362.38131866207266</v>
      </c>
      <c r="CZ154" s="62">
        <f t="shared" si="150"/>
        <v>390.74498763200336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8.5265128291212022E-14</v>
      </c>
      <c r="DP154" s="18">
        <f>DO154*VLOOKUP('Données projet'!$B$14,Paramètres!$A$1:$I$89,3,0)*VLOOKUP('Données projet'!$B$14,Paramètres!$A$1:$I$89,5,0)</f>
        <v>7.4487616075202836E-14</v>
      </c>
      <c r="DQ154" s="14">
        <f t="shared" ref="DQ154:DQ203" si="176">EXP(-1.0587+0.8836*LN(DP154)+0.284)</f>
        <v>1.1580453144473142E-12</v>
      </c>
      <c r="DR154" s="22">
        <f t="shared" ref="DR154:DR203" si="177">(DP154+DQ154)*0.475*44/12</f>
        <v>2.1466615206600508E-12</v>
      </c>
      <c r="DS154" s="62">
        <f t="shared" si="125"/>
        <v>288.43949595078453</v>
      </c>
      <c r="DT154" s="62">
        <f ca="1">AVERAGE(OFFSET($DS$3,0,0,'Données projet'!$E$14+1,1))-AVERAGE(OFFSET($H$3,0,0,'Données projet'!$E$14+1,1))</f>
        <v>334.4692012109935</v>
      </c>
      <c r="DU154" s="62">
        <f t="shared" si="152"/>
        <v>316.360405424036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-1.9065282685915009E-13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390.09289316045653</v>
      </c>
      <c r="EP154" s="62">
        <f t="shared" si="154"/>
        <v>364.34913542817617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0.25764584656188483</v>
      </c>
      <c r="EX154" s="23">
        <f>EXP(-LN(2)/2)*EX153+(1-EXP(-LN(2)/2))/(LN(2)/2)*ER154*EU154*VLOOKUP('Données projet'!$B$15,Paramètres!$A$1:$I$89,3,0)*0.475*44/12</f>
        <v>5.5090888438658457E-18</v>
      </c>
      <c r="EY154" s="24">
        <f t="shared" ref="EY154:EY203" si="181">SUM(EV154:EX154)</f>
        <v>0.25764584656188483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4.5474735088646412E-13</v>
      </c>
      <c r="FF154" s="18">
        <f>FE154*VLOOKUP('Données projet'!$B$16,Paramètres!$A$1:$I$89,3,0)*VLOOKUP('Données projet'!$B$16,Paramètres!$A$1:$I$89,5,0)</f>
        <v>2.1282176021486519E-13</v>
      </c>
      <c r="FG154" s="14">
        <f t="shared" ref="FG154:FG203" si="182">EXP(-1.0587+0.8836*LN(FF154)+0.284)</f>
        <v>2.9281075858910828E-12</v>
      </c>
      <c r="FH154" s="22">
        <f t="shared" ref="FH154:FH203" si="183">(FF154+FG154)*0.475*44/12</f>
        <v>5.4704519444678596E-12</v>
      </c>
      <c r="FI154" s="62">
        <f t="shared" si="131"/>
        <v>288.43949595078783</v>
      </c>
      <c r="FJ154" s="62">
        <f ca="1">AVERAGE(OFFSET($FI$3,0,0,'Données projet'!$E$16+1,1))-AVERAGE(OFFSET($H$3,0,0,'Données projet'!$E$16+1,1))</f>
        <v>344.55118007058775</v>
      </c>
      <c r="FK154" s="62">
        <f t="shared" si="156"/>
        <v>144.16931602355001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252.60122125520482</v>
      </c>
      <c r="GF154" s="62">
        <f t="shared" si="158"/>
        <v>357.56833754121317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0.35946877481722211</v>
      </c>
      <c r="GN154" s="23">
        <f>EXP(-LN(2)/2)*GN153+(1-EXP(-LN(2)/2))/(LN(2)/2)*GH154*GK154*VLOOKUP('Données projet'!$B$17,Paramètres!$A$1:$I$89,3,0)*0.475*44/12</f>
        <v>1.0131279109970465E-17</v>
      </c>
      <c r="GO154" s="23">
        <f t="shared" ref="GO154:GO203" si="187">SUM(GL154:GN154)</f>
        <v>0.35946877481722211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-9.2222762759774927E-14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268.57152522489537</v>
      </c>
      <c r="HA154" s="62">
        <f t="shared" si="160"/>
        <v>311.80303557283207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3.75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13.75</v>
      </c>
      <c r="H155" s="70">
        <f t="shared" si="110"/>
        <v>201.66666666666666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-4.6288732846733184E-13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461.02780119093666</v>
      </c>
      <c r="T155" s="62">
        <f t="shared" si="142"/>
        <v>245.70016468438834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-4.3096406443510209E-13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434.22500776975596</v>
      </c>
      <c r="AO155" s="62">
        <f t="shared" si="144"/>
        <v>232.59777933076705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-1.0818439477588981E-13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393.3005580838161</v>
      </c>
      <c r="BJ155" s="62">
        <f t="shared" si="146"/>
        <v>295.86019897822757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-4.5224624045658861E-14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388.52230330563884</v>
      </c>
      <c r="CE155" s="62">
        <f t="shared" si="148"/>
        <v>418.94833960687333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-4.1677594708744434E-14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362.38131866207266</v>
      </c>
      <c r="CZ155" s="62">
        <f t="shared" si="150"/>
        <v>390.74498763200336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8.5265128291212022E-14</v>
      </c>
      <c r="DP155" s="18">
        <f>DO155*VLOOKUP('Données projet'!$B$14,Paramètres!$A$1:$I$89,3,0)*VLOOKUP('Données projet'!$B$14,Paramètres!$A$1:$I$89,5,0)</f>
        <v>7.4487616075202836E-14</v>
      </c>
      <c r="DQ155" s="14">
        <f t="shared" si="176"/>
        <v>1.1580453144473142E-12</v>
      </c>
      <c r="DR155" s="22">
        <f t="shared" si="177"/>
        <v>2.1466615206600508E-12</v>
      </c>
      <c r="DS155" s="62">
        <f t="shared" si="125"/>
        <v>288.52439308839047</v>
      </c>
      <c r="DT155" s="62">
        <f ca="1">AVERAGE(OFFSET($DS$3,0,0,'Données projet'!$E$14+1,1))-AVERAGE(OFFSET($H$3,0,0,'Données projet'!$E$14+1,1))</f>
        <v>334.4692012109935</v>
      </c>
      <c r="DU155" s="62">
        <f t="shared" si="152"/>
        <v>316.360405424036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-1.9065282685915009E-13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390.09289316045653</v>
      </c>
      <c r="EP155" s="62">
        <f t="shared" si="154"/>
        <v>364.34913542817617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0.25060050733864386</v>
      </c>
      <c r="EX155" s="23">
        <f>EXP(-LN(2)/2)*EX154+(1-EXP(-LN(2)/2))/(LN(2)/2)*ER155*EU155*VLOOKUP('Données projet'!$B$15,Paramètres!$A$1:$I$89,3,0)*0.475*44/12</f>
        <v>3.8955140796566966E-18</v>
      </c>
      <c r="EY155" s="24">
        <f t="shared" si="181"/>
        <v>0.25060050733864386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4.5474735088646412E-13</v>
      </c>
      <c r="FF155" s="18">
        <f>FE155*VLOOKUP('Données projet'!$B$16,Paramètres!$A$1:$I$89,3,0)*VLOOKUP('Données projet'!$B$16,Paramètres!$A$1:$I$89,5,0)</f>
        <v>2.1282176021486519E-13</v>
      </c>
      <c r="FG155" s="14">
        <f t="shared" si="182"/>
        <v>2.9281075858910828E-12</v>
      </c>
      <c r="FH155" s="22">
        <f t="shared" si="183"/>
        <v>5.4704519444678596E-12</v>
      </c>
      <c r="FI155" s="62">
        <f t="shared" si="131"/>
        <v>288.52439308839377</v>
      </c>
      <c r="FJ155" s="62">
        <f ca="1">AVERAGE(OFFSET($FI$3,0,0,'Données projet'!$E$16+1,1))-AVERAGE(OFFSET($H$3,0,0,'Données projet'!$E$16+1,1))</f>
        <v>344.55118007058775</v>
      </c>
      <c r="FK155" s="62">
        <f t="shared" si="156"/>
        <v>144.16931602355001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252.60122125520482</v>
      </c>
      <c r="GF155" s="62">
        <f t="shared" si="158"/>
        <v>357.56833754121317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0.34963908226620388</v>
      </c>
      <c r="GN155" s="23">
        <f>EXP(-LN(2)/2)*GN154+(1-EXP(-LN(2)/2))/(LN(2)/2)*GH155*GK155*VLOOKUP('Données projet'!$B$17,Paramètres!$A$1:$I$89,3,0)*0.475*44/12</f>
        <v>7.1638961607537252E-18</v>
      </c>
      <c r="GO155" s="23">
        <f t="shared" si="187"/>
        <v>0.34963908226620388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-9.2222762759774927E-14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268.57152522489537</v>
      </c>
      <c r="HA155" s="62">
        <f t="shared" si="160"/>
        <v>311.80303557283207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3.75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13.75</v>
      </c>
      <c r="H156" s="70">
        <f t="shared" si="110"/>
        <v>201.66666666666666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-4.6288732846733184E-13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461.02780119093666</v>
      </c>
      <c r="T156" s="62">
        <f t="shared" si="142"/>
        <v>245.70016468438834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-4.3096406443510209E-13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434.22500776975596</v>
      </c>
      <c r="AO156" s="62">
        <f t="shared" si="144"/>
        <v>232.59777933076705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-1.0818439477588981E-13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393.3005580838161</v>
      </c>
      <c r="BJ156" s="62">
        <f t="shared" si="146"/>
        <v>295.86019897822757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-4.5224624045658861E-14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388.52230330563884</v>
      </c>
      <c r="CE156" s="62">
        <f t="shared" si="148"/>
        <v>418.94833960687333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-4.1677594708744434E-14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362.38131866207266</v>
      </c>
      <c r="CZ156" s="62">
        <f t="shared" si="150"/>
        <v>390.74498763200336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8.5265128291212022E-14</v>
      </c>
      <c r="DP156" s="18">
        <f>DO156*VLOOKUP('Données projet'!$B$14,Paramètres!$A$1:$I$89,3,0)*VLOOKUP('Données projet'!$B$14,Paramètres!$A$1:$I$89,5,0)</f>
        <v>7.4487616075202836E-14</v>
      </c>
      <c r="DQ156" s="14">
        <f t="shared" si="176"/>
        <v>1.1580453144473142E-12</v>
      </c>
      <c r="DR156" s="22">
        <f t="shared" si="177"/>
        <v>2.1466615206600508E-12</v>
      </c>
      <c r="DS156" s="62">
        <f t="shared" si="125"/>
        <v>288.60781745046052</v>
      </c>
      <c r="DT156" s="62">
        <f ca="1">AVERAGE(OFFSET($DS$3,0,0,'Données projet'!$E$14+1,1))-AVERAGE(OFFSET($H$3,0,0,'Données projet'!$E$14+1,1))</f>
        <v>334.4692012109935</v>
      </c>
      <c r="DU156" s="62">
        <f t="shared" si="152"/>
        <v>316.360405424036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-1.9065282685915009E-13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390.09289316045653</v>
      </c>
      <c r="EP156" s="62">
        <f t="shared" si="154"/>
        <v>364.34913542817617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0.24374782328696071</v>
      </c>
      <c r="EX156" s="23">
        <f>EXP(-LN(2)/2)*EX155+(1-EXP(-LN(2)/2))/(LN(2)/2)*ER156*EU156*VLOOKUP('Données projet'!$B$15,Paramètres!$A$1:$I$89,3,0)*0.475*44/12</f>
        <v>2.7545444219329228E-18</v>
      </c>
      <c r="EY156" s="24">
        <f t="shared" si="181"/>
        <v>0.24374782328696071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4.5474735088646412E-13</v>
      </c>
      <c r="FF156" s="18">
        <f>FE156*VLOOKUP('Données projet'!$B$16,Paramètres!$A$1:$I$89,3,0)*VLOOKUP('Données projet'!$B$16,Paramètres!$A$1:$I$89,5,0)</f>
        <v>2.1282176021486519E-13</v>
      </c>
      <c r="FG156" s="14">
        <f t="shared" si="182"/>
        <v>2.9281075858910828E-12</v>
      </c>
      <c r="FH156" s="22">
        <f t="shared" si="183"/>
        <v>5.4704519444678596E-12</v>
      </c>
      <c r="FI156" s="62">
        <f t="shared" si="131"/>
        <v>288.60781745046381</v>
      </c>
      <c r="FJ156" s="62">
        <f ca="1">AVERAGE(OFFSET($FI$3,0,0,'Données projet'!$E$16+1,1))-AVERAGE(OFFSET($H$3,0,0,'Données projet'!$E$16+1,1))</f>
        <v>344.55118007058775</v>
      </c>
      <c r="FK156" s="62">
        <f t="shared" si="156"/>
        <v>144.16931602355001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252.60122125520482</v>
      </c>
      <c r="GF156" s="62">
        <f t="shared" si="158"/>
        <v>357.56833754121317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0.34007818317491434</v>
      </c>
      <c r="GN156" s="23">
        <f>EXP(-LN(2)/2)*GN155+(1-EXP(-LN(2)/2))/(LN(2)/2)*GH156*GK156*VLOOKUP('Données projet'!$B$17,Paramètres!$A$1:$I$89,3,0)*0.475*44/12</f>
        <v>5.0656395549852323E-18</v>
      </c>
      <c r="GO156" s="23">
        <f t="shared" si="187"/>
        <v>0.34007818317491434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-9.2222762759774927E-14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268.57152522489537</v>
      </c>
      <c r="HA156" s="62">
        <f t="shared" si="160"/>
        <v>311.80303557283207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3.75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13.75</v>
      </c>
      <c r="H157" s="70">
        <f t="shared" si="110"/>
        <v>201.66666666666666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-4.6288732846733184E-13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461.02780119093666</v>
      </c>
      <c r="T157" s="62">
        <f t="shared" si="142"/>
        <v>245.70016468438834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-4.3096406443510209E-13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434.22500776975596</v>
      </c>
      <c r="AO157" s="62">
        <f t="shared" si="144"/>
        <v>232.59777933076705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-1.0818439477588981E-13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393.3005580838161</v>
      </c>
      <c r="BJ157" s="62">
        <f t="shared" si="146"/>
        <v>295.86019897822757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-4.5224624045658861E-14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388.52230330563884</v>
      </c>
      <c r="CE157" s="62">
        <f t="shared" si="148"/>
        <v>418.94833960687333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-4.1677594708744434E-14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362.38131866207266</v>
      </c>
      <c r="CZ157" s="62">
        <f t="shared" si="150"/>
        <v>390.74498763200336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8.5265128291212022E-14</v>
      </c>
      <c r="DP157" s="18">
        <f>DO157*VLOOKUP('Données projet'!$B$14,Paramètres!$A$1:$I$89,3,0)*VLOOKUP('Données projet'!$B$14,Paramètres!$A$1:$I$89,5,0)</f>
        <v>7.4487616075202836E-14</v>
      </c>
      <c r="DQ157" s="14">
        <f t="shared" si="176"/>
        <v>1.1580453144473142E-12</v>
      </c>
      <c r="DR157" s="22">
        <f t="shared" si="177"/>
        <v>2.1466615206600508E-12</v>
      </c>
      <c r="DS157" s="62">
        <f t="shared" si="125"/>
        <v>288.68979458635755</v>
      </c>
      <c r="DT157" s="62">
        <f ca="1">AVERAGE(OFFSET($DS$3,0,0,'Données projet'!$E$14+1,1))-AVERAGE(OFFSET($H$3,0,0,'Données projet'!$E$14+1,1))</f>
        <v>334.4692012109935</v>
      </c>
      <c r="DU157" s="62">
        <f t="shared" si="152"/>
        <v>316.360405424036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-1.9065282685915009E-13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390.09289316045653</v>
      </c>
      <c r="EP157" s="62">
        <f t="shared" si="154"/>
        <v>364.34913542817617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0.23708252624103784</v>
      </c>
      <c r="EX157" s="23">
        <f>EXP(-LN(2)/2)*EX156+(1-EXP(-LN(2)/2))/(LN(2)/2)*ER157*EU157*VLOOKUP('Données projet'!$B$15,Paramètres!$A$1:$I$89,3,0)*0.475*44/12</f>
        <v>1.9477570398283483E-18</v>
      </c>
      <c r="EY157" s="24">
        <f t="shared" si="181"/>
        <v>0.23708252624103784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4.5474735088646412E-13</v>
      </c>
      <c r="FF157" s="18">
        <f>FE157*VLOOKUP('Données projet'!$B$16,Paramètres!$A$1:$I$89,3,0)*VLOOKUP('Données projet'!$B$16,Paramètres!$A$1:$I$89,5,0)</f>
        <v>2.1282176021486519E-13</v>
      </c>
      <c r="FG157" s="14">
        <f t="shared" si="182"/>
        <v>2.9281075858910828E-12</v>
      </c>
      <c r="FH157" s="22">
        <f t="shared" si="183"/>
        <v>5.4704519444678596E-12</v>
      </c>
      <c r="FI157" s="62">
        <f t="shared" si="131"/>
        <v>288.68979458636085</v>
      </c>
      <c r="FJ157" s="62">
        <f ca="1">AVERAGE(OFFSET($FI$3,0,0,'Données projet'!$E$16+1,1))-AVERAGE(OFFSET($H$3,0,0,'Données projet'!$E$16+1,1))</f>
        <v>344.55118007058775</v>
      </c>
      <c r="FK157" s="62">
        <f t="shared" si="156"/>
        <v>144.16931602355001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252.60122125520482</v>
      </c>
      <c r="GF157" s="62">
        <f t="shared" si="158"/>
        <v>357.56833754121317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0.33077872737206193</v>
      </c>
      <c r="GN157" s="23">
        <f>EXP(-LN(2)/2)*GN156+(1-EXP(-LN(2)/2))/(LN(2)/2)*GH157*GK157*VLOOKUP('Données projet'!$B$17,Paramètres!$A$1:$I$89,3,0)*0.475*44/12</f>
        <v>3.5819480803768626E-18</v>
      </c>
      <c r="GO157" s="23">
        <f t="shared" si="187"/>
        <v>0.33077872737206193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-9.2222762759774927E-14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268.57152522489537</v>
      </c>
      <c r="HA157" s="62">
        <f t="shared" si="160"/>
        <v>311.80303557283207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3.75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13.75</v>
      </c>
      <c r="H158" s="70">
        <f t="shared" si="110"/>
        <v>201.66666666666666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-4.6288732846733184E-13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461.02780119093666</v>
      </c>
      <c r="T158" s="62">
        <f t="shared" si="142"/>
        <v>245.70016468438834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-4.3096406443510209E-13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434.22500776975596</v>
      </c>
      <c r="AO158" s="62">
        <f t="shared" si="144"/>
        <v>232.59777933076705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-1.0818439477588981E-13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393.3005580838161</v>
      </c>
      <c r="BJ158" s="62">
        <f t="shared" si="146"/>
        <v>295.86019897822757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-4.5224624045658861E-14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388.52230330563884</v>
      </c>
      <c r="CE158" s="62">
        <f t="shared" si="148"/>
        <v>418.94833960687333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-4.1677594708744434E-14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362.38131866207266</v>
      </c>
      <c r="CZ158" s="62">
        <f t="shared" si="150"/>
        <v>390.74498763200336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8.5265128291212022E-14</v>
      </c>
      <c r="DP158" s="18">
        <f>DO158*VLOOKUP('Données projet'!$B$14,Paramètres!$A$1:$I$89,3,0)*VLOOKUP('Données projet'!$B$14,Paramètres!$A$1:$I$89,5,0)</f>
        <v>7.4487616075202836E-14</v>
      </c>
      <c r="DQ158" s="14">
        <f t="shared" si="176"/>
        <v>1.1580453144473142E-12</v>
      </c>
      <c r="DR158" s="22">
        <f t="shared" si="177"/>
        <v>2.1466615206600508E-12</v>
      </c>
      <c r="DS158" s="62">
        <f t="shared" si="125"/>
        <v>288.77034960222028</v>
      </c>
      <c r="DT158" s="62">
        <f ca="1">AVERAGE(OFFSET($DS$3,0,0,'Données projet'!$E$14+1,1))-AVERAGE(OFFSET($H$3,0,0,'Données projet'!$E$14+1,1))</f>
        <v>334.4692012109935</v>
      </c>
      <c r="DU158" s="62">
        <f t="shared" si="152"/>
        <v>316.360405424036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-1.9065282685915009E-13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390.09289316045653</v>
      </c>
      <c r="EP158" s="62">
        <f t="shared" si="154"/>
        <v>364.34913542817617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0.23059949209334846</v>
      </c>
      <c r="EX158" s="23">
        <f>EXP(-LN(2)/2)*EX157+(1-EXP(-LN(2)/2))/(LN(2)/2)*ER158*EU158*VLOOKUP('Données projet'!$B$15,Paramètres!$A$1:$I$89,3,0)*0.475*44/12</f>
        <v>1.3772722109664614E-18</v>
      </c>
      <c r="EY158" s="24">
        <f t="shared" si="181"/>
        <v>0.23059949209334846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4.5474735088646412E-13</v>
      </c>
      <c r="FF158" s="18">
        <f>FE158*VLOOKUP('Données projet'!$B$16,Paramètres!$A$1:$I$89,3,0)*VLOOKUP('Données projet'!$B$16,Paramètres!$A$1:$I$89,5,0)</f>
        <v>2.1282176021486519E-13</v>
      </c>
      <c r="FG158" s="14">
        <f t="shared" si="182"/>
        <v>2.9281075858910828E-12</v>
      </c>
      <c r="FH158" s="22">
        <f t="shared" si="183"/>
        <v>5.4704519444678596E-12</v>
      </c>
      <c r="FI158" s="62">
        <f t="shared" si="131"/>
        <v>288.77034960222358</v>
      </c>
      <c r="FJ158" s="62">
        <f ca="1">AVERAGE(OFFSET($FI$3,0,0,'Données projet'!$E$16+1,1))-AVERAGE(OFFSET($H$3,0,0,'Données projet'!$E$16+1,1))</f>
        <v>344.55118007058775</v>
      </c>
      <c r="FK158" s="62">
        <f t="shared" si="156"/>
        <v>144.16931602355001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252.60122125520482</v>
      </c>
      <c r="GF158" s="62">
        <f t="shared" si="158"/>
        <v>357.56833754121317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0.32173356567717565</v>
      </c>
      <c r="GN158" s="23">
        <f>EXP(-LN(2)/2)*GN157+(1-EXP(-LN(2)/2))/(LN(2)/2)*GH158*GK158*VLOOKUP('Données projet'!$B$17,Paramètres!$A$1:$I$89,3,0)*0.475*44/12</f>
        <v>2.5328197774926162E-18</v>
      </c>
      <c r="GO158" s="23">
        <f t="shared" si="187"/>
        <v>0.32173356567717565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-9.2222762759774927E-14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268.57152522489537</v>
      </c>
      <c r="HA158" s="62">
        <f t="shared" si="160"/>
        <v>311.80303557283207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3.75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13.75</v>
      </c>
      <c r="H159" s="70">
        <f t="shared" si="110"/>
        <v>201.66666666666666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-4.6288732846733184E-13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461.02780119093666</v>
      </c>
      <c r="T159" s="62">
        <f t="shared" si="142"/>
        <v>245.70016468438834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-4.3096406443510209E-13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434.22500776975596</v>
      </c>
      <c r="AO159" s="62">
        <f t="shared" si="144"/>
        <v>232.59777933076705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-1.0818439477588981E-13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393.3005580838161</v>
      </c>
      <c r="BJ159" s="62">
        <f t="shared" si="146"/>
        <v>295.86019897822757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-4.5224624045658861E-14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388.52230330563884</v>
      </c>
      <c r="CE159" s="62">
        <f t="shared" si="148"/>
        <v>418.94833960687333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-4.1677594708744434E-14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362.38131866207266</v>
      </c>
      <c r="CZ159" s="62">
        <f t="shared" si="150"/>
        <v>390.74498763200336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8.5265128291212022E-14</v>
      </c>
      <c r="DP159" s="18">
        <f>DO159*VLOOKUP('Données projet'!$B$14,Paramètres!$A$1:$I$89,3,0)*VLOOKUP('Données projet'!$B$14,Paramètres!$A$1:$I$89,5,0)</f>
        <v>7.4487616075202836E-14</v>
      </c>
      <c r="DQ159" s="14">
        <f t="shared" si="176"/>
        <v>1.1580453144473142E-12</v>
      </c>
      <c r="DR159" s="22">
        <f t="shared" si="177"/>
        <v>2.1466615206600508E-12</v>
      </c>
      <c r="DS159" s="62">
        <f t="shared" si="125"/>
        <v>288.84950716865171</v>
      </c>
      <c r="DT159" s="62">
        <f ca="1">AVERAGE(OFFSET($DS$3,0,0,'Données projet'!$E$14+1,1))-AVERAGE(OFFSET($H$3,0,0,'Données projet'!$E$14+1,1))</f>
        <v>334.4692012109935</v>
      </c>
      <c r="DU159" s="62">
        <f t="shared" si="152"/>
        <v>316.360405424036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-1.9065282685915009E-13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390.09289316045653</v>
      </c>
      <c r="EP159" s="62">
        <f t="shared" si="154"/>
        <v>364.34913542817617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0.22429373685535559</v>
      </c>
      <c r="EX159" s="23">
        <f>EXP(-LN(2)/2)*EX158+(1-EXP(-LN(2)/2))/(LN(2)/2)*ER159*EU159*VLOOKUP('Données projet'!$B$15,Paramètres!$A$1:$I$89,3,0)*0.475*44/12</f>
        <v>9.7387851991417415E-19</v>
      </c>
      <c r="EY159" s="24">
        <f t="shared" si="181"/>
        <v>0.22429373685535559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4.5474735088646412E-13</v>
      </c>
      <c r="FF159" s="18">
        <f>FE159*VLOOKUP('Données projet'!$B$16,Paramètres!$A$1:$I$89,3,0)*VLOOKUP('Données projet'!$B$16,Paramètres!$A$1:$I$89,5,0)</f>
        <v>2.1282176021486519E-13</v>
      </c>
      <c r="FG159" s="14">
        <f t="shared" si="182"/>
        <v>2.9281075858910828E-12</v>
      </c>
      <c r="FH159" s="22">
        <f t="shared" si="183"/>
        <v>5.4704519444678596E-12</v>
      </c>
      <c r="FI159" s="62">
        <f t="shared" si="131"/>
        <v>288.84950716865501</v>
      </c>
      <c r="FJ159" s="62">
        <f ca="1">AVERAGE(OFFSET($FI$3,0,0,'Données projet'!$E$16+1,1))-AVERAGE(OFFSET($H$3,0,0,'Données projet'!$E$16+1,1))</f>
        <v>344.55118007058775</v>
      </c>
      <c r="FK159" s="62">
        <f t="shared" si="156"/>
        <v>144.16931602355001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252.60122125520482</v>
      </c>
      <c r="GF159" s="62">
        <f t="shared" si="158"/>
        <v>357.56833754121317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0.31293574440450039</v>
      </c>
      <c r="GN159" s="23">
        <f>EXP(-LN(2)/2)*GN158+(1-EXP(-LN(2)/2))/(LN(2)/2)*GH159*GK159*VLOOKUP('Données projet'!$B$17,Paramètres!$A$1:$I$89,3,0)*0.475*44/12</f>
        <v>1.7909740401884313E-18</v>
      </c>
      <c r="GO159" s="23">
        <f t="shared" si="187"/>
        <v>0.31293574440450039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-9.2222762759774927E-14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268.57152522489537</v>
      </c>
      <c r="HA159" s="62">
        <f t="shared" si="160"/>
        <v>311.80303557283207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3.75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13.75</v>
      </c>
      <c r="H160" s="70">
        <f t="shared" si="110"/>
        <v>201.66666666666666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-4.6288732846733184E-13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461.02780119093666</v>
      </c>
      <c r="T160" s="62">
        <f t="shared" si="142"/>
        <v>245.70016468438834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-4.3096406443510209E-13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434.22500776975596</v>
      </c>
      <c r="AO160" s="62">
        <f t="shared" si="144"/>
        <v>232.59777933076705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-1.0818439477588981E-13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393.3005580838161</v>
      </c>
      <c r="BJ160" s="62">
        <f t="shared" si="146"/>
        <v>295.86019897822757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-4.5224624045658861E-14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388.52230330563884</v>
      </c>
      <c r="CE160" s="62">
        <f t="shared" si="148"/>
        <v>418.94833960687333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-4.1677594708744434E-14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362.38131866207266</v>
      </c>
      <c r="CZ160" s="62">
        <f t="shared" si="150"/>
        <v>390.74498763200336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8.5265128291212022E-14</v>
      </c>
      <c r="DP160" s="18">
        <f>DO160*VLOOKUP('Données projet'!$B$14,Paramètres!$A$1:$I$89,3,0)*VLOOKUP('Données projet'!$B$14,Paramètres!$A$1:$I$89,5,0)</f>
        <v>7.4487616075202836E-14</v>
      </c>
      <c r="DQ160" s="14">
        <f t="shared" si="176"/>
        <v>1.1580453144473142E-12</v>
      </c>
      <c r="DR160" s="22">
        <f t="shared" si="177"/>
        <v>2.1466615206600508E-12</v>
      </c>
      <c r="DS160" s="62">
        <f t="shared" si="125"/>
        <v>288.92729152827548</v>
      </c>
      <c r="DT160" s="62">
        <f ca="1">AVERAGE(OFFSET($DS$3,0,0,'Données projet'!$E$14+1,1))-AVERAGE(OFFSET($H$3,0,0,'Données projet'!$E$14+1,1))</f>
        <v>334.4692012109935</v>
      </c>
      <c r="DU160" s="62">
        <f t="shared" si="152"/>
        <v>316.360405424036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-1.9065282685915009E-13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390.09289316045653</v>
      </c>
      <c r="EP160" s="62">
        <f t="shared" si="154"/>
        <v>364.34913542817617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0.21816041282595089</v>
      </c>
      <c r="EX160" s="23">
        <f>EXP(-LN(2)/2)*EX159+(1-EXP(-LN(2)/2))/(LN(2)/2)*ER160*EU160*VLOOKUP('Données projet'!$B$15,Paramètres!$A$1:$I$89,3,0)*0.475*44/12</f>
        <v>6.8863610548323071E-19</v>
      </c>
      <c r="EY160" s="24">
        <f t="shared" si="181"/>
        <v>0.21816041282595089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4.5474735088646412E-13</v>
      </c>
      <c r="FF160" s="18">
        <f>FE160*VLOOKUP('Données projet'!$B$16,Paramètres!$A$1:$I$89,3,0)*VLOOKUP('Données projet'!$B$16,Paramètres!$A$1:$I$89,5,0)</f>
        <v>2.1282176021486519E-13</v>
      </c>
      <c r="FG160" s="14">
        <f t="shared" si="182"/>
        <v>2.9281075858910828E-12</v>
      </c>
      <c r="FH160" s="22">
        <f t="shared" si="183"/>
        <v>5.4704519444678596E-12</v>
      </c>
      <c r="FI160" s="62">
        <f t="shared" si="131"/>
        <v>288.92729152827877</v>
      </c>
      <c r="FJ160" s="62">
        <f ca="1">AVERAGE(OFFSET($FI$3,0,0,'Données projet'!$E$16+1,1))-AVERAGE(OFFSET($H$3,0,0,'Données projet'!$E$16+1,1))</f>
        <v>344.55118007058775</v>
      </c>
      <c r="FK160" s="62">
        <f t="shared" si="156"/>
        <v>144.16931602355001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252.60122125520482</v>
      </c>
      <c r="GF160" s="62">
        <f t="shared" si="158"/>
        <v>357.56833754121317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0.30437850001718375</v>
      </c>
      <c r="GN160" s="23">
        <f>EXP(-LN(2)/2)*GN159+(1-EXP(-LN(2)/2))/(LN(2)/2)*GH160*GK160*VLOOKUP('Données projet'!$B$17,Paramètres!$A$1:$I$89,3,0)*0.475*44/12</f>
        <v>1.2664098887463081E-18</v>
      </c>
      <c r="GO160" s="23">
        <f t="shared" si="187"/>
        <v>0.30437850001718375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-9.2222762759774927E-14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268.57152522489537</v>
      </c>
      <c r="HA160" s="62">
        <f t="shared" si="160"/>
        <v>311.80303557283207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3.75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13.75</v>
      </c>
      <c r="H161" s="70">
        <f t="shared" si="110"/>
        <v>201.66666666666666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-4.6288732846733184E-13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461.02780119093666</v>
      </c>
      <c r="T161" s="62">
        <f t="shared" si="142"/>
        <v>245.70016468438834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-4.3096406443510209E-13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434.22500776975596</v>
      </c>
      <c r="AO161" s="62">
        <f t="shared" si="144"/>
        <v>232.59777933076705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-1.0818439477588981E-13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393.3005580838161</v>
      </c>
      <c r="BJ161" s="62">
        <f t="shared" si="146"/>
        <v>295.86019897822757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-4.5224624045658861E-14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388.52230330563884</v>
      </c>
      <c r="CE161" s="62">
        <f t="shared" si="148"/>
        <v>418.94833960687333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-4.1677594708744434E-14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362.38131866207266</v>
      </c>
      <c r="CZ161" s="62">
        <f t="shared" si="150"/>
        <v>390.74498763200336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8.5265128291212022E-14</v>
      </c>
      <c r="DP161" s="18">
        <f>DO161*VLOOKUP('Données projet'!$B$14,Paramètres!$A$1:$I$89,3,0)*VLOOKUP('Données projet'!$B$14,Paramètres!$A$1:$I$89,5,0)</f>
        <v>7.4487616075202836E-14</v>
      </c>
      <c r="DQ161" s="14">
        <f t="shared" si="176"/>
        <v>1.1580453144473142E-12</v>
      </c>
      <c r="DR161" s="22">
        <f t="shared" si="177"/>
        <v>2.1466615206600508E-12</v>
      </c>
      <c r="DS161" s="62">
        <f t="shared" si="125"/>
        <v>289.0037265031595</v>
      </c>
      <c r="DT161" s="62">
        <f ca="1">AVERAGE(OFFSET($DS$3,0,0,'Données projet'!$E$14+1,1))-AVERAGE(OFFSET($H$3,0,0,'Données projet'!$E$14+1,1))</f>
        <v>334.4692012109935</v>
      </c>
      <c r="DU161" s="62">
        <f t="shared" si="152"/>
        <v>316.360405424036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-1.9065282685915009E-13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390.09289316045653</v>
      </c>
      <c r="EP161" s="62">
        <f t="shared" si="154"/>
        <v>364.34913542817617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0.21219480486466777</v>
      </c>
      <c r="EX161" s="23">
        <f>EXP(-LN(2)/2)*EX160+(1-EXP(-LN(2)/2))/(LN(2)/2)*ER161*EU161*VLOOKUP('Données projet'!$B$15,Paramètres!$A$1:$I$89,3,0)*0.475*44/12</f>
        <v>4.8693925995708707E-19</v>
      </c>
      <c r="EY161" s="24">
        <f t="shared" si="181"/>
        <v>0.21219480486466777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4.5474735088646412E-13</v>
      </c>
      <c r="FF161" s="18">
        <f>FE161*VLOOKUP('Données projet'!$B$16,Paramètres!$A$1:$I$89,3,0)*VLOOKUP('Données projet'!$B$16,Paramètres!$A$1:$I$89,5,0)</f>
        <v>2.1282176021486519E-13</v>
      </c>
      <c r="FG161" s="14">
        <f t="shared" si="182"/>
        <v>2.9281075858910828E-12</v>
      </c>
      <c r="FH161" s="22">
        <f t="shared" si="183"/>
        <v>5.4704519444678596E-12</v>
      </c>
      <c r="FI161" s="62">
        <f t="shared" si="131"/>
        <v>289.0037265031628</v>
      </c>
      <c r="FJ161" s="62">
        <f ca="1">AVERAGE(OFFSET($FI$3,0,0,'Données projet'!$E$16+1,1))-AVERAGE(OFFSET($H$3,0,0,'Données projet'!$E$16+1,1))</f>
        <v>344.55118007058775</v>
      </c>
      <c r="FK161" s="62">
        <f t="shared" si="156"/>
        <v>144.16931602355001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252.60122125520482</v>
      </c>
      <c r="GF161" s="62">
        <f t="shared" si="158"/>
        <v>357.56833754121317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0.2960552539276442</v>
      </c>
      <c r="GN161" s="23">
        <f>EXP(-LN(2)/2)*GN160+(1-EXP(-LN(2)/2))/(LN(2)/2)*GH161*GK161*VLOOKUP('Données projet'!$B$17,Paramètres!$A$1:$I$89,3,0)*0.475*44/12</f>
        <v>8.9548702009421565E-19</v>
      </c>
      <c r="GO161" s="23">
        <f t="shared" si="187"/>
        <v>0.2960552539276442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-9.2222762759774927E-14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268.57152522489537</v>
      </c>
      <c r="HA161" s="62">
        <f t="shared" si="160"/>
        <v>311.80303557283207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3.75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13.75</v>
      </c>
      <c r="H162" s="70">
        <f t="shared" si="110"/>
        <v>201.66666666666666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-4.6288732846733184E-13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461.02780119093666</v>
      </c>
      <c r="T162" s="62">
        <f t="shared" si="142"/>
        <v>245.70016468438834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-4.3096406443510209E-13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434.22500776975596</v>
      </c>
      <c r="AO162" s="62">
        <f t="shared" si="144"/>
        <v>232.59777933076705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-1.0818439477588981E-13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393.3005580838161</v>
      </c>
      <c r="BJ162" s="62">
        <f t="shared" si="146"/>
        <v>295.86019897822757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-4.5224624045658861E-14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388.52230330563884</v>
      </c>
      <c r="CE162" s="62">
        <f t="shared" si="148"/>
        <v>418.94833960687333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-4.1677594708744434E-14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362.38131866207266</v>
      </c>
      <c r="CZ162" s="62">
        <f t="shared" si="150"/>
        <v>390.74498763200336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8.5265128291212022E-14</v>
      </c>
      <c r="DP162" s="18">
        <f>DO162*VLOOKUP('Données projet'!$B$14,Paramètres!$A$1:$I$89,3,0)*VLOOKUP('Données projet'!$B$14,Paramètres!$A$1:$I$89,5,0)</f>
        <v>7.4487616075202836E-14</v>
      </c>
      <c r="DQ162" s="14">
        <f t="shared" si="176"/>
        <v>1.1580453144473142E-12</v>
      </c>
      <c r="DR162" s="22">
        <f t="shared" si="177"/>
        <v>2.1466615206600508E-12</v>
      </c>
      <c r="DS162" s="62">
        <f t="shared" si="125"/>
        <v>289.07883550211221</v>
      </c>
      <c r="DT162" s="62">
        <f ca="1">AVERAGE(OFFSET($DS$3,0,0,'Données projet'!$E$14+1,1))-AVERAGE(OFFSET($H$3,0,0,'Données projet'!$E$14+1,1))</f>
        <v>334.4692012109935</v>
      </c>
      <c r="DU162" s="62">
        <f t="shared" si="152"/>
        <v>316.360405424036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-1.9065282685915009E-13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390.09289316045653</v>
      </c>
      <c r="EP162" s="62">
        <f t="shared" si="154"/>
        <v>364.34913542817617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0.20639232676680361</v>
      </c>
      <c r="EX162" s="23">
        <f>EXP(-LN(2)/2)*EX161+(1-EXP(-LN(2)/2))/(LN(2)/2)*ER162*EU162*VLOOKUP('Données projet'!$B$15,Paramètres!$A$1:$I$89,3,0)*0.475*44/12</f>
        <v>3.4431805274161535E-19</v>
      </c>
      <c r="EY162" s="24">
        <f t="shared" si="181"/>
        <v>0.20639232676680361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4.5474735088646412E-13</v>
      </c>
      <c r="FF162" s="18">
        <f>FE162*VLOOKUP('Données projet'!$B$16,Paramètres!$A$1:$I$89,3,0)*VLOOKUP('Données projet'!$B$16,Paramètres!$A$1:$I$89,5,0)</f>
        <v>2.1282176021486519E-13</v>
      </c>
      <c r="FG162" s="14">
        <f t="shared" si="182"/>
        <v>2.9281075858910828E-12</v>
      </c>
      <c r="FH162" s="22">
        <f t="shared" si="183"/>
        <v>5.4704519444678596E-12</v>
      </c>
      <c r="FI162" s="62">
        <f t="shared" si="131"/>
        <v>289.07883550211551</v>
      </c>
      <c r="FJ162" s="62">
        <f ca="1">AVERAGE(OFFSET($FI$3,0,0,'Données projet'!$E$16+1,1))-AVERAGE(OFFSET($H$3,0,0,'Données projet'!$E$16+1,1))</f>
        <v>344.55118007058775</v>
      </c>
      <c r="FK162" s="62">
        <f t="shared" si="156"/>
        <v>144.16931602355001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252.60122125520482</v>
      </c>
      <c r="GF162" s="62">
        <f t="shared" si="158"/>
        <v>357.56833754121317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0.28795960744012361</v>
      </c>
      <c r="GN162" s="23">
        <f>EXP(-LN(2)/2)*GN161+(1-EXP(-LN(2)/2))/(LN(2)/2)*GH162*GK162*VLOOKUP('Données projet'!$B$17,Paramètres!$A$1:$I$89,3,0)*0.475*44/12</f>
        <v>6.3320494437315404E-19</v>
      </c>
      <c r="GO162" s="23">
        <f t="shared" si="187"/>
        <v>0.28795960744012361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-9.2222762759774927E-14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268.57152522489537</v>
      </c>
      <c r="HA162" s="62">
        <f t="shared" si="160"/>
        <v>311.80303557283207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3.75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13.75</v>
      </c>
      <c r="H163" s="70">
        <f t="shared" si="110"/>
        <v>201.66666666666666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-4.6288732846733184E-13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461.02780119093666</v>
      </c>
      <c r="T163" s="62">
        <f t="shared" si="142"/>
        <v>245.70016468438834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-4.3096406443510209E-13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434.22500776975596</v>
      </c>
      <c r="AO163" s="62">
        <f t="shared" si="144"/>
        <v>232.59777933076705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-1.0818439477588981E-13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393.3005580838161</v>
      </c>
      <c r="BJ163" s="62">
        <f t="shared" si="146"/>
        <v>295.86019897822757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-4.5224624045658861E-14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388.52230330563884</v>
      </c>
      <c r="CE163" s="62">
        <f t="shared" si="148"/>
        <v>418.94833960687333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-4.1677594708744434E-14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362.38131866207266</v>
      </c>
      <c r="CZ163" s="62">
        <f t="shared" si="150"/>
        <v>390.74498763200336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8.5265128291212022E-14</v>
      </c>
      <c r="DP163" s="18">
        <f>DO163*VLOOKUP('Données projet'!$B$14,Paramètres!$A$1:$I$89,3,0)*VLOOKUP('Données projet'!$B$14,Paramètres!$A$1:$I$89,5,0)</f>
        <v>7.4487616075202836E-14</v>
      </c>
      <c r="DQ163" s="14">
        <f t="shared" si="176"/>
        <v>1.1580453144473142E-12</v>
      </c>
      <c r="DR163" s="22">
        <f t="shared" si="177"/>
        <v>2.1466615206600508E-12</v>
      </c>
      <c r="DS163" s="62">
        <f t="shared" si="125"/>
        <v>289.15264152785181</v>
      </c>
      <c r="DT163" s="62">
        <f ca="1">AVERAGE(OFFSET($DS$3,0,0,'Données projet'!$E$14+1,1))-AVERAGE(OFFSET($H$3,0,0,'Données projet'!$E$14+1,1))</f>
        <v>334.4692012109935</v>
      </c>
      <c r="DU163" s="62">
        <f t="shared" si="152"/>
        <v>316.360405424036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-1.9065282685915009E-13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390.09289316045653</v>
      </c>
      <c r="EP163" s="62">
        <f t="shared" si="154"/>
        <v>364.34913542817617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0.20074851773766461</v>
      </c>
      <c r="EX163" s="23">
        <f>EXP(-LN(2)/2)*EX162+(1-EXP(-LN(2)/2))/(LN(2)/2)*ER163*EU163*VLOOKUP('Données projet'!$B$15,Paramètres!$A$1:$I$89,3,0)*0.475*44/12</f>
        <v>2.4346962997854354E-19</v>
      </c>
      <c r="EY163" s="24">
        <f t="shared" si="181"/>
        <v>0.20074851773766461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4.5474735088646412E-13</v>
      </c>
      <c r="FF163" s="18">
        <f>FE163*VLOOKUP('Données projet'!$B$16,Paramètres!$A$1:$I$89,3,0)*VLOOKUP('Données projet'!$B$16,Paramètres!$A$1:$I$89,5,0)</f>
        <v>2.1282176021486519E-13</v>
      </c>
      <c r="FG163" s="14">
        <f t="shared" si="182"/>
        <v>2.9281075858910828E-12</v>
      </c>
      <c r="FH163" s="22">
        <f t="shared" si="183"/>
        <v>5.4704519444678596E-12</v>
      </c>
      <c r="FI163" s="62">
        <f t="shared" si="131"/>
        <v>289.15264152785511</v>
      </c>
      <c r="FJ163" s="62">
        <f ca="1">AVERAGE(OFFSET($FI$3,0,0,'Données projet'!$E$16+1,1))-AVERAGE(OFFSET($H$3,0,0,'Données projet'!$E$16+1,1))</f>
        <v>344.55118007058775</v>
      </c>
      <c r="FK163" s="62">
        <f t="shared" si="156"/>
        <v>144.16931602355001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252.60122125520482</v>
      </c>
      <c r="GF163" s="62">
        <f t="shared" si="158"/>
        <v>357.56833754121317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0.2800853368315358</v>
      </c>
      <c r="GN163" s="23">
        <f>EXP(-LN(2)/2)*GN162+(1-EXP(-LN(2)/2))/(LN(2)/2)*GH163*GK163*VLOOKUP('Données projet'!$B$17,Paramètres!$A$1:$I$89,3,0)*0.475*44/12</f>
        <v>4.4774351004710783E-19</v>
      </c>
      <c r="GO163" s="23">
        <f t="shared" si="187"/>
        <v>0.2800853368315358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-9.2222762759774927E-14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268.57152522489537</v>
      </c>
      <c r="HA163" s="62">
        <f t="shared" si="160"/>
        <v>311.80303557283207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3.75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13.75</v>
      </c>
      <c r="H164" s="70">
        <f t="shared" si="110"/>
        <v>201.66666666666666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-4.6288732846733184E-13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461.02780119093666</v>
      </c>
      <c r="T164" s="62">
        <f t="shared" si="142"/>
        <v>245.70016468438834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-4.3096406443510209E-13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434.22500776975596</v>
      </c>
      <c r="AO164" s="62">
        <f t="shared" si="144"/>
        <v>232.59777933076705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-1.0818439477588981E-13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393.3005580838161</v>
      </c>
      <c r="BJ164" s="62">
        <f t="shared" si="146"/>
        <v>295.86019897822757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-4.5224624045658861E-14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388.52230330563884</v>
      </c>
      <c r="CE164" s="62">
        <f t="shared" si="148"/>
        <v>418.94833960687333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-4.1677594708744434E-14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362.38131866207266</v>
      </c>
      <c r="CZ164" s="62">
        <f t="shared" si="150"/>
        <v>390.74498763200336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8.5265128291212022E-14</v>
      </c>
      <c r="DP164" s="18">
        <f>DO164*VLOOKUP('Données projet'!$B$14,Paramètres!$A$1:$I$89,3,0)*VLOOKUP('Données projet'!$B$14,Paramètres!$A$1:$I$89,5,0)</f>
        <v>7.4487616075202836E-14</v>
      </c>
      <c r="DQ164" s="14">
        <f t="shared" si="176"/>
        <v>1.1580453144473142E-12</v>
      </c>
      <c r="DR164" s="22">
        <f t="shared" si="177"/>
        <v>2.1466615206600508E-12</v>
      </c>
      <c r="DS164" s="62">
        <f t="shared" si="125"/>
        <v>289.22516718405024</v>
      </c>
      <c r="DT164" s="62">
        <f ca="1">AVERAGE(OFFSET($DS$3,0,0,'Données projet'!$E$14+1,1))-AVERAGE(OFFSET($H$3,0,0,'Données projet'!$E$14+1,1))</f>
        <v>334.4692012109935</v>
      </c>
      <c r="DU164" s="62">
        <f t="shared" si="152"/>
        <v>316.360405424036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-1.9065282685915009E-13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390.09289316045653</v>
      </c>
      <c r="EP164" s="62">
        <f t="shared" si="154"/>
        <v>364.34913542817617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0.19525903896322244</v>
      </c>
      <c r="EX164" s="23">
        <f>EXP(-LN(2)/2)*EX163+(1-EXP(-LN(2)/2))/(LN(2)/2)*ER164*EU164*VLOOKUP('Données projet'!$B$15,Paramètres!$A$1:$I$89,3,0)*0.475*44/12</f>
        <v>1.7215902637080768E-19</v>
      </c>
      <c r="EY164" s="24">
        <f t="shared" si="181"/>
        <v>0.19525903896322244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4.5474735088646412E-13</v>
      </c>
      <c r="FF164" s="18">
        <f>FE164*VLOOKUP('Données projet'!$B$16,Paramètres!$A$1:$I$89,3,0)*VLOOKUP('Données projet'!$B$16,Paramètres!$A$1:$I$89,5,0)</f>
        <v>2.1282176021486519E-13</v>
      </c>
      <c r="FG164" s="14">
        <f t="shared" si="182"/>
        <v>2.9281075858910828E-12</v>
      </c>
      <c r="FH164" s="22">
        <f t="shared" si="183"/>
        <v>5.4704519444678596E-12</v>
      </c>
      <c r="FI164" s="62">
        <f t="shared" si="131"/>
        <v>289.22516718405353</v>
      </c>
      <c r="FJ164" s="62">
        <f ca="1">AVERAGE(OFFSET($FI$3,0,0,'Données projet'!$E$16+1,1))-AVERAGE(OFFSET($H$3,0,0,'Données projet'!$E$16+1,1))</f>
        <v>344.55118007058775</v>
      </c>
      <c r="FK164" s="62">
        <f t="shared" si="156"/>
        <v>144.16931602355001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252.60122125520482</v>
      </c>
      <c r="GF164" s="62">
        <f t="shared" si="158"/>
        <v>357.56833754121317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0.27242638856682971</v>
      </c>
      <c r="GN164" s="23">
        <f>EXP(-LN(2)/2)*GN163+(1-EXP(-LN(2)/2))/(LN(2)/2)*GH164*GK164*VLOOKUP('Données projet'!$B$17,Paramètres!$A$1:$I$89,3,0)*0.475*44/12</f>
        <v>3.1660247218657702E-19</v>
      </c>
      <c r="GO164" s="23">
        <f t="shared" si="187"/>
        <v>0.27242638856682971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-9.2222762759774927E-14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268.57152522489537</v>
      </c>
      <c r="HA164" s="62">
        <f t="shared" si="160"/>
        <v>311.80303557283207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3.75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13.75</v>
      </c>
      <c r="H165" s="70">
        <f t="shared" si="110"/>
        <v>201.66666666666666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-4.6288732846733184E-13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461.02780119093666</v>
      </c>
      <c r="T165" s="62">
        <f t="shared" si="142"/>
        <v>245.70016468438834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-4.3096406443510209E-13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434.22500776975596</v>
      </c>
      <c r="AO165" s="62">
        <f t="shared" si="144"/>
        <v>232.59777933076705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-1.0818439477588981E-13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393.3005580838161</v>
      </c>
      <c r="BJ165" s="62">
        <f t="shared" si="146"/>
        <v>295.86019897822757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-4.5224624045658861E-14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388.52230330563884</v>
      </c>
      <c r="CE165" s="62">
        <f t="shared" si="148"/>
        <v>418.94833960687333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-4.1677594708744434E-14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362.38131866207266</v>
      </c>
      <c r="CZ165" s="62">
        <f t="shared" si="150"/>
        <v>390.74498763200336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8.5265128291212022E-14</v>
      </c>
      <c r="DP165" s="18">
        <f>DO165*VLOOKUP('Données projet'!$B$14,Paramètres!$A$1:$I$89,3,0)*VLOOKUP('Données projet'!$B$14,Paramètres!$A$1:$I$89,5,0)</f>
        <v>7.4487616075202836E-14</v>
      </c>
      <c r="DQ165" s="14">
        <f t="shared" si="176"/>
        <v>1.1580453144473142E-12</v>
      </c>
      <c r="DR165" s="22">
        <f t="shared" si="177"/>
        <v>2.1466615206600508E-12</v>
      </c>
      <c r="DS165" s="62">
        <f t="shared" si="125"/>
        <v>289.29643468225674</v>
      </c>
      <c r="DT165" s="62">
        <f ca="1">AVERAGE(OFFSET($DS$3,0,0,'Données projet'!$E$14+1,1))-AVERAGE(OFFSET($H$3,0,0,'Données projet'!$E$14+1,1))</f>
        <v>334.4692012109935</v>
      </c>
      <c r="DU165" s="62">
        <f t="shared" si="152"/>
        <v>316.360405424036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-1.9065282685915009E-13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390.09289316045653</v>
      </c>
      <c r="EP165" s="62">
        <f t="shared" si="154"/>
        <v>364.34913542817617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0.18991967027454654</v>
      </c>
      <c r="EX165" s="23">
        <f>EXP(-LN(2)/2)*EX164+(1-EXP(-LN(2)/2))/(LN(2)/2)*ER165*EU165*VLOOKUP('Données projet'!$B$15,Paramètres!$A$1:$I$89,3,0)*0.475*44/12</f>
        <v>1.2173481498927177E-19</v>
      </c>
      <c r="EY165" s="24">
        <f t="shared" si="181"/>
        <v>0.18991967027454654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4.5474735088646412E-13</v>
      </c>
      <c r="FF165" s="18">
        <f>FE165*VLOOKUP('Données projet'!$B$16,Paramètres!$A$1:$I$89,3,0)*VLOOKUP('Données projet'!$B$16,Paramètres!$A$1:$I$89,5,0)</f>
        <v>2.1282176021486519E-13</v>
      </c>
      <c r="FG165" s="14">
        <f t="shared" si="182"/>
        <v>2.9281075858910828E-12</v>
      </c>
      <c r="FH165" s="22">
        <f t="shared" si="183"/>
        <v>5.4704519444678596E-12</v>
      </c>
      <c r="FI165" s="62">
        <f t="shared" si="131"/>
        <v>289.29643468226004</v>
      </c>
      <c r="FJ165" s="62">
        <f ca="1">AVERAGE(OFFSET($FI$3,0,0,'Données projet'!$E$16+1,1))-AVERAGE(OFFSET($H$3,0,0,'Données projet'!$E$16+1,1))</f>
        <v>344.55118007058775</v>
      </c>
      <c r="FK165" s="62">
        <f t="shared" si="156"/>
        <v>144.16931602355001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252.60122125520482</v>
      </c>
      <c r="GF165" s="62">
        <f t="shared" si="158"/>
        <v>357.56833754121317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0.2649768746451886</v>
      </c>
      <c r="GN165" s="23">
        <f>EXP(-LN(2)/2)*GN164+(1-EXP(-LN(2)/2))/(LN(2)/2)*GH165*GK165*VLOOKUP('Données projet'!$B$17,Paramètres!$A$1:$I$89,3,0)*0.475*44/12</f>
        <v>2.2387175502355391E-19</v>
      </c>
      <c r="GO165" s="23">
        <f t="shared" si="187"/>
        <v>0.2649768746451886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-9.2222762759774927E-14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268.57152522489537</v>
      </c>
      <c r="HA165" s="62">
        <f t="shared" si="160"/>
        <v>311.80303557283207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3.75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13.75</v>
      </c>
      <c r="H166" s="70">
        <f t="shared" si="110"/>
        <v>201.66666666666666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-4.6288732846733184E-13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461.02780119093666</v>
      </c>
      <c r="T166" s="62">
        <f t="shared" si="142"/>
        <v>245.70016468438834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-4.3096406443510209E-13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434.22500776975596</v>
      </c>
      <c r="AO166" s="62">
        <f t="shared" si="144"/>
        <v>232.59777933076705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-1.0818439477588981E-13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393.3005580838161</v>
      </c>
      <c r="BJ166" s="62">
        <f t="shared" si="146"/>
        <v>295.86019897822757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-4.5224624045658861E-14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388.52230330563884</v>
      </c>
      <c r="CE166" s="62">
        <f t="shared" si="148"/>
        <v>418.94833960687333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-4.1677594708744434E-14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362.38131866207266</v>
      </c>
      <c r="CZ166" s="62">
        <f t="shared" si="150"/>
        <v>390.74498763200336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8.5265128291212022E-14</v>
      </c>
      <c r="DP166" s="18">
        <f>DO166*VLOOKUP('Données projet'!$B$14,Paramètres!$A$1:$I$89,3,0)*VLOOKUP('Données projet'!$B$14,Paramètres!$A$1:$I$89,5,0)</f>
        <v>7.4487616075202836E-14</v>
      </c>
      <c r="DQ166" s="14">
        <f t="shared" si="176"/>
        <v>1.1580453144473142E-12</v>
      </c>
      <c r="DR166" s="22">
        <f t="shared" si="177"/>
        <v>2.1466615206600508E-12</v>
      </c>
      <c r="DS166" s="62">
        <f t="shared" si="125"/>
        <v>289.3664658486997</v>
      </c>
      <c r="DT166" s="62">
        <f ca="1">AVERAGE(OFFSET($DS$3,0,0,'Données projet'!$E$14+1,1))-AVERAGE(OFFSET($H$3,0,0,'Données projet'!$E$14+1,1))</f>
        <v>334.4692012109935</v>
      </c>
      <c r="DU166" s="62">
        <f t="shared" si="152"/>
        <v>316.360405424036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-1.9065282685915009E-13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390.09289316045653</v>
      </c>
      <c r="EP166" s="62">
        <f t="shared" si="154"/>
        <v>364.34913542817617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0.18472630690344766</v>
      </c>
      <c r="EX166" s="23">
        <f>EXP(-LN(2)/2)*EX165+(1-EXP(-LN(2)/2))/(LN(2)/2)*ER166*EU166*VLOOKUP('Données projet'!$B$15,Paramètres!$A$1:$I$89,3,0)*0.475*44/12</f>
        <v>8.6079513185403839E-20</v>
      </c>
      <c r="EY166" s="24">
        <f t="shared" si="181"/>
        <v>0.18472630690344766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4.5474735088646412E-13</v>
      </c>
      <c r="FF166" s="18">
        <f>FE166*VLOOKUP('Données projet'!$B$16,Paramètres!$A$1:$I$89,3,0)*VLOOKUP('Données projet'!$B$16,Paramètres!$A$1:$I$89,5,0)</f>
        <v>2.1282176021486519E-13</v>
      </c>
      <c r="FG166" s="14">
        <f t="shared" si="182"/>
        <v>2.9281075858910828E-12</v>
      </c>
      <c r="FH166" s="22">
        <f t="shared" si="183"/>
        <v>5.4704519444678596E-12</v>
      </c>
      <c r="FI166" s="62">
        <f t="shared" si="131"/>
        <v>289.366465848703</v>
      </c>
      <c r="FJ166" s="62">
        <f ca="1">AVERAGE(OFFSET($FI$3,0,0,'Données projet'!$E$16+1,1))-AVERAGE(OFFSET($H$3,0,0,'Données projet'!$E$16+1,1))</f>
        <v>344.55118007058775</v>
      </c>
      <c r="FK166" s="62">
        <f t="shared" si="156"/>
        <v>144.16931602355001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252.60122125520482</v>
      </c>
      <c r="GF166" s="62">
        <f t="shared" si="158"/>
        <v>357.56833754121317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0.25773106807348767</v>
      </c>
      <c r="GN166" s="23">
        <f>EXP(-LN(2)/2)*GN165+(1-EXP(-LN(2)/2))/(LN(2)/2)*GH166*GK166*VLOOKUP('Données projet'!$B$17,Paramètres!$A$1:$I$89,3,0)*0.475*44/12</f>
        <v>1.5830123609328851E-19</v>
      </c>
      <c r="GO166" s="23">
        <f t="shared" si="187"/>
        <v>0.25773106807348767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-9.2222762759774927E-14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268.57152522489537</v>
      </c>
      <c r="HA166" s="62">
        <f t="shared" si="160"/>
        <v>311.80303557283207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3.75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13.75</v>
      </c>
      <c r="H167" s="70">
        <f t="shared" si="110"/>
        <v>201.66666666666666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-4.6288732846733184E-13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461.02780119093666</v>
      </c>
      <c r="T167" s="62">
        <f t="shared" si="142"/>
        <v>245.70016468438834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-4.3096406443510209E-13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434.22500776975596</v>
      </c>
      <c r="AO167" s="62">
        <f t="shared" si="144"/>
        <v>232.59777933076705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-1.0818439477588981E-13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393.3005580838161</v>
      </c>
      <c r="BJ167" s="62">
        <f t="shared" si="146"/>
        <v>295.86019897822757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-4.5224624045658861E-14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388.52230330563884</v>
      </c>
      <c r="CE167" s="62">
        <f t="shared" si="148"/>
        <v>418.94833960687333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-4.1677594708744434E-14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362.38131866207266</v>
      </c>
      <c r="CZ167" s="62">
        <f t="shared" si="150"/>
        <v>390.74498763200336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8.5265128291212022E-14</v>
      </c>
      <c r="DP167" s="18">
        <f>DO167*VLOOKUP('Données projet'!$B$14,Paramètres!$A$1:$I$89,3,0)*VLOOKUP('Données projet'!$B$14,Paramètres!$A$1:$I$89,5,0)</f>
        <v>7.4487616075202836E-14</v>
      </c>
      <c r="DQ167" s="14">
        <f t="shared" si="176"/>
        <v>1.1580453144473142E-12</v>
      </c>
      <c r="DR167" s="22">
        <f t="shared" si="177"/>
        <v>2.1466615206600508E-12</v>
      </c>
      <c r="DS167" s="62">
        <f t="shared" si="125"/>
        <v>289.43528213097102</v>
      </c>
      <c r="DT167" s="62">
        <f ca="1">AVERAGE(OFFSET($DS$3,0,0,'Données projet'!$E$14+1,1))-AVERAGE(OFFSET($H$3,0,0,'Données projet'!$E$14+1,1))</f>
        <v>334.4692012109935</v>
      </c>
      <c r="DU167" s="62">
        <f t="shared" si="152"/>
        <v>316.360405424036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-1.9065282685915009E-13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390.09289316045653</v>
      </c>
      <c r="EP167" s="62">
        <f t="shared" si="154"/>
        <v>364.34913542817617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0.17967495632683861</v>
      </c>
      <c r="EX167" s="23">
        <f>EXP(-LN(2)/2)*EX166+(1-EXP(-LN(2)/2))/(LN(2)/2)*ER167*EU167*VLOOKUP('Données projet'!$B$15,Paramètres!$A$1:$I$89,3,0)*0.475*44/12</f>
        <v>6.0867407494635884E-20</v>
      </c>
      <c r="EY167" s="24">
        <f t="shared" si="181"/>
        <v>0.17967495632683861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4.5474735088646412E-13</v>
      </c>
      <c r="FF167" s="18">
        <f>FE167*VLOOKUP('Données projet'!$B$16,Paramètres!$A$1:$I$89,3,0)*VLOOKUP('Données projet'!$B$16,Paramètres!$A$1:$I$89,5,0)</f>
        <v>2.1282176021486519E-13</v>
      </c>
      <c r="FG167" s="14">
        <f t="shared" si="182"/>
        <v>2.9281075858910828E-12</v>
      </c>
      <c r="FH167" s="22">
        <f t="shared" si="183"/>
        <v>5.4704519444678596E-12</v>
      </c>
      <c r="FI167" s="62">
        <f t="shared" si="131"/>
        <v>289.43528213097431</v>
      </c>
      <c r="FJ167" s="62">
        <f ca="1">AVERAGE(OFFSET($FI$3,0,0,'Données projet'!$E$16+1,1))-AVERAGE(OFFSET($H$3,0,0,'Données projet'!$E$16+1,1))</f>
        <v>344.55118007058775</v>
      </c>
      <c r="FK167" s="62">
        <f t="shared" si="156"/>
        <v>144.16931602355001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252.60122125520482</v>
      </c>
      <c r="GF167" s="62">
        <f t="shared" si="158"/>
        <v>357.56833754121317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0.25068339846353033</v>
      </c>
      <c r="GN167" s="23">
        <f>EXP(-LN(2)/2)*GN166+(1-EXP(-LN(2)/2))/(LN(2)/2)*GH167*GK167*VLOOKUP('Données projet'!$B$17,Paramètres!$A$1:$I$89,3,0)*0.475*44/12</f>
        <v>1.1193587751177696E-19</v>
      </c>
      <c r="GO167" s="23">
        <f t="shared" si="187"/>
        <v>0.25068339846353033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-9.2222762759774927E-14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268.57152522489537</v>
      </c>
      <c r="HA167" s="62">
        <f t="shared" si="160"/>
        <v>311.80303557283207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3.75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13.75</v>
      </c>
      <c r="H168" s="70">
        <f t="shared" si="110"/>
        <v>201.66666666666666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-4.6288732846733184E-13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461.02780119093666</v>
      </c>
      <c r="T168" s="62">
        <f t="shared" si="142"/>
        <v>245.70016468438834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-4.3096406443510209E-13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434.22500776975596</v>
      </c>
      <c r="AO168" s="62">
        <f t="shared" si="144"/>
        <v>232.59777933076705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-1.0818439477588981E-13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393.3005580838161</v>
      </c>
      <c r="BJ168" s="62">
        <f t="shared" si="146"/>
        <v>295.86019897822757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-4.5224624045658861E-14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388.52230330563884</v>
      </c>
      <c r="CE168" s="62">
        <f t="shared" si="148"/>
        <v>418.94833960687333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-4.1677594708744434E-14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362.38131866207266</v>
      </c>
      <c r="CZ168" s="62">
        <f t="shared" si="150"/>
        <v>390.74498763200336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8.5265128291212022E-14</v>
      </c>
      <c r="DP168" s="18">
        <f>DO168*VLOOKUP('Données projet'!$B$14,Paramètres!$A$1:$I$89,3,0)*VLOOKUP('Données projet'!$B$14,Paramètres!$A$1:$I$89,5,0)</f>
        <v>7.4487616075202836E-14</v>
      </c>
      <c r="DQ168" s="14">
        <f t="shared" si="176"/>
        <v>1.1580453144473142E-12</v>
      </c>
      <c r="DR168" s="22">
        <f t="shared" si="177"/>
        <v>2.1466615206600508E-12</v>
      </c>
      <c r="DS168" s="62">
        <f t="shared" si="125"/>
        <v>289.50290460459507</v>
      </c>
      <c r="DT168" s="62">
        <f ca="1">AVERAGE(OFFSET($DS$3,0,0,'Données projet'!$E$14+1,1))-AVERAGE(OFFSET($H$3,0,0,'Données projet'!$E$14+1,1))</f>
        <v>334.4692012109935</v>
      </c>
      <c r="DU168" s="62">
        <f t="shared" si="152"/>
        <v>316.360405424036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-1.9065282685915009E-13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390.09289316045653</v>
      </c>
      <c r="EP168" s="62">
        <f t="shared" si="154"/>
        <v>364.34913542817617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0.17476173519738591</v>
      </c>
      <c r="EX168" s="23">
        <f>EXP(-LN(2)/2)*EX167+(1-EXP(-LN(2)/2))/(LN(2)/2)*ER168*EU168*VLOOKUP('Données projet'!$B$15,Paramètres!$A$1:$I$89,3,0)*0.475*44/12</f>
        <v>4.3039756592701919E-20</v>
      </c>
      <c r="EY168" s="24">
        <f t="shared" si="181"/>
        <v>0.17476173519738591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4.5474735088646412E-13</v>
      </c>
      <c r="FF168" s="18">
        <f>FE168*VLOOKUP('Données projet'!$B$16,Paramètres!$A$1:$I$89,3,0)*VLOOKUP('Données projet'!$B$16,Paramètres!$A$1:$I$89,5,0)</f>
        <v>2.1282176021486519E-13</v>
      </c>
      <c r="FG168" s="14">
        <f t="shared" si="182"/>
        <v>2.9281075858910828E-12</v>
      </c>
      <c r="FH168" s="22">
        <f t="shared" si="183"/>
        <v>5.4704519444678596E-12</v>
      </c>
      <c r="FI168" s="62">
        <f t="shared" si="131"/>
        <v>289.50290460459837</v>
      </c>
      <c r="FJ168" s="62">
        <f ca="1">AVERAGE(OFFSET($FI$3,0,0,'Données projet'!$E$16+1,1))-AVERAGE(OFFSET($H$3,0,0,'Données projet'!$E$16+1,1))</f>
        <v>344.55118007058775</v>
      </c>
      <c r="FK168" s="62">
        <f t="shared" si="156"/>
        <v>144.16931602355001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252.60122125520482</v>
      </c>
      <c r="GF168" s="62">
        <f t="shared" si="158"/>
        <v>357.56833754121317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0.2438284477496781</v>
      </c>
      <c r="GN168" s="23">
        <f>EXP(-LN(2)/2)*GN167+(1-EXP(-LN(2)/2))/(LN(2)/2)*GH168*GK168*VLOOKUP('Données projet'!$B$17,Paramètres!$A$1:$I$89,3,0)*0.475*44/12</f>
        <v>7.9150618046644255E-20</v>
      </c>
      <c r="GO168" s="23">
        <f t="shared" si="187"/>
        <v>0.2438284477496781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-9.2222762759774927E-14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268.57152522489537</v>
      </c>
      <c r="HA168" s="62">
        <f t="shared" si="160"/>
        <v>311.80303557283207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3.75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13.75</v>
      </c>
      <c r="H169" s="70">
        <f t="shared" si="110"/>
        <v>201.66666666666666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-4.6288732846733184E-13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461.02780119093666</v>
      </c>
      <c r="T169" s="62">
        <f t="shared" si="142"/>
        <v>245.70016468438834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-4.3096406443510209E-13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434.22500776975596</v>
      </c>
      <c r="AO169" s="62">
        <f t="shared" si="144"/>
        <v>232.59777933076705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-1.0818439477588981E-13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393.3005580838161</v>
      </c>
      <c r="BJ169" s="62">
        <f t="shared" si="146"/>
        <v>295.86019897822757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-4.5224624045658861E-14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388.52230330563884</v>
      </c>
      <c r="CE169" s="62">
        <f t="shared" si="148"/>
        <v>418.94833960687333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-4.1677594708744434E-14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362.38131866207266</v>
      </c>
      <c r="CZ169" s="62">
        <f t="shared" si="150"/>
        <v>390.74498763200336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8.5265128291212022E-14</v>
      </c>
      <c r="DP169" s="18">
        <f>DO169*VLOOKUP('Données projet'!$B$14,Paramètres!$A$1:$I$89,3,0)*VLOOKUP('Données projet'!$B$14,Paramètres!$A$1:$I$89,5,0)</f>
        <v>7.4487616075202836E-14</v>
      </c>
      <c r="DQ169" s="14">
        <f t="shared" si="176"/>
        <v>1.1580453144473142E-12</v>
      </c>
      <c r="DR169" s="22">
        <f t="shared" si="177"/>
        <v>2.1466615206600508E-12</v>
      </c>
      <c r="DS169" s="62">
        <f t="shared" si="125"/>
        <v>289.56935397948308</v>
      </c>
      <c r="DT169" s="62">
        <f ca="1">AVERAGE(OFFSET($DS$3,0,0,'Données projet'!$E$14+1,1))-AVERAGE(OFFSET($H$3,0,0,'Données projet'!$E$14+1,1))</f>
        <v>334.4692012109935</v>
      </c>
      <c r="DU169" s="62">
        <f t="shared" si="152"/>
        <v>316.360405424036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-1.9065282685915009E-13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390.09289316045653</v>
      </c>
      <c r="EP169" s="62">
        <f t="shared" si="154"/>
        <v>364.34913542817617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0.16998286635809318</v>
      </c>
      <c r="EX169" s="23">
        <f>EXP(-LN(2)/2)*EX168+(1-EXP(-LN(2)/2))/(LN(2)/2)*ER169*EU169*VLOOKUP('Données projet'!$B$15,Paramètres!$A$1:$I$89,3,0)*0.475*44/12</f>
        <v>3.0433703747317942E-20</v>
      </c>
      <c r="EY169" s="24">
        <f t="shared" si="181"/>
        <v>0.16998286635809318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4.5474735088646412E-13</v>
      </c>
      <c r="FF169" s="18">
        <f>FE169*VLOOKUP('Données projet'!$B$16,Paramètres!$A$1:$I$89,3,0)*VLOOKUP('Données projet'!$B$16,Paramètres!$A$1:$I$89,5,0)</f>
        <v>2.1282176021486519E-13</v>
      </c>
      <c r="FG169" s="14">
        <f t="shared" si="182"/>
        <v>2.9281075858910828E-12</v>
      </c>
      <c r="FH169" s="22">
        <f t="shared" si="183"/>
        <v>5.4704519444678596E-12</v>
      </c>
      <c r="FI169" s="62">
        <f t="shared" si="131"/>
        <v>289.56935397948638</v>
      </c>
      <c r="FJ169" s="62">
        <f ca="1">AVERAGE(OFFSET($FI$3,0,0,'Données projet'!$E$16+1,1))-AVERAGE(OFFSET($H$3,0,0,'Données projet'!$E$16+1,1))</f>
        <v>344.55118007058775</v>
      </c>
      <c r="FK169" s="62">
        <f t="shared" si="156"/>
        <v>144.16931602355001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252.60122125520482</v>
      </c>
      <c r="GF169" s="62">
        <f t="shared" si="158"/>
        <v>357.56833754121317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0.23716094602358237</v>
      </c>
      <c r="GN169" s="23">
        <f>EXP(-LN(2)/2)*GN168+(1-EXP(-LN(2)/2))/(LN(2)/2)*GH169*GK169*VLOOKUP('Données projet'!$B$17,Paramètres!$A$1:$I$89,3,0)*0.475*44/12</f>
        <v>5.5967938755888478E-20</v>
      </c>
      <c r="GO169" s="23">
        <f t="shared" si="187"/>
        <v>0.23716094602358237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-9.2222762759774927E-14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268.57152522489537</v>
      </c>
      <c r="HA169" s="62">
        <f t="shared" si="160"/>
        <v>311.80303557283207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3.75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13.75</v>
      </c>
      <c r="H170" s="70">
        <f t="shared" si="110"/>
        <v>201.66666666666666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-4.6288732846733184E-13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461.02780119093666</v>
      </c>
      <c r="T170" s="62">
        <f t="shared" si="142"/>
        <v>245.70016468438834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-4.3096406443510209E-13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434.22500776975596</v>
      </c>
      <c r="AO170" s="62">
        <f t="shared" si="144"/>
        <v>232.59777933076705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-1.0818439477588981E-13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393.3005580838161</v>
      </c>
      <c r="BJ170" s="62">
        <f t="shared" si="146"/>
        <v>295.86019897822757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-4.5224624045658861E-14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388.52230330563884</v>
      </c>
      <c r="CE170" s="62">
        <f t="shared" si="148"/>
        <v>418.94833960687333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-4.1677594708744434E-14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362.38131866207266</v>
      </c>
      <c r="CZ170" s="62">
        <f t="shared" si="150"/>
        <v>390.74498763200336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8.5265128291212022E-14</v>
      </c>
      <c r="DP170" s="18">
        <f>DO170*VLOOKUP('Données projet'!$B$14,Paramètres!$A$1:$I$89,3,0)*VLOOKUP('Données projet'!$B$14,Paramètres!$A$1:$I$89,5,0)</f>
        <v>7.4487616075202836E-14</v>
      </c>
      <c r="DQ170" s="14">
        <f t="shared" si="176"/>
        <v>1.1580453144473142E-12</v>
      </c>
      <c r="DR170" s="22">
        <f t="shared" si="177"/>
        <v>2.1466615206600508E-12</v>
      </c>
      <c r="DS170" s="62">
        <f t="shared" si="125"/>
        <v>289.63465060627522</v>
      </c>
      <c r="DT170" s="62">
        <f ca="1">AVERAGE(OFFSET($DS$3,0,0,'Données projet'!$E$14+1,1))-AVERAGE(OFFSET($H$3,0,0,'Données projet'!$E$14+1,1))</f>
        <v>334.4692012109935</v>
      </c>
      <c r="DU170" s="62">
        <f t="shared" si="152"/>
        <v>316.360405424036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-1.9065282685915009E-13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390.09289316045653</v>
      </c>
      <c r="EP170" s="62">
        <f t="shared" si="154"/>
        <v>364.34913542817617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0.16533467593852066</v>
      </c>
      <c r="EX170" s="23">
        <f>EXP(-LN(2)/2)*EX169+(1-EXP(-LN(2)/2))/(LN(2)/2)*ER170*EU170*VLOOKUP('Données projet'!$B$15,Paramètres!$A$1:$I$89,3,0)*0.475*44/12</f>
        <v>2.151987829635096E-20</v>
      </c>
      <c r="EY170" s="24">
        <f t="shared" si="181"/>
        <v>0.16533467593852066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4.5474735088646412E-13</v>
      </c>
      <c r="FF170" s="18">
        <f>FE170*VLOOKUP('Données projet'!$B$16,Paramètres!$A$1:$I$89,3,0)*VLOOKUP('Données projet'!$B$16,Paramètres!$A$1:$I$89,5,0)</f>
        <v>2.1282176021486519E-13</v>
      </c>
      <c r="FG170" s="14">
        <f t="shared" si="182"/>
        <v>2.9281075858910828E-12</v>
      </c>
      <c r="FH170" s="22">
        <f t="shared" si="183"/>
        <v>5.4704519444678596E-12</v>
      </c>
      <c r="FI170" s="62">
        <f t="shared" si="131"/>
        <v>289.63465060627851</v>
      </c>
      <c r="FJ170" s="62">
        <f ca="1">AVERAGE(OFFSET($FI$3,0,0,'Données projet'!$E$16+1,1))-AVERAGE(OFFSET($H$3,0,0,'Données projet'!$E$16+1,1))</f>
        <v>344.55118007058775</v>
      </c>
      <c r="FK170" s="62">
        <f t="shared" si="156"/>
        <v>144.16931602355001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252.60122125520482</v>
      </c>
      <c r="GF170" s="62">
        <f t="shared" si="158"/>
        <v>357.56833754121317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0.2306757674828154</v>
      </c>
      <c r="GN170" s="23">
        <f>EXP(-LN(2)/2)*GN169+(1-EXP(-LN(2)/2))/(LN(2)/2)*GH170*GK170*VLOOKUP('Données projet'!$B$17,Paramètres!$A$1:$I$89,3,0)*0.475*44/12</f>
        <v>3.9575309023322127E-20</v>
      </c>
      <c r="GO170" s="23">
        <f t="shared" si="187"/>
        <v>0.2306757674828154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-9.2222762759774927E-14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268.57152522489537</v>
      </c>
      <c r="HA170" s="62">
        <f t="shared" si="160"/>
        <v>311.80303557283207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3.75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13.75</v>
      </c>
      <c r="H171" s="70">
        <f t="shared" si="110"/>
        <v>201.66666666666666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-4.6288732846733184E-13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461.02780119093666</v>
      </c>
      <c r="T171" s="62">
        <f t="shared" si="142"/>
        <v>245.70016468438834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-4.3096406443510209E-13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434.22500776975596</v>
      </c>
      <c r="AO171" s="62">
        <f t="shared" si="144"/>
        <v>232.59777933076705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-1.0818439477588981E-13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393.3005580838161</v>
      </c>
      <c r="BJ171" s="62">
        <f t="shared" si="146"/>
        <v>295.86019897822757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-4.5224624045658861E-14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388.52230330563884</v>
      </c>
      <c r="CE171" s="62">
        <f t="shared" si="148"/>
        <v>418.94833960687333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-4.1677594708744434E-14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362.38131866207266</v>
      </c>
      <c r="CZ171" s="62">
        <f t="shared" si="150"/>
        <v>390.74498763200336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8.5265128291212022E-14</v>
      </c>
      <c r="DP171" s="18">
        <f>DO171*VLOOKUP('Données projet'!$B$14,Paramètres!$A$1:$I$89,3,0)*VLOOKUP('Données projet'!$B$14,Paramètres!$A$1:$I$89,5,0)</f>
        <v>7.4487616075202836E-14</v>
      </c>
      <c r="DQ171" s="14">
        <f t="shared" si="176"/>
        <v>1.1580453144473142E-12</v>
      </c>
      <c r="DR171" s="22">
        <f t="shared" si="177"/>
        <v>2.1466615206600508E-12</v>
      </c>
      <c r="DS171" s="62">
        <f t="shared" si="125"/>
        <v>289.69881448257388</v>
      </c>
      <c r="DT171" s="62">
        <f ca="1">AVERAGE(OFFSET($DS$3,0,0,'Données projet'!$E$14+1,1))-AVERAGE(OFFSET($H$3,0,0,'Données projet'!$E$14+1,1))</f>
        <v>334.4692012109935</v>
      </c>
      <c r="DU171" s="62">
        <f t="shared" si="152"/>
        <v>316.360405424036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-1.9065282685915009E-13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390.09289316045653</v>
      </c>
      <c r="EP171" s="62">
        <f t="shared" si="154"/>
        <v>364.34913542817617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0.16081359053040908</v>
      </c>
      <c r="EX171" s="23">
        <f>EXP(-LN(2)/2)*EX170+(1-EXP(-LN(2)/2))/(LN(2)/2)*ER171*EU171*VLOOKUP('Données projet'!$B$15,Paramètres!$A$1:$I$89,3,0)*0.475*44/12</f>
        <v>1.5216851873658971E-20</v>
      </c>
      <c r="EY171" s="24">
        <f t="shared" si="181"/>
        <v>0.16081359053040908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4.5474735088646412E-13</v>
      </c>
      <c r="FF171" s="18">
        <f>FE171*VLOOKUP('Données projet'!$B$16,Paramètres!$A$1:$I$89,3,0)*VLOOKUP('Données projet'!$B$16,Paramètres!$A$1:$I$89,5,0)</f>
        <v>2.1282176021486519E-13</v>
      </c>
      <c r="FG171" s="14">
        <f t="shared" si="182"/>
        <v>2.9281075858910828E-12</v>
      </c>
      <c r="FH171" s="22">
        <f t="shared" si="183"/>
        <v>5.4704519444678596E-12</v>
      </c>
      <c r="FI171" s="62">
        <f t="shared" si="131"/>
        <v>289.69881448257718</v>
      </c>
      <c r="FJ171" s="62">
        <f ca="1">AVERAGE(OFFSET($FI$3,0,0,'Données projet'!$E$16+1,1))-AVERAGE(OFFSET($H$3,0,0,'Données projet'!$E$16+1,1))</f>
        <v>344.55118007058775</v>
      </c>
      <c r="FK171" s="62">
        <f t="shared" si="156"/>
        <v>144.16931602355001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252.60122125520482</v>
      </c>
      <c r="GF171" s="62">
        <f t="shared" si="158"/>
        <v>357.56833754121317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0.22436792649028642</v>
      </c>
      <c r="GN171" s="23">
        <f>EXP(-LN(2)/2)*GN170+(1-EXP(-LN(2)/2))/(LN(2)/2)*GH171*GK171*VLOOKUP('Données projet'!$B$17,Paramètres!$A$1:$I$89,3,0)*0.475*44/12</f>
        <v>2.7983969377944239E-20</v>
      </c>
      <c r="GO171" s="23">
        <f t="shared" si="187"/>
        <v>0.22436792649028642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-9.2222762759774927E-14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268.57152522489537</v>
      </c>
      <c r="HA171" s="62">
        <f t="shared" si="160"/>
        <v>311.80303557283207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3.75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13.75</v>
      </c>
      <c r="H172" s="70">
        <f t="shared" si="110"/>
        <v>201.66666666666666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-4.6288732846733184E-13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461.02780119093666</v>
      </c>
      <c r="T172" s="62">
        <f t="shared" si="142"/>
        <v>245.70016468438834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-4.3096406443510209E-13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434.22500776975596</v>
      </c>
      <c r="AO172" s="62">
        <f t="shared" si="144"/>
        <v>232.59777933076705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-1.0818439477588981E-13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393.3005580838161</v>
      </c>
      <c r="BJ172" s="62">
        <f t="shared" si="146"/>
        <v>295.86019897822757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-4.5224624045658861E-14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388.52230330563884</v>
      </c>
      <c r="CE172" s="62">
        <f t="shared" si="148"/>
        <v>418.94833960687333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-4.1677594708744434E-14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362.38131866207266</v>
      </c>
      <c r="CZ172" s="62">
        <f t="shared" si="150"/>
        <v>390.74498763200336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8.5265128291212022E-14</v>
      </c>
      <c r="DP172" s="18">
        <f>DO172*VLOOKUP('Données projet'!$B$14,Paramètres!$A$1:$I$89,3,0)*VLOOKUP('Données projet'!$B$14,Paramètres!$A$1:$I$89,5,0)</f>
        <v>7.4487616075202836E-14</v>
      </c>
      <c r="DQ172" s="14">
        <f t="shared" si="176"/>
        <v>1.1580453144473142E-12</v>
      </c>
      <c r="DR172" s="22">
        <f t="shared" si="177"/>
        <v>2.1466615206600508E-12</v>
      </c>
      <c r="DS172" s="62">
        <f t="shared" si="125"/>
        <v>289.7618652590678</v>
      </c>
      <c r="DT172" s="62">
        <f ca="1">AVERAGE(OFFSET($DS$3,0,0,'Données projet'!$E$14+1,1))-AVERAGE(OFFSET($H$3,0,0,'Données projet'!$E$14+1,1))</f>
        <v>334.4692012109935</v>
      </c>
      <c r="DU172" s="62">
        <f t="shared" si="152"/>
        <v>316.360405424036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-1.9065282685915009E-13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390.09289316045653</v>
      </c>
      <c r="EP172" s="62">
        <f t="shared" si="154"/>
        <v>364.34913542817617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0.15641613444053587</v>
      </c>
      <c r="EX172" s="23">
        <f>EXP(-LN(2)/2)*EX171+(1-EXP(-LN(2)/2))/(LN(2)/2)*ER172*EU172*VLOOKUP('Données projet'!$B$15,Paramètres!$A$1:$I$89,3,0)*0.475*44/12</f>
        <v>1.075993914817548E-20</v>
      </c>
      <c r="EY172" s="24">
        <f t="shared" si="181"/>
        <v>0.15641613444053587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4.5474735088646412E-13</v>
      </c>
      <c r="FF172" s="18">
        <f>FE172*VLOOKUP('Données projet'!$B$16,Paramètres!$A$1:$I$89,3,0)*VLOOKUP('Données projet'!$B$16,Paramètres!$A$1:$I$89,5,0)</f>
        <v>2.1282176021486519E-13</v>
      </c>
      <c r="FG172" s="14">
        <f t="shared" si="182"/>
        <v>2.9281075858910828E-12</v>
      </c>
      <c r="FH172" s="22">
        <f t="shared" si="183"/>
        <v>5.4704519444678596E-12</v>
      </c>
      <c r="FI172" s="62">
        <f t="shared" si="131"/>
        <v>289.7618652590711</v>
      </c>
      <c r="FJ172" s="62">
        <f ca="1">AVERAGE(OFFSET($FI$3,0,0,'Données projet'!$E$16+1,1))-AVERAGE(OFFSET($H$3,0,0,'Données projet'!$E$16+1,1))</f>
        <v>344.55118007058775</v>
      </c>
      <c r="FK172" s="62">
        <f t="shared" si="156"/>
        <v>144.16931602355001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252.60122125520482</v>
      </c>
      <c r="GF172" s="62">
        <f t="shared" si="158"/>
        <v>357.56833754121317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0.21823257374141308</v>
      </c>
      <c r="GN172" s="23">
        <f>EXP(-LN(2)/2)*GN171+(1-EXP(-LN(2)/2))/(LN(2)/2)*GH172*GK172*VLOOKUP('Données projet'!$B$17,Paramètres!$A$1:$I$89,3,0)*0.475*44/12</f>
        <v>1.9787654511661064E-20</v>
      </c>
      <c r="GO172" s="23">
        <f t="shared" si="187"/>
        <v>0.21823257374141308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-9.2222762759774927E-14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268.57152522489537</v>
      </c>
      <c r="HA172" s="62">
        <f t="shared" si="160"/>
        <v>311.80303557283207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3.75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13.75</v>
      </c>
      <c r="H173" s="70">
        <f t="shared" si="110"/>
        <v>201.66666666666666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-4.6288732846733184E-13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461.02780119093666</v>
      </c>
      <c r="T173" s="62">
        <f t="shared" si="142"/>
        <v>245.70016468438834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-4.3096406443510209E-13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434.22500776975596</v>
      </c>
      <c r="AO173" s="62">
        <f t="shared" si="144"/>
        <v>232.59777933076705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-1.0818439477588981E-13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393.3005580838161</v>
      </c>
      <c r="BJ173" s="62">
        <f t="shared" si="146"/>
        <v>295.86019897822757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-4.5224624045658861E-14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388.52230330563884</v>
      </c>
      <c r="CE173" s="62">
        <f t="shared" si="148"/>
        <v>418.94833960687333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-4.1677594708744434E-14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362.38131866207266</v>
      </c>
      <c r="CZ173" s="62">
        <f t="shared" si="150"/>
        <v>390.74498763200336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8.5265128291212022E-14</v>
      </c>
      <c r="DP173" s="18">
        <f>DO173*VLOOKUP('Données projet'!$B$14,Paramètres!$A$1:$I$89,3,0)*VLOOKUP('Données projet'!$B$14,Paramètres!$A$1:$I$89,5,0)</f>
        <v>7.4487616075202836E-14</v>
      </c>
      <c r="DQ173" s="14">
        <f t="shared" si="176"/>
        <v>1.1580453144473142E-12</v>
      </c>
      <c r="DR173" s="22">
        <f t="shared" si="177"/>
        <v>2.1466615206600508E-12</v>
      </c>
      <c r="DS173" s="62">
        <f t="shared" si="125"/>
        <v>289.82382224554988</v>
      </c>
      <c r="DT173" s="62">
        <f ca="1">AVERAGE(OFFSET($DS$3,0,0,'Données projet'!$E$14+1,1))-AVERAGE(OFFSET($H$3,0,0,'Données projet'!$E$14+1,1))</f>
        <v>334.4692012109935</v>
      </c>
      <c r="DU173" s="62">
        <f t="shared" si="152"/>
        <v>316.360405424036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-1.9065282685915009E-13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390.09289316045653</v>
      </c>
      <c r="EP173" s="62">
        <f t="shared" si="154"/>
        <v>364.34913542817617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0.15213892701869239</v>
      </c>
      <c r="EX173" s="23">
        <f>EXP(-LN(2)/2)*EX172+(1-EXP(-LN(2)/2))/(LN(2)/2)*ER173*EU173*VLOOKUP('Données projet'!$B$15,Paramètres!$A$1:$I$89,3,0)*0.475*44/12</f>
        <v>7.6084259368294855E-21</v>
      </c>
      <c r="EY173" s="24">
        <f t="shared" si="181"/>
        <v>0.15213892701869239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4.5474735088646412E-13</v>
      </c>
      <c r="FF173" s="18">
        <f>FE173*VLOOKUP('Données projet'!$B$16,Paramètres!$A$1:$I$89,3,0)*VLOOKUP('Données projet'!$B$16,Paramètres!$A$1:$I$89,5,0)</f>
        <v>2.1282176021486519E-13</v>
      </c>
      <c r="FG173" s="14">
        <f t="shared" si="182"/>
        <v>2.9281075858910828E-12</v>
      </c>
      <c r="FH173" s="22">
        <f t="shared" si="183"/>
        <v>5.4704519444678596E-12</v>
      </c>
      <c r="FI173" s="62">
        <f t="shared" si="131"/>
        <v>289.82382224555317</v>
      </c>
      <c r="FJ173" s="62">
        <f ca="1">AVERAGE(OFFSET($FI$3,0,0,'Données projet'!$E$16+1,1))-AVERAGE(OFFSET($H$3,0,0,'Données projet'!$E$16+1,1))</f>
        <v>344.55118007058775</v>
      </c>
      <c r="FK173" s="62">
        <f t="shared" si="156"/>
        <v>144.16931602355001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252.60122125520482</v>
      </c>
      <c r="GF173" s="62">
        <f t="shared" si="158"/>
        <v>357.56833754121317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0.21226499253610187</v>
      </c>
      <c r="GN173" s="23">
        <f>EXP(-LN(2)/2)*GN172+(1-EXP(-LN(2)/2))/(LN(2)/2)*GH173*GK173*VLOOKUP('Données projet'!$B$17,Paramètres!$A$1:$I$89,3,0)*0.475*44/12</f>
        <v>1.399198468897212E-20</v>
      </c>
      <c r="GO173" s="23">
        <f t="shared" si="187"/>
        <v>0.21226499253610187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-9.2222762759774927E-14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268.57152522489537</v>
      </c>
      <c r="HA173" s="62">
        <f t="shared" si="160"/>
        <v>311.80303557283207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3.75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13.75</v>
      </c>
      <c r="H174" s="70">
        <f t="shared" si="110"/>
        <v>201.66666666666666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-4.6288732846733184E-13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461.02780119093666</v>
      </c>
      <c r="T174" s="62">
        <f t="shared" si="142"/>
        <v>245.70016468438834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-4.3096406443510209E-13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434.22500776975596</v>
      </c>
      <c r="AO174" s="62">
        <f t="shared" si="144"/>
        <v>232.59777933076705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-1.0818439477588981E-13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393.3005580838161</v>
      </c>
      <c r="BJ174" s="62">
        <f t="shared" si="146"/>
        <v>295.86019897822757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-4.5224624045658861E-14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388.52230330563884</v>
      </c>
      <c r="CE174" s="62">
        <f t="shared" si="148"/>
        <v>418.94833960687333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-4.1677594708744434E-14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362.38131866207266</v>
      </c>
      <c r="CZ174" s="62">
        <f t="shared" si="150"/>
        <v>390.74498763200336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8.5265128291212022E-14</v>
      </c>
      <c r="DP174" s="18">
        <f>DO174*VLOOKUP('Données projet'!$B$14,Paramètres!$A$1:$I$89,3,0)*VLOOKUP('Données projet'!$B$14,Paramètres!$A$1:$I$89,5,0)</f>
        <v>7.4487616075202836E-14</v>
      </c>
      <c r="DQ174" s="14">
        <f t="shared" si="176"/>
        <v>1.1580453144473142E-12</v>
      </c>
      <c r="DR174" s="22">
        <f t="shared" si="177"/>
        <v>2.1466615206600508E-12</v>
      </c>
      <c r="DS174" s="62">
        <f t="shared" si="125"/>
        <v>289.8847044168316</v>
      </c>
      <c r="DT174" s="62">
        <f ca="1">AVERAGE(OFFSET($DS$3,0,0,'Données projet'!$E$14+1,1))-AVERAGE(OFFSET($H$3,0,0,'Données projet'!$E$14+1,1))</f>
        <v>334.4692012109935</v>
      </c>
      <c r="DU174" s="62">
        <f t="shared" si="152"/>
        <v>316.360405424036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-1.9065282685915009E-13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390.09289316045653</v>
      </c>
      <c r="EP174" s="62">
        <f t="shared" si="154"/>
        <v>364.34913542817617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0.1479786800587278</v>
      </c>
      <c r="EX174" s="23">
        <f>EXP(-LN(2)/2)*EX173+(1-EXP(-LN(2)/2))/(LN(2)/2)*ER174*EU174*VLOOKUP('Données projet'!$B$15,Paramètres!$A$1:$I$89,3,0)*0.475*44/12</f>
        <v>5.3799695740877399E-21</v>
      </c>
      <c r="EY174" s="24">
        <f t="shared" si="181"/>
        <v>0.1479786800587278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4.5474735088646412E-13</v>
      </c>
      <c r="FF174" s="18">
        <f>FE174*VLOOKUP('Données projet'!$B$16,Paramètres!$A$1:$I$89,3,0)*VLOOKUP('Données projet'!$B$16,Paramètres!$A$1:$I$89,5,0)</f>
        <v>2.1282176021486519E-13</v>
      </c>
      <c r="FG174" s="14">
        <f t="shared" si="182"/>
        <v>2.9281075858910828E-12</v>
      </c>
      <c r="FH174" s="22">
        <f t="shared" si="183"/>
        <v>5.4704519444678596E-12</v>
      </c>
      <c r="FI174" s="62">
        <f t="shared" si="131"/>
        <v>289.88470441683489</v>
      </c>
      <c r="FJ174" s="62">
        <f ca="1">AVERAGE(OFFSET($FI$3,0,0,'Données projet'!$E$16+1,1))-AVERAGE(OFFSET($H$3,0,0,'Données projet'!$E$16+1,1))</f>
        <v>344.55118007058775</v>
      </c>
      <c r="FK174" s="62">
        <f t="shared" si="156"/>
        <v>144.16931602355001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252.60122125520482</v>
      </c>
      <c r="GF174" s="62">
        <f t="shared" si="158"/>
        <v>357.56833754121317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0.20646059515267134</v>
      </c>
      <c r="GN174" s="23">
        <f>EXP(-LN(2)/2)*GN173+(1-EXP(-LN(2)/2))/(LN(2)/2)*GH174*GK174*VLOOKUP('Données projet'!$B$17,Paramètres!$A$1:$I$89,3,0)*0.475*44/12</f>
        <v>9.8938272558305319E-21</v>
      </c>
      <c r="GO174" s="23">
        <f t="shared" si="187"/>
        <v>0.20646059515267134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-9.2222762759774927E-14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268.57152522489537</v>
      </c>
      <c r="HA174" s="62">
        <f t="shared" si="160"/>
        <v>311.80303557283207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3.75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13.75</v>
      </c>
      <c r="H175" s="70">
        <f t="shared" si="110"/>
        <v>201.66666666666666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-4.6288732846733184E-13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461.02780119093666</v>
      </c>
      <c r="T175" s="62">
        <f t="shared" si="142"/>
        <v>245.70016468438834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-4.3096406443510209E-13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434.22500776975596</v>
      </c>
      <c r="AO175" s="62">
        <f t="shared" si="144"/>
        <v>232.59777933076705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-1.0818439477588981E-13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393.3005580838161</v>
      </c>
      <c r="BJ175" s="62">
        <f t="shared" si="146"/>
        <v>295.86019897822757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-4.5224624045658861E-14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388.52230330563884</v>
      </c>
      <c r="CE175" s="62">
        <f t="shared" si="148"/>
        <v>418.94833960687333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-4.1677594708744434E-14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362.38131866207266</v>
      </c>
      <c r="CZ175" s="62">
        <f t="shared" si="150"/>
        <v>390.74498763200336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8.5265128291212022E-14</v>
      </c>
      <c r="DP175" s="18">
        <f>DO175*VLOOKUP('Données projet'!$B$14,Paramètres!$A$1:$I$89,3,0)*VLOOKUP('Données projet'!$B$14,Paramètres!$A$1:$I$89,5,0)</f>
        <v>7.4487616075202836E-14</v>
      </c>
      <c r="DQ175" s="14">
        <f t="shared" si="176"/>
        <v>1.1580453144473142E-12</v>
      </c>
      <c r="DR175" s="22">
        <f t="shared" si="177"/>
        <v>2.1466615206600508E-12</v>
      </c>
      <c r="DS175" s="62">
        <f t="shared" si="125"/>
        <v>289.94453041855371</v>
      </c>
      <c r="DT175" s="62">
        <f ca="1">AVERAGE(OFFSET($DS$3,0,0,'Données projet'!$E$14+1,1))-AVERAGE(OFFSET($H$3,0,0,'Données projet'!$E$14+1,1))</f>
        <v>334.4692012109935</v>
      </c>
      <c r="DU175" s="62">
        <f t="shared" si="152"/>
        <v>316.360405424036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-1.9065282685915009E-13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390.09289316045653</v>
      </c>
      <c r="EP175" s="62">
        <f t="shared" si="154"/>
        <v>364.34913542817617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0.14393219527066131</v>
      </c>
      <c r="EX175" s="23">
        <f>EXP(-LN(2)/2)*EX174+(1-EXP(-LN(2)/2))/(LN(2)/2)*ER175*EU175*VLOOKUP('Données projet'!$B$15,Paramètres!$A$1:$I$89,3,0)*0.475*44/12</f>
        <v>3.8042129684147428E-21</v>
      </c>
      <c r="EY175" s="24">
        <f t="shared" si="181"/>
        <v>0.14393219527066131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4.5474735088646412E-13</v>
      </c>
      <c r="FF175" s="18">
        <f>FE175*VLOOKUP('Données projet'!$B$16,Paramètres!$A$1:$I$89,3,0)*VLOOKUP('Données projet'!$B$16,Paramètres!$A$1:$I$89,5,0)</f>
        <v>2.1282176021486519E-13</v>
      </c>
      <c r="FG175" s="14">
        <f t="shared" si="182"/>
        <v>2.9281075858910828E-12</v>
      </c>
      <c r="FH175" s="22">
        <f t="shared" si="183"/>
        <v>5.4704519444678596E-12</v>
      </c>
      <c r="FI175" s="62">
        <f t="shared" si="131"/>
        <v>289.94453041855701</v>
      </c>
      <c r="FJ175" s="62">
        <f ca="1">AVERAGE(OFFSET($FI$3,0,0,'Données projet'!$E$16+1,1))-AVERAGE(OFFSET($H$3,0,0,'Données projet'!$E$16+1,1))</f>
        <v>344.55118007058775</v>
      </c>
      <c r="FK175" s="62">
        <f t="shared" si="156"/>
        <v>144.16931602355001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252.60122125520482</v>
      </c>
      <c r="GF175" s="62">
        <f t="shared" si="158"/>
        <v>357.56833754121317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0.20081491932093071</v>
      </c>
      <c r="GN175" s="23">
        <f>EXP(-LN(2)/2)*GN174+(1-EXP(-LN(2)/2))/(LN(2)/2)*GH175*GK175*VLOOKUP('Données projet'!$B$17,Paramètres!$A$1:$I$89,3,0)*0.475*44/12</f>
        <v>6.9959923444860598E-21</v>
      </c>
      <c r="GO175" s="23">
        <f t="shared" si="187"/>
        <v>0.20081491932093071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-9.2222762759774927E-14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268.57152522489537</v>
      </c>
      <c r="HA175" s="62">
        <f t="shared" si="160"/>
        <v>311.80303557283207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3.75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13.75</v>
      </c>
      <c r="H176" s="70">
        <f t="shared" si="110"/>
        <v>201.66666666666666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-4.6288732846733184E-13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461.02780119093666</v>
      </c>
      <c r="T176" s="62">
        <f t="shared" si="142"/>
        <v>245.70016468438834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-4.3096406443510209E-13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434.22500776975596</v>
      </c>
      <c r="AO176" s="62">
        <f t="shared" si="144"/>
        <v>232.59777933076705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-1.0818439477588981E-13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393.3005580838161</v>
      </c>
      <c r="BJ176" s="62">
        <f t="shared" si="146"/>
        <v>295.86019897822757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-4.5224624045658861E-14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388.52230330563884</v>
      </c>
      <c r="CE176" s="62">
        <f t="shared" si="148"/>
        <v>418.94833960687333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-4.1677594708744434E-14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362.38131866207266</v>
      </c>
      <c r="CZ176" s="62">
        <f t="shared" si="150"/>
        <v>390.74498763200336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8.5265128291212022E-14</v>
      </c>
      <c r="DP176" s="18">
        <f>DO176*VLOOKUP('Données projet'!$B$14,Paramètres!$A$1:$I$89,3,0)*VLOOKUP('Données projet'!$B$14,Paramètres!$A$1:$I$89,5,0)</f>
        <v>7.4487616075202836E-14</v>
      </c>
      <c r="DQ176" s="14">
        <f t="shared" si="176"/>
        <v>1.1580453144473142E-12</v>
      </c>
      <c r="DR176" s="22">
        <f t="shared" si="177"/>
        <v>2.1466615206600508E-12</v>
      </c>
      <c r="DS176" s="62">
        <f t="shared" si="125"/>
        <v>290.00331857289689</v>
      </c>
      <c r="DT176" s="62">
        <f ca="1">AVERAGE(OFFSET($DS$3,0,0,'Données projet'!$E$14+1,1))-AVERAGE(OFFSET($H$3,0,0,'Données projet'!$E$14+1,1))</f>
        <v>334.4692012109935</v>
      </c>
      <c r="DU176" s="62">
        <f t="shared" si="152"/>
        <v>316.360405424036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-1.9065282685915009E-13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390.09289316045653</v>
      </c>
      <c r="EP176" s="62">
        <f t="shared" si="154"/>
        <v>364.34913542817617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0.13999636182191988</v>
      </c>
      <c r="EX176" s="23">
        <f>EXP(-LN(2)/2)*EX175+(1-EXP(-LN(2)/2))/(LN(2)/2)*ER176*EU176*VLOOKUP('Données projet'!$B$15,Paramètres!$A$1:$I$89,3,0)*0.475*44/12</f>
        <v>2.68998478704387E-21</v>
      </c>
      <c r="EY176" s="24">
        <f t="shared" si="181"/>
        <v>0.13999636182191988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4.5474735088646412E-13</v>
      </c>
      <c r="FF176" s="18">
        <f>FE176*VLOOKUP('Données projet'!$B$16,Paramètres!$A$1:$I$89,3,0)*VLOOKUP('Données projet'!$B$16,Paramètres!$A$1:$I$89,5,0)</f>
        <v>2.1282176021486519E-13</v>
      </c>
      <c r="FG176" s="14">
        <f t="shared" si="182"/>
        <v>2.9281075858910828E-12</v>
      </c>
      <c r="FH176" s="22">
        <f t="shared" si="183"/>
        <v>5.4704519444678596E-12</v>
      </c>
      <c r="FI176" s="62">
        <f t="shared" si="131"/>
        <v>290.00331857290018</v>
      </c>
      <c r="FJ176" s="62">
        <f ca="1">AVERAGE(OFFSET($FI$3,0,0,'Données projet'!$E$16+1,1))-AVERAGE(OFFSET($H$3,0,0,'Données projet'!$E$16+1,1))</f>
        <v>344.55118007058775</v>
      </c>
      <c r="FK176" s="62">
        <f t="shared" si="156"/>
        <v>144.16931602355001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252.60122125520482</v>
      </c>
      <c r="GF176" s="62">
        <f t="shared" si="158"/>
        <v>357.56833754121317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0.19532362479170221</v>
      </c>
      <c r="GN176" s="23">
        <f>EXP(-LN(2)/2)*GN175+(1-EXP(-LN(2)/2))/(LN(2)/2)*GH176*GK176*VLOOKUP('Données projet'!$B$17,Paramètres!$A$1:$I$89,3,0)*0.475*44/12</f>
        <v>4.9469136279152659E-21</v>
      </c>
      <c r="GO176" s="23">
        <f t="shared" si="187"/>
        <v>0.19532362479170221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-9.2222762759774927E-14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268.57152522489537</v>
      </c>
      <c r="HA176" s="62">
        <f t="shared" si="160"/>
        <v>311.80303557283207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3.75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13.75</v>
      </c>
      <c r="H177" s="70">
        <f t="shared" si="110"/>
        <v>201.66666666666666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-4.6288732846733184E-13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461.02780119093666</v>
      </c>
      <c r="T177" s="62">
        <f t="shared" si="142"/>
        <v>245.70016468438834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-4.3096406443510209E-13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434.22500776975596</v>
      </c>
      <c r="AO177" s="62">
        <f t="shared" si="144"/>
        <v>232.59777933076705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-1.0818439477588981E-13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393.3005580838161</v>
      </c>
      <c r="BJ177" s="62">
        <f t="shared" si="146"/>
        <v>295.86019897822757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-4.5224624045658861E-14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388.52230330563884</v>
      </c>
      <c r="CE177" s="62">
        <f t="shared" si="148"/>
        <v>418.94833960687333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-4.1677594708744434E-14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362.38131866207266</v>
      </c>
      <c r="CZ177" s="62">
        <f t="shared" si="150"/>
        <v>390.74498763200336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8.5265128291212022E-14</v>
      </c>
      <c r="DP177" s="18">
        <f>DO177*VLOOKUP('Données projet'!$B$14,Paramètres!$A$1:$I$89,3,0)*VLOOKUP('Données projet'!$B$14,Paramètres!$A$1:$I$89,5,0)</f>
        <v>7.4487616075202836E-14</v>
      </c>
      <c r="DQ177" s="14">
        <f t="shared" si="176"/>
        <v>1.1580453144473142E-12</v>
      </c>
      <c r="DR177" s="22">
        <f t="shared" si="177"/>
        <v>2.1466615206600508E-12</v>
      </c>
      <c r="DS177" s="62">
        <f t="shared" si="125"/>
        <v>290.06108688419283</v>
      </c>
      <c r="DT177" s="62">
        <f ca="1">AVERAGE(OFFSET($DS$3,0,0,'Données projet'!$E$14+1,1))-AVERAGE(OFFSET($H$3,0,0,'Données projet'!$E$14+1,1))</f>
        <v>334.4692012109935</v>
      </c>
      <c r="DU177" s="62">
        <f t="shared" si="152"/>
        <v>316.360405424036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-1.9065282685915009E-13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390.09289316045653</v>
      </c>
      <c r="EP177" s="62">
        <f t="shared" si="154"/>
        <v>364.34913542817617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0.13616815394581078</v>
      </c>
      <c r="EX177" s="23">
        <f>EXP(-LN(2)/2)*EX176+(1-EXP(-LN(2)/2))/(LN(2)/2)*ER177*EU177*VLOOKUP('Données projet'!$B$15,Paramètres!$A$1:$I$89,3,0)*0.475*44/12</f>
        <v>1.9021064842073714E-21</v>
      </c>
      <c r="EY177" s="24">
        <f t="shared" si="181"/>
        <v>0.13616815394581078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4.5474735088646412E-13</v>
      </c>
      <c r="FF177" s="18">
        <f>FE177*VLOOKUP('Données projet'!$B$16,Paramètres!$A$1:$I$89,3,0)*VLOOKUP('Données projet'!$B$16,Paramètres!$A$1:$I$89,5,0)</f>
        <v>2.1282176021486519E-13</v>
      </c>
      <c r="FG177" s="14">
        <f t="shared" si="182"/>
        <v>2.9281075858910828E-12</v>
      </c>
      <c r="FH177" s="22">
        <f t="shared" si="183"/>
        <v>5.4704519444678596E-12</v>
      </c>
      <c r="FI177" s="62">
        <f t="shared" si="131"/>
        <v>290.06108688419613</v>
      </c>
      <c r="FJ177" s="62">
        <f ca="1">AVERAGE(OFFSET($FI$3,0,0,'Données projet'!$E$16+1,1))-AVERAGE(OFFSET($H$3,0,0,'Données projet'!$E$16+1,1))</f>
        <v>344.55118007058775</v>
      </c>
      <c r="FK177" s="62">
        <f t="shared" si="156"/>
        <v>144.16931602355001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252.60122125520482</v>
      </c>
      <c r="GF177" s="62">
        <f t="shared" si="158"/>
        <v>357.56833754121317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0.18998249000015011</v>
      </c>
      <c r="GN177" s="23">
        <f>EXP(-LN(2)/2)*GN176+(1-EXP(-LN(2)/2))/(LN(2)/2)*GH177*GK177*VLOOKUP('Données projet'!$B$17,Paramètres!$A$1:$I$89,3,0)*0.475*44/12</f>
        <v>3.4979961722430299E-21</v>
      </c>
      <c r="GO177" s="23">
        <f t="shared" si="187"/>
        <v>0.18998249000015011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-9.2222762759774927E-14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268.57152522489537</v>
      </c>
      <c r="HA177" s="62">
        <f t="shared" si="160"/>
        <v>311.80303557283207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3.75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13.75</v>
      </c>
      <c r="H178" s="70">
        <f t="shared" si="110"/>
        <v>201.66666666666666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-4.6288732846733184E-13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461.02780119093666</v>
      </c>
      <c r="T178" s="62">
        <f t="shared" si="142"/>
        <v>245.70016468438834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-4.3096406443510209E-13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434.22500776975596</v>
      </c>
      <c r="AO178" s="62">
        <f t="shared" si="144"/>
        <v>232.59777933076705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-1.0818439477588981E-13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393.3005580838161</v>
      </c>
      <c r="BJ178" s="62">
        <f t="shared" si="146"/>
        <v>295.86019897822757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-4.5224624045658861E-14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388.52230330563884</v>
      </c>
      <c r="CE178" s="62">
        <f t="shared" si="148"/>
        <v>418.94833960687333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-4.1677594708744434E-14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362.38131866207266</v>
      </c>
      <c r="CZ178" s="62">
        <f t="shared" si="150"/>
        <v>390.74498763200336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8.5265128291212022E-14</v>
      </c>
      <c r="DP178" s="18">
        <f>DO178*VLOOKUP('Données projet'!$B$14,Paramètres!$A$1:$I$89,3,0)*VLOOKUP('Données projet'!$B$14,Paramètres!$A$1:$I$89,5,0)</f>
        <v>7.4487616075202836E-14</v>
      </c>
      <c r="DQ178" s="14">
        <f t="shared" si="176"/>
        <v>1.1580453144473142E-12</v>
      </c>
      <c r="DR178" s="22">
        <f t="shared" si="177"/>
        <v>2.1466615206600508E-12</v>
      </c>
      <c r="DS178" s="62">
        <f t="shared" si="125"/>
        <v>290.11785304443828</v>
      </c>
      <c r="DT178" s="62">
        <f ca="1">AVERAGE(OFFSET($DS$3,0,0,'Données projet'!$E$14+1,1))-AVERAGE(OFFSET($H$3,0,0,'Données projet'!$E$14+1,1))</f>
        <v>334.4692012109935</v>
      </c>
      <c r="DU178" s="62">
        <f t="shared" si="152"/>
        <v>316.360405424036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-1.9065282685915009E-13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390.09289316045653</v>
      </c>
      <c r="EP178" s="62">
        <f t="shared" si="154"/>
        <v>364.34913542817617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0.13244462861539058</v>
      </c>
      <c r="EX178" s="23">
        <f>EXP(-LN(2)/2)*EX177+(1-EXP(-LN(2)/2))/(LN(2)/2)*ER178*EU178*VLOOKUP('Données projet'!$B$15,Paramètres!$A$1:$I$89,3,0)*0.475*44/12</f>
        <v>1.344992393521935E-21</v>
      </c>
      <c r="EY178" s="24">
        <f t="shared" si="181"/>
        <v>0.13244462861539058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4.5474735088646412E-13</v>
      </c>
      <c r="FF178" s="18">
        <f>FE178*VLOOKUP('Données projet'!$B$16,Paramètres!$A$1:$I$89,3,0)*VLOOKUP('Données projet'!$B$16,Paramètres!$A$1:$I$89,5,0)</f>
        <v>2.1282176021486519E-13</v>
      </c>
      <c r="FG178" s="14">
        <f t="shared" si="182"/>
        <v>2.9281075858910828E-12</v>
      </c>
      <c r="FH178" s="22">
        <f t="shared" si="183"/>
        <v>5.4704519444678596E-12</v>
      </c>
      <c r="FI178" s="62">
        <f t="shared" si="131"/>
        <v>290.11785304444157</v>
      </c>
      <c r="FJ178" s="62">
        <f ca="1">AVERAGE(OFFSET($FI$3,0,0,'Données projet'!$E$16+1,1))-AVERAGE(OFFSET($H$3,0,0,'Données projet'!$E$16+1,1))</f>
        <v>344.55118007058775</v>
      </c>
      <c r="FK178" s="62">
        <f t="shared" si="156"/>
        <v>144.16931602355001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252.60122125520482</v>
      </c>
      <c r="GF178" s="62">
        <f t="shared" si="158"/>
        <v>357.56833754121317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0.18478740882035105</v>
      </c>
      <c r="GN178" s="23">
        <f>EXP(-LN(2)/2)*GN177+(1-EXP(-LN(2)/2))/(LN(2)/2)*GH178*GK178*VLOOKUP('Données projet'!$B$17,Paramètres!$A$1:$I$89,3,0)*0.475*44/12</f>
        <v>2.473456813957633E-21</v>
      </c>
      <c r="GO178" s="23">
        <f t="shared" si="187"/>
        <v>0.18478740882035105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-9.2222762759774927E-14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268.57152522489537</v>
      </c>
      <c r="HA178" s="62">
        <f t="shared" si="160"/>
        <v>311.80303557283207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3.75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13.75</v>
      </c>
      <c r="H179" s="70">
        <f t="shared" si="110"/>
        <v>201.66666666666666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-4.6288732846733184E-13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461.02780119093666</v>
      </c>
      <c r="T179" s="62">
        <f t="shared" si="142"/>
        <v>245.70016468438834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-4.3096406443510209E-13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434.22500776975596</v>
      </c>
      <c r="AO179" s="62">
        <f t="shared" si="144"/>
        <v>232.59777933076705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-1.0818439477588981E-13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393.3005580838161</v>
      </c>
      <c r="BJ179" s="62">
        <f t="shared" si="146"/>
        <v>295.86019897822757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-4.5224624045658861E-14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388.52230330563884</v>
      </c>
      <c r="CE179" s="62">
        <f t="shared" si="148"/>
        <v>418.94833960687333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-4.1677594708744434E-14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362.38131866207266</v>
      </c>
      <c r="CZ179" s="62">
        <f t="shared" si="150"/>
        <v>390.74498763200336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8.5265128291212022E-14</v>
      </c>
      <c r="DP179" s="18">
        <f>DO179*VLOOKUP('Données projet'!$B$14,Paramètres!$A$1:$I$89,3,0)*VLOOKUP('Données projet'!$B$14,Paramètres!$A$1:$I$89,5,0)</f>
        <v>7.4487616075202836E-14</v>
      </c>
      <c r="DQ179" s="14">
        <f t="shared" si="176"/>
        <v>1.1580453144473142E-12</v>
      </c>
      <c r="DR179" s="22">
        <f t="shared" si="177"/>
        <v>2.1466615206600508E-12</v>
      </c>
      <c r="DS179" s="62">
        <f t="shared" si="125"/>
        <v>290.17363443871369</v>
      </c>
      <c r="DT179" s="62">
        <f ca="1">AVERAGE(OFFSET($DS$3,0,0,'Données projet'!$E$14+1,1))-AVERAGE(OFFSET($H$3,0,0,'Données projet'!$E$14+1,1))</f>
        <v>334.4692012109935</v>
      </c>
      <c r="DU179" s="62">
        <f t="shared" si="152"/>
        <v>316.360405424036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-1.9065282685915009E-13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390.09289316045653</v>
      </c>
      <c r="EP179" s="62">
        <f t="shared" si="154"/>
        <v>364.34913542817617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0.12882292328094241</v>
      </c>
      <c r="EX179" s="23">
        <f>EXP(-LN(2)/2)*EX178+(1-EXP(-LN(2)/2))/(LN(2)/2)*ER179*EU179*VLOOKUP('Données projet'!$B$15,Paramètres!$A$1:$I$89,3,0)*0.475*44/12</f>
        <v>9.5105324210368569E-22</v>
      </c>
      <c r="EY179" s="24">
        <f t="shared" si="181"/>
        <v>0.12882292328094241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4.5474735088646412E-13</v>
      </c>
      <c r="FF179" s="18">
        <f>FE179*VLOOKUP('Données projet'!$B$16,Paramètres!$A$1:$I$89,3,0)*VLOOKUP('Données projet'!$B$16,Paramètres!$A$1:$I$89,5,0)</f>
        <v>2.1282176021486519E-13</v>
      </c>
      <c r="FG179" s="14">
        <f t="shared" si="182"/>
        <v>2.9281075858910828E-12</v>
      </c>
      <c r="FH179" s="22">
        <f t="shared" si="183"/>
        <v>5.4704519444678596E-12</v>
      </c>
      <c r="FI179" s="62">
        <f t="shared" si="131"/>
        <v>290.17363443871699</v>
      </c>
      <c r="FJ179" s="62">
        <f ca="1">AVERAGE(OFFSET($FI$3,0,0,'Données projet'!$E$16+1,1))-AVERAGE(OFFSET($H$3,0,0,'Données projet'!$E$16+1,1))</f>
        <v>344.55118007058775</v>
      </c>
      <c r="FK179" s="62">
        <f t="shared" si="156"/>
        <v>144.16931602355001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252.60122125520482</v>
      </c>
      <c r="GF179" s="62">
        <f t="shared" si="158"/>
        <v>357.56833754121317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0.17973438740861106</v>
      </c>
      <c r="GN179" s="23">
        <f>EXP(-LN(2)/2)*GN178+(1-EXP(-LN(2)/2))/(LN(2)/2)*GH179*GK179*VLOOKUP('Données projet'!$B$17,Paramètres!$A$1:$I$89,3,0)*0.475*44/12</f>
        <v>1.7489980861215149E-21</v>
      </c>
      <c r="GO179" s="23">
        <f t="shared" si="187"/>
        <v>0.17973438740861106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-9.2222762759774927E-14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268.57152522489537</v>
      </c>
      <c r="HA179" s="62">
        <f t="shared" si="160"/>
        <v>311.80303557283207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3.75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13.75</v>
      </c>
      <c r="H180" s="70">
        <f t="shared" si="110"/>
        <v>201.66666666666666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-4.6288732846733184E-13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461.02780119093666</v>
      </c>
      <c r="T180" s="62">
        <f t="shared" si="142"/>
        <v>245.70016468438834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-4.3096406443510209E-13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434.22500776975596</v>
      </c>
      <c r="AO180" s="62">
        <f t="shared" si="144"/>
        <v>232.59777933076705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-1.0818439477588981E-13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393.3005580838161</v>
      </c>
      <c r="BJ180" s="62">
        <f t="shared" si="146"/>
        <v>295.86019897822757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-4.5224624045658861E-14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388.52230330563884</v>
      </c>
      <c r="CE180" s="62">
        <f t="shared" si="148"/>
        <v>418.94833960687333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-4.1677594708744434E-14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362.38131866207266</v>
      </c>
      <c r="CZ180" s="62">
        <f t="shared" si="150"/>
        <v>390.74498763200336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8.5265128291212022E-14</v>
      </c>
      <c r="DP180" s="18">
        <f>DO180*VLOOKUP('Données projet'!$B$14,Paramètres!$A$1:$I$89,3,0)*VLOOKUP('Données projet'!$B$14,Paramètres!$A$1:$I$89,5,0)</f>
        <v>7.4487616075202836E-14</v>
      </c>
      <c r="DQ180" s="14">
        <f t="shared" si="176"/>
        <v>1.1580453144473142E-12</v>
      </c>
      <c r="DR180" s="22">
        <f t="shared" si="177"/>
        <v>2.1466615206600508E-12</v>
      </c>
      <c r="DS180" s="62">
        <f t="shared" si="125"/>
        <v>290.22844815050695</v>
      </c>
      <c r="DT180" s="62">
        <f ca="1">AVERAGE(OFFSET($DS$3,0,0,'Données projet'!$E$14+1,1))-AVERAGE(OFFSET($H$3,0,0,'Données projet'!$E$14+1,1))</f>
        <v>334.4692012109935</v>
      </c>
      <c r="DU180" s="62">
        <f t="shared" si="152"/>
        <v>316.360405424036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-1.9065282685915009E-13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390.09289316045653</v>
      </c>
      <c r="EP180" s="62">
        <f t="shared" si="154"/>
        <v>364.34913542817617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0.12530025366932193</v>
      </c>
      <c r="EX180" s="23">
        <f>EXP(-LN(2)/2)*EX179+(1-EXP(-LN(2)/2))/(LN(2)/2)*ER180*EU180*VLOOKUP('Données projet'!$B$15,Paramètres!$A$1:$I$89,3,0)*0.475*44/12</f>
        <v>6.7249619676096749E-22</v>
      </c>
      <c r="EY180" s="24">
        <f t="shared" si="181"/>
        <v>0.12530025366932193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4.5474735088646412E-13</v>
      </c>
      <c r="FF180" s="18">
        <f>FE180*VLOOKUP('Données projet'!$B$16,Paramètres!$A$1:$I$89,3,0)*VLOOKUP('Données projet'!$B$16,Paramètres!$A$1:$I$89,5,0)</f>
        <v>2.1282176021486519E-13</v>
      </c>
      <c r="FG180" s="14">
        <f t="shared" si="182"/>
        <v>2.9281075858910828E-12</v>
      </c>
      <c r="FH180" s="22">
        <f t="shared" si="183"/>
        <v>5.4704519444678596E-12</v>
      </c>
      <c r="FI180" s="62">
        <f t="shared" si="131"/>
        <v>290.22844815051025</v>
      </c>
      <c r="FJ180" s="62">
        <f ca="1">AVERAGE(OFFSET($FI$3,0,0,'Données projet'!$E$16+1,1))-AVERAGE(OFFSET($H$3,0,0,'Données projet'!$E$16+1,1))</f>
        <v>344.55118007058775</v>
      </c>
      <c r="FK180" s="62">
        <f t="shared" si="156"/>
        <v>144.16931602355001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252.60122125520482</v>
      </c>
      <c r="GF180" s="62">
        <f t="shared" si="158"/>
        <v>357.56833754121317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0.17481954113310194</v>
      </c>
      <c r="GN180" s="23">
        <f>EXP(-LN(2)/2)*GN179+(1-EXP(-LN(2)/2))/(LN(2)/2)*GH180*GK180*VLOOKUP('Données projet'!$B$17,Paramètres!$A$1:$I$89,3,0)*0.475*44/12</f>
        <v>1.2367284069788165E-21</v>
      </c>
      <c r="GO180" s="23">
        <f t="shared" si="187"/>
        <v>0.17481954113310194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-9.2222762759774927E-14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268.57152522489537</v>
      </c>
      <c r="HA180" s="62">
        <f t="shared" si="160"/>
        <v>311.80303557283207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3.75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13.75</v>
      </c>
      <c r="H181" s="70">
        <f t="shared" si="110"/>
        <v>201.66666666666666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-4.6288732846733184E-13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461.02780119093666</v>
      </c>
      <c r="T181" s="62">
        <f t="shared" si="142"/>
        <v>245.70016468438834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-4.3096406443510209E-13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434.22500776975596</v>
      </c>
      <c r="AO181" s="62">
        <f t="shared" si="144"/>
        <v>232.59777933076705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-1.0818439477588981E-13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393.3005580838161</v>
      </c>
      <c r="BJ181" s="62">
        <f t="shared" si="146"/>
        <v>295.86019897822757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-4.5224624045658861E-14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388.52230330563884</v>
      </c>
      <c r="CE181" s="62">
        <f t="shared" si="148"/>
        <v>418.94833960687333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-4.1677594708744434E-14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362.38131866207266</v>
      </c>
      <c r="CZ181" s="62">
        <f t="shared" si="150"/>
        <v>390.74498763200336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8.5265128291212022E-14</v>
      </c>
      <c r="DP181" s="18">
        <f>DO181*VLOOKUP('Données projet'!$B$14,Paramètres!$A$1:$I$89,3,0)*VLOOKUP('Données projet'!$B$14,Paramètres!$A$1:$I$89,5,0)</f>
        <v>7.4487616075202836E-14</v>
      </c>
      <c r="DQ181" s="14">
        <f t="shared" si="176"/>
        <v>1.1580453144473142E-12</v>
      </c>
      <c r="DR181" s="22">
        <f t="shared" si="177"/>
        <v>2.1466615206600508E-12</v>
      </c>
      <c r="DS181" s="62">
        <f t="shared" si="125"/>
        <v>290.28231096694566</v>
      </c>
      <c r="DT181" s="62">
        <f ca="1">AVERAGE(OFFSET($DS$3,0,0,'Données projet'!$E$14+1,1))-AVERAGE(OFFSET($H$3,0,0,'Données projet'!$E$14+1,1))</f>
        <v>334.4692012109935</v>
      </c>
      <c r="DU181" s="62">
        <f t="shared" si="152"/>
        <v>316.360405424036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-1.9065282685915009E-13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390.09289316045653</v>
      </c>
      <c r="EP181" s="62">
        <f t="shared" si="154"/>
        <v>364.34913542817617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0.12187391164348035</v>
      </c>
      <c r="EX181" s="23">
        <f>EXP(-LN(2)/2)*EX180+(1-EXP(-LN(2)/2))/(LN(2)/2)*ER181*EU181*VLOOKUP('Données projet'!$B$15,Paramètres!$A$1:$I$89,3,0)*0.475*44/12</f>
        <v>4.7552662105184285E-22</v>
      </c>
      <c r="EY181" s="24">
        <f t="shared" si="181"/>
        <v>0.12187391164348035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4.5474735088646412E-13</v>
      </c>
      <c r="FF181" s="18">
        <f>FE181*VLOOKUP('Données projet'!$B$16,Paramètres!$A$1:$I$89,3,0)*VLOOKUP('Données projet'!$B$16,Paramètres!$A$1:$I$89,5,0)</f>
        <v>2.1282176021486519E-13</v>
      </c>
      <c r="FG181" s="14">
        <f t="shared" si="182"/>
        <v>2.9281075858910828E-12</v>
      </c>
      <c r="FH181" s="22">
        <f t="shared" si="183"/>
        <v>5.4704519444678596E-12</v>
      </c>
      <c r="FI181" s="62">
        <f t="shared" si="131"/>
        <v>290.28231096694896</v>
      </c>
      <c r="FJ181" s="62">
        <f ca="1">AVERAGE(OFFSET($FI$3,0,0,'Données projet'!$E$16+1,1))-AVERAGE(OFFSET($H$3,0,0,'Données projet'!$E$16+1,1))</f>
        <v>344.55118007058775</v>
      </c>
      <c r="FK181" s="62">
        <f t="shared" si="156"/>
        <v>144.16931602355001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252.60122125520482</v>
      </c>
      <c r="GF181" s="62">
        <f t="shared" si="158"/>
        <v>357.56833754121317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0.17003909158745717</v>
      </c>
      <c r="GN181" s="23">
        <f>EXP(-LN(2)/2)*GN180+(1-EXP(-LN(2)/2))/(LN(2)/2)*GH181*GK181*VLOOKUP('Données projet'!$B$17,Paramètres!$A$1:$I$89,3,0)*0.475*44/12</f>
        <v>8.7449904306075747E-22</v>
      </c>
      <c r="GO181" s="23">
        <f t="shared" si="187"/>
        <v>0.17003909158745717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-9.2222762759774927E-14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268.57152522489537</v>
      </c>
      <c r="HA181" s="62">
        <f t="shared" si="160"/>
        <v>311.80303557283207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3.75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13.75</v>
      </c>
      <c r="H182" s="70">
        <f t="shared" si="110"/>
        <v>201.66666666666666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-4.6288732846733184E-13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461.02780119093666</v>
      </c>
      <c r="T182" s="62">
        <f t="shared" si="142"/>
        <v>245.70016468438834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-4.3096406443510209E-13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434.22500776975596</v>
      </c>
      <c r="AO182" s="62">
        <f t="shared" si="144"/>
        <v>232.59777933076705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-1.0818439477588981E-13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393.3005580838161</v>
      </c>
      <c r="BJ182" s="62">
        <f t="shared" si="146"/>
        <v>295.86019897822757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-4.5224624045658861E-14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388.52230330563884</v>
      </c>
      <c r="CE182" s="62">
        <f t="shared" si="148"/>
        <v>418.94833960687333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-4.1677594708744434E-14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362.38131866207266</v>
      </c>
      <c r="CZ182" s="62">
        <f t="shared" si="150"/>
        <v>390.74498763200336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8.5265128291212022E-14</v>
      </c>
      <c r="DP182" s="18">
        <f>DO182*VLOOKUP('Données projet'!$B$14,Paramètres!$A$1:$I$89,3,0)*VLOOKUP('Données projet'!$B$14,Paramètres!$A$1:$I$89,5,0)</f>
        <v>7.4487616075202836E-14</v>
      </c>
      <c r="DQ182" s="14">
        <f t="shared" si="176"/>
        <v>1.1580453144473142E-12</v>
      </c>
      <c r="DR182" s="22">
        <f t="shared" si="177"/>
        <v>2.1466615206600508E-12</v>
      </c>
      <c r="DS182" s="62">
        <f t="shared" si="125"/>
        <v>290.33523938393836</v>
      </c>
      <c r="DT182" s="62">
        <f ca="1">AVERAGE(OFFSET($DS$3,0,0,'Données projet'!$E$14+1,1))-AVERAGE(OFFSET($H$3,0,0,'Données projet'!$E$14+1,1))</f>
        <v>334.4692012109935</v>
      </c>
      <c r="DU182" s="62">
        <f t="shared" si="152"/>
        <v>316.360405424036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-1.9065282685915009E-13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390.09289316045653</v>
      </c>
      <c r="EP182" s="62">
        <f t="shared" si="154"/>
        <v>364.34913542817617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0.11854126312051892</v>
      </c>
      <c r="EX182" s="23">
        <f>EXP(-LN(2)/2)*EX181+(1-EXP(-LN(2)/2))/(LN(2)/2)*ER182*EU182*VLOOKUP('Données projet'!$B$15,Paramètres!$A$1:$I$89,3,0)*0.475*44/12</f>
        <v>3.3624809838048374E-22</v>
      </c>
      <c r="EY182" s="24">
        <f t="shared" si="181"/>
        <v>0.11854126312051892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4.5474735088646412E-13</v>
      </c>
      <c r="FF182" s="18">
        <f>FE182*VLOOKUP('Données projet'!$B$16,Paramètres!$A$1:$I$89,3,0)*VLOOKUP('Données projet'!$B$16,Paramètres!$A$1:$I$89,5,0)</f>
        <v>2.1282176021486519E-13</v>
      </c>
      <c r="FG182" s="14">
        <f t="shared" si="182"/>
        <v>2.9281075858910828E-12</v>
      </c>
      <c r="FH182" s="22">
        <f t="shared" si="183"/>
        <v>5.4704519444678596E-12</v>
      </c>
      <c r="FI182" s="62">
        <f t="shared" si="131"/>
        <v>290.33523938394165</v>
      </c>
      <c r="FJ182" s="62">
        <f ca="1">AVERAGE(OFFSET($FI$3,0,0,'Données projet'!$E$16+1,1))-AVERAGE(OFFSET($H$3,0,0,'Données projet'!$E$16+1,1))</f>
        <v>344.55118007058775</v>
      </c>
      <c r="FK182" s="62">
        <f t="shared" si="156"/>
        <v>144.16931602355001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252.60122125520482</v>
      </c>
      <c r="GF182" s="62">
        <f t="shared" si="158"/>
        <v>357.56833754121317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0.16538936368603097</v>
      </c>
      <c r="GN182" s="23">
        <f>EXP(-LN(2)/2)*GN181+(1-EXP(-LN(2)/2))/(LN(2)/2)*GH182*GK182*VLOOKUP('Données projet'!$B$17,Paramètres!$A$1:$I$89,3,0)*0.475*44/12</f>
        <v>6.1836420348940824E-22</v>
      </c>
      <c r="GO182" s="23">
        <f t="shared" si="187"/>
        <v>0.16538936368603097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-9.2222762759774927E-14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268.57152522489537</v>
      </c>
      <c r="HA182" s="62">
        <f t="shared" si="160"/>
        <v>311.80303557283207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3.75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13.75</v>
      </c>
      <c r="H183" s="70">
        <f t="shared" si="110"/>
        <v>201.66666666666666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-4.6288732846733184E-13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461.02780119093666</v>
      </c>
      <c r="T183" s="62">
        <f t="shared" si="142"/>
        <v>245.70016468438834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-4.3096406443510209E-13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434.22500776975596</v>
      </c>
      <c r="AO183" s="62">
        <f t="shared" si="144"/>
        <v>232.59777933076705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-1.0818439477588981E-13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393.3005580838161</v>
      </c>
      <c r="BJ183" s="62">
        <f t="shared" si="146"/>
        <v>295.86019897822757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-4.5224624045658861E-14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388.52230330563884</v>
      </c>
      <c r="CE183" s="62">
        <f t="shared" si="148"/>
        <v>418.94833960687333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-4.1677594708744434E-14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362.38131866207266</v>
      </c>
      <c r="CZ183" s="62">
        <f t="shared" si="150"/>
        <v>390.74498763200336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8.5265128291212022E-14</v>
      </c>
      <c r="DP183" s="18">
        <f>DO183*VLOOKUP('Données projet'!$B$14,Paramètres!$A$1:$I$89,3,0)*VLOOKUP('Données projet'!$B$14,Paramètres!$A$1:$I$89,5,0)</f>
        <v>7.4487616075202836E-14</v>
      </c>
      <c r="DQ183" s="14">
        <f t="shared" si="176"/>
        <v>1.1580453144473142E-12</v>
      </c>
      <c r="DR183" s="22">
        <f t="shared" si="177"/>
        <v>2.1466615206600508E-12</v>
      </c>
      <c r="DS183" s="62">
        <f t="shared" si="125"/>
        <v>290.38724961122642</v>
      </c>
      <c r="DT183" s="62">
        <f ca="1">AVERAGE(OFFSET($DS$3,0,0,'Données projet'!$E$14+1,1))-AVERAGE(OFFSET($H$3,0,0,'Données projet'!$E$14+1,1))</f>
        <v>334.4692012109935</v>
      </c>
      <c r="DU183" s="62">
        <f t="shared" si="152"/>
        <v>316.360405424036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-1.9065282685915009E-13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390.09289316045653</v>
      </c>
      <c r="EP183" s="62">
        <f t="shared" si="154"/>
        <v>364.34913542817617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0.11529974604667423</v>
      </c>
      <c r="EX183" s="23">
        <f>EXP(-LN(2)/2)*EX182+(1-EXP(-LN(2)/2))/(LN(2)/2)*ER183*EU183*VLOOKUP('Données projet'!$B$15,Paramètres!$A$1:$I$89,3,0)*0.475*44/12</f>
        <v>2.3776331052592142E-22</v>
      </c>
      <c r="EY183" s="24">
        <f t="shared" si="181"/>
        <v>0.11529974604667423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4.5474735088646412E-13</v>
      </c>
      <c r="FF183" s="18">
        <f>FE183*VLOOKUP('Données projet'!$B$16,Paramètres!$A$1:$I$89,3,0)*VLOOKUP('Données projet'!$B$16,Paramètres!$A$1:$I$89,5,0)</f>
        <v>2.1282176021486519E-13</v>
      </c>
      <c r="FG183" s="14">
        <f t="shared" si="182"/>
        <v>2.9281075858910828E-12</v>
      </c>
      <c r="FH183" s="22">
        <f t="shared" si="183"/>
        <v>5.4704519444678596E-12</v>
      </c>
      <c r="FI183" s="62">
        <f t="shared" si="131"/>
        <v>290.38724961122972</v>
      </c>
      <c r="FJ183" s="62">
        <f ca="1">AVERAGE(OFFSET($FI$3,0,0,'Données projet'!$E$16+1,1))-AVERAGE(OFFSET($H$3,0,0,'Données projet'!$E$16+1,1))</f>
        <v>344.55118007058775</v>
      </c>
      <c r="FK183" s="62">
        <f t="shared" si="156"/>
        <v>144.16931602355001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252.60122125520482</v>
      </c>
      <c r="GF183" s="62">
        <f t="shared" si="158"/>
        <v>357.56833754121317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0.16086678283858782</v>
      </c>
      <c r="GN183" s="23">
        <f>EXP(-LN(2)/2)*GN182+(1-EXP(-LN(2)/2))/(LN(2)/2)*GH183*GK183*VLOOKUP('Données projet'!$B$17,Paramètres!$A$1:$I$89,3,0)*0.475*44/12</f>
        <v>4.3724952153037874E-22</v>
      </c>
      <c r="GO183" s="23">
        <f t="shared" si="187"/>
        <v>0.16086678283858782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-9.2222762759774927E-14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268.57152522489537</v>
      </c>
      <c r="HA183" s="62">
        <f t="shared" si="160"/>
        <v>311.80303557283207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3.75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13.75</v>
      </c>
      <c r="H184" s="70">
        <f t="shared" si="110"/>
        <v>201.66666666666666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-4.6288732846733184E-13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461.02780119093666</v>
      </c>
      <c r="T184" s="62">
        <f t="shared" si="142"/>
        <v>245.70016468438834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-4.3096406443510209E-13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434.22500776975596</v>
      </c>
      <c r="AO184" s="62">
        <f t="shared" si="144"/>
        <v>232.59777933076705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-1.0818439477588981E-13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393.3005580838161</v>
      </c>
      <c r="BJ184" s="62">
        <f t="shared" si="146"/>
        <v>295.86019897822757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-4.5224624045658861E-14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388.52230330563884</v>
      </c>
      <c r="CE184" s="62">
        <f t="shared" si="148"/>
        <v>418.94833960687333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-4.1677594708744434E-14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362.38131866207266</v>
      </c>
      <c r="CZ184" s="62">
        <f t="shared" si="150"/>
        <v>390.74498763200336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8.5265128291212022E-14</v>
      </c>
      <c r="DP184" s="18">
        <f>DO184*VLOOKUP('Données projet'!$B$14,Paramètres!$A$1:$I$89,3,0)*VLOOKUP('Données projet'!$B$14,Paramètres!$A$1:$I$89,5,0)</f>
        <v>7.4487616075202836E-14</v>
      </c>
      <c r="DQ184" s="14">
        <f t="shared" si="176"/>
        <v>1.1580453144473142E-12</v>
      </c>
      <c r="DR184" s="22">
        <f t="shared" si="177"/>
        <v>2.1466615206600508E-12</v>
      </c>
      <c r="DS184" s="62">
        <f t="shared" si="125"/>
        <v>290.43835757734854</v>
      </c>
      <c r="DT184" s="62">
        <f ca="1">AVERAGE(OFFSET($DS$3,0,0,'Données projet'!$E$14+1,1))-AVERAGE(OFFSET($H$3,0,0,'Données projet'!$E$14+1,1))</f>
        <v>334.4692012109935</v>
      </c>
      <c r="DU184" s="62">
        <f t="shared" si="152"/>
        <v>316.360405424036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-1.9065282685915009E-13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390.09289316045653</v>
      </c>
      <c r="EP184" s="62">
        <f t="shared" si="154"/>
        <v>364.34913542817617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0.11214686842767779</v>
      </c>
      <c r="EX184" s="23">
        <f>EXP(-LN(2)/2)*EX183+(1-EXP(-LN(2)/2))/(LN(2)/2)*ER184*EU184*VLOOKUP('Données projet'!$B$15,Paramètres!$A$1:$I$89,3,0)*0.475*44/12</f>
        <v>1.6812404919024187E-22</v>
      </c>
      <c r="EY184" s="24">
        <f t="shared" si="181"/>
        <v>0.11214686842767779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4.5474735088646412E-13</v>
      </c>
      <c r="FF184" s="18">
        <f>FE184*VLOOKUP('Données projet'!$B$16,Paramètres!$A$1:$I$89,3,0)*VLOOKUP('Données projet'!$B$16,Paramètres!$A$1:$I$89,5,0)</f>
        <v>2.1282176021486519E-13</v>
      </c>
      <c r="FG184" s="14">
        <f t="shared" si="182"/>
        <v>2.9281075858910828E-12</v>
      </c>
      <c r="FH184" s="22">
        <f t="shared" si="183"/>
        <v>5.4704519444678596E-12</v>
      </c>
      <c r="FI184" s="62">
        <f t="shared" si="131"/>
        <v>290.43835757735184</v>
      </c>
      <c r="FJ184" s="62">
        <f ca="1">AVERAGE(OFFSET($FI$3,0,0,'Données projet'!$E$16+1,1))-AVERAGE(OFFSET($H$3,0,0,'Données projet'!$E$16+1,1))</f>
        <v>344.55118007058775</v>
      </c>
      <c r="FK184" s="62">
        <f t="shared" si="156"/>
        <v>144.16931602355001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252.60122125520482</v>
      </c>
      <c r="GF184" s="62">
        <f t="shared" si="158"/>
        <v>357.56833754121317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0.1564678722022502</v>
      </c>
      <c r="GN184" s="23">
        <f>EXP(-LN(2)/2)*GN183+(1-EXP(-LN(2)/2))/(LN(2)/2)*GH184*GK184*VLOOKUP('Données projet'!$B$17,Paramètres!$A$1:$I$89,3,0)*0.475*44/12</f>
        <v>3.0918210174470412E-22</v>
      </c>
      <c r="GO184" s="23">
        <f t="shared" si="187"/>
        <v>0.1564678722022502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-9.2222762759774927E-14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268.57152522489537</v>
      </c>
      <c r="HA184" s="62">
        <f t="shared" si="160"/>
        <v>311.80303557283207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3.75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13.75</v>
      </c>
      <c r="H185" s="70">
        <f t="shared" si="110"/>
        <v>201.66666666666666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-4.6288732846733184E-13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461.02780119093666</v>
      </c>
      <c r="T185" s="62">
        <f t="shared" si="142"/>
        <v>245.70016468438834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-4.3096406443510209E-13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434.22500776975596</v>
      </c>
      <c r="AO185" s="62">
        <f t="shared" si="144"/>
        <v>232.59777933076705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-1.0818439477588981E-13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393.3005580838161</v>
      </c>
      <c r="BJ185" s="62">
        <f t="shared" si="146"/>
        <v>295.86019897822757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-4.5224624045658861E-14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388.52230330563884</v>
      </c>
      <c r="CE185" s="62">
        <f t="shared" si="148"/>
        <v>418.94833960687333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-4.1677594708744434E-14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362.38131866207266</v>
      </c>
      <c r="CZ185" s="62">
        <f t="shared" si="150"/>
        <v>390.74498763200336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8.5265128291212022E-14</v>
      </c>
      <c r="DP185" s="18">
        <f>DO185*VLOOKUP('Données projet'!$B$14,Paramètres!$A$1:$I$89,3,0)*VLOOKUP('Données projet'!$B$14,Paramètres!$A$1:$I$89,5,0)</f>
        <v>7.4487616075202836E-14</v>
      </c>
      <c r="DQ185" s="14">
        <f t="shared" si="176"/>
        <v>1.1580453144473142E-12</v>
      </c>
      <c r="DR185" s="22">
        <f t="shared" si="177"/>
        <v>2.1466615206600508E-12</v>
      </c>
      <c r="DS185" s="62">
        <f t="shared" si="125"/>
        <v>290.48857893451878</v>
      </c>
      <c r="DT185" s="62">
        <f ca="1">AVERAGE(OFFSET($DS$3,0,0,'Données projet'!$E$14+1,1))-AVERAGE(OFFSET($H$3,0,0,'Données projet'!$E$14+1,1))</f>
        <v>334.4692012109935</v>
      </c>
      <c r="DU185" s="62">
        <f t="shared" si="152"/>
        <v>316.360405424036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-1.9065282685915009E-13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390.09289316045653</v>
      </c>
      <c r="EP185" s="62">
        <f t="shared" si="154"/>
        <v>364.34913542817617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0.10908020641297544</v>
      </c>
      <c r="EX185" s="23">
        <f>EXP(-LN(2)/2)*EX184+(1-EXP(-LN(2)/2))/(LN(2)/2)*ER185*EU185*VLOOKUP('Données projet'!$B$15,Paramètres!$A$1:$I$89,3,0)*0.475*44/12</f>
        <v>1.1888165526296071E-22</v>
      </c>
      <c r="EY185" s="24">
        <f t="shared" si="181"/>
        <v>0.10908020641297544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4.5474735088646412E-13</v>
      </c>
      <c r="FF185" s="18">
        <f>FE185*VLOOKUP('Données projet'!$B$16,Paramètres!$A$1:$I$89,3,0)*VLOOKUP('Données projet'!$B$16,Paramètres!$A$1:$I$89,5,0)</f>
        <v>2.1282176021486519E-13</v>
      </c>
      <c r="FG185" s="14">
        <f t="shared" si="182"/>
        <v>2.9281075858910828E-12</v>
      </c>
      <c r="FH185" s="22">
        <f t="shared" si="183"/>
        <v>5.4704519444678596E-12</v>
      </c>
      <c r="FI185" s="62">
        <f t="shared" si="131"/>
        <v>290.48857893452208</v>
      </c>
      <c r="FJ185" s="62">
        <f ca="1">AVERAGE(OFFSET($FI$3,0,0,'Données projet'!$E$16+1,1))-AVERAGE(OFFSET($H$3,0,0,'Données projet'!$E$16+1,1))</f>
        <v>344.55118007058775</v>
      </c>
      <c r="FK185" s="62">
        <f t="shared" si="156"/>
        <v>144.16931602355001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252.60122125520482</v>
      </c>
      <c r="GF185" s="62">
        <f t="shared" si="158"/>
        <v>357.56833754121317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0.15218925000859188</v>
      </c>
      <c r="GN185" s="23">
        <f>EXP(-LN(2)/2)*GN184+(1-EXP(-LN(2)/2))/(LN(2)/2)*GH185*GK185*VLOOKUP('Données projet'!$B$17,Paramètres!$A$1:$I$89,3,0)*0.475*44/12</f>
        <v>2.1862476076518937E-22</v>
      </c>
      <c r="GO185" s="23">
        <f t="shared" si="187"/>
        <v>0.15218925000859188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-9.2222762759774927E-14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268.57152522489537</v>
      </c>
      <c r="HA185" s="62">
        <f t="shared" si="160"/>
        <v>311.80303557283207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3.75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13.75</v>
      </c>
      <c r="H186" s="70">
        <f t="shared" si="110"/>
        <v>201.66666666666666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-4.6288732846733184E-13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461.02780119093666</v>
      </c>
      <c r="T186" s="62">
        <f t="shared" si="142"/>
        <v>245.70016468438834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-4.3096406443510209E-13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434.22500776975596</v>
      </c>
      <c r="AO186" s="62">
        <f t="shared" si="144"/>
        <v>232.59777933076705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-1.0818439477588981E-13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393.3005580838161</v>
      </c>
      <c r="BJ186" s="62">
        <f t="shared" si="146"/>
        <v>295.86019897822757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-4.5224624045658861E-14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388.52230330563884</v>
      </c>
      <c r="CE186" s="62">
        <f t="shared" si="148"/>
        <v>418.94833960687333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-4.1677594708744434E-14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362.38131866207266</v>
      </c>
      <c r="CZ186" s="62">
        <f t="shared" si="150"/>
        <v>390.74498763200336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8.5265128291212022E-14</v>
      </c>
      <c r="DP186" s="18">
        <f>DO186*VLOOKUP('Données projet'!$B$14,Paramètres!$A$1:$I$89,3,0)*VLOOKUP('Données projet'!$B$14,Paramètres!$A$1:$I$89,5,0)</f>
        <v>7.4487616075202836E-14</v>
      </c>
      <c r="DQ186" s="14">
        <f t="shared" si="176"/>
        <v>1.1580453144473142E-12</v>
      </c>
      <c r="DR186" s="22">
        <f t="shared" si="177"/>
        <v>2.1466615206600508E-12</v>
      </c>
      <c r="DS186" s="62">
        <f t="shared" si="125"/>
        <v>290.53792906342022</v>
      </c>
      <c r="DT186" s="62">
        <f ca="1">AVERAGE(OFFSET($DS$3,0,0,'Données projet'!$E$14+1,1))-AVERAGE(OFFSET($H$3,0,0,'Données projet'!$E$14+1,1))</f>
        <v>334.4692012109935</v>
      </c>
      <c r="DU186" s="62">
        <f t="shared" si="152"/>
        <v>316.360405424036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-1.9065282685915009E-13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390.09289316045653</v>
      </c>
      <c r="EP186" s="62">
        <f t="shared" si="154"/>
        <v>364.34913542817617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0.10609740243233388</v>
      </c>
      <c r="EX186" s="23">
        <f>EXP(-LN(2)/2)*EX185+(1-EXP(-LN(2)/2))/(LN(2)/2)*ER186*EU186*VLOOKUP('Données projet'!$B$15,Paramètres!$A$1:$I$89,3,0)*0.475*44/12</f>
        <v>8.4062024595120936E-23</v>
      </c>
      <c r="EY186" s="24">
        <f t="shared" si="181"/>
        <v>0.10609740243233388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4.5474735088646412E-13</v>
      </c>
      <c r="FF186" s="18">
        <f>FE186*VLOOKUP('Données projet'!$B$16,Paramètres!$A$1:$I$89,3,0)*VLOOKUP('Données projet'!$B$16,Paramètres!$A$1:$I$89,5,0)</f>
        <v>2.1282176021486519E-13</v>
      </c>
      <c r="FG186" s="14">
        <f t="shared" si="182"/>
        <v>2.9281075858910828E-12</v>
      </c>
      <c r="FH186" s="22">
        <f t="shared" si="183"/>
        <v>5.4704519444678596E-12</v>
      </c>
      <c r="FI186" s="62">
        <f t="shared" si="131"/>
        <v>290.53792906342352</v>
      </c>
      <c r="FJ186" s="62">
        <f ca="1">AVERAGE(OFFSET($FI$3,0,0,'Données projet'!$E$16+1,1))-AVERAGE(OFFSET($H$3,0,0,'Données projet'!$E$16+1,1))</f>
        <v>344.55118007058775</v>
      </c>
      <c r="FK186" s="62">
        <f t="shared" si="156"/>
        <v>144.16931602355001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252.60122125520482</v>
      </c>
      <c r="GF186" s="62">
        <f t="shared" si="158"/>
        <v>357.56833754121317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0.1480276269638221</v>
      </c>
      <c r="GN186" s="23">
        <f>EXP(-LN(2)/2)*GN185+(1-EXP(-LN(2)/2))/(LN(2)/2)*GH186*GK186*VLOOKUP('Données projet'!$B$17,Paramètres!$A$1:$I$89,3,0)*0.475*44/12</f>
        <v>1.5459105087235206E-22</v>
      </c>
      <c r="GO186" s="23">
        <f t="shared" si="187"/>
        <v>0.1480276269638221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-9.2222762759774927E-14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268.57152522489537</v>
      </c>
      <c r="HA186" s="62">
        <f t="shared" si="160"/>
        <v>311.80303557283207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3.75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13.75</v>
      </c>
      <c r="H187" s="70">
        <f t="shared" si="110"/>
        <v>201.66666666666666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-4.6288732846733184E-13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461.02780119093666</v>
      </c>
      <c r="T187" s="62">
        <f t="shared" si="142"/>
        <v>245.70016468438834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-4.3096406443510209E-13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434.22500776975596</v>
      </c>
      <c r="AO187" s="62">
        <f t="shared" si="144"/>
        <v>232.59777933076705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-1.0818439477588981E-13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393.3005580838161</v>
      </c>
      <c r="BJ187" s="62">
        <f t="shared" si="146"/>
        <v>295.86019897822757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-4.5224624045658861E-14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388.52230330563884</v>
      </c>
      <c r="CE187" s="62">
        <f t="shared" si="148"/>
        <v>418.94833960687333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-4.1677594708744434E-14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362.38131866207266</v>
      </c>
      <c r="CZ187" s="62">
        <f t="shared" si="150"/>
        <v>390.74498763200336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8.5265128291212022E-14</v>
      </c>
      <c r="DP187" s="18">
        <f>DO187*VLOOKUP('Données projet'!$B$14,Paramètres!$A$1:$I$89,3,0)*VLOOKUP('Données projet'!$B$14,Paramètres!$A$1:$I$89,5,0)</f>
        <v>7.4487616075202836E-14</v>
      </c>
      <c r="DQ187" s="14">
        <f t="shared" si="176"/>
        <v>1.1580453144473142E-12</v>
      </c>
      <c r="DR187" s="22">
        <f t="shared" si="177"/>
        <v>2.1466615206600508E-12</v>
      </c>
      <c r="DS187" s="62">
        <f t="shared" si="125"/>
        <v>290.58642307791553</v>
      </c>
      <c r="DT187" s="62">
        <f ca="1">AVERAGE(OFFSET($DS$3,0,0,'Données projet'!$E$14+1,1))-AVERAGE(OFFSET($H$3,0,0,'Données projet'!$E$14+1,1))</f>
        <v>334.4692012109935</v>
      </c>
      <c r="DU187" s="62">
        <f t="shared" si="152"/>
        <v>316.360405424036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-1.9065282685915009E-13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390.09289316045653</v>
      </c>
      <c r="EP187" s="62">
        <f t="shared" si="154"/>
        <v>364.34913542817617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0.1031961633834018</v>
      </c>
      <c r="EX187" s="23">
        <f>EXP(-LN(2)/2)*EX186+(1-EXP(-LN(2)/2))/(LN(2)/2)*ER187*EU187*VLOOKUP('Données projet'!$B$15,Paramètres!$A$1:$I$89,3,0)*0.475*44/12</f>
        <v>5.9440827631480356E-23</v>
      </c>
      <c r="EY187" s="24">
        <f t="shared" si="181"/>
        <v>0.1031961633834018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4.5474735088646412E-13</v>
      </c>
      <c r="FF187" s="18">
        <f>FE187*VLOOKUP('Données projet'!$B$16,Paramètres!$A$1:$I$89,3,0)*VLOOKUP('Données projet'!$B$16,Paramètres!$A$1:$I$89,5,0)</f>
        <v>2.1282176021486519E-13</v>
      </c>
      <c r="FG187" s="14">
        <f t="shared" si="182"/>
        <v>2.9281075858910828E-12</v>
      </c>
      <c r="FH187" s="22">
        <f t="shared" si="183"/>
        <v>5.4704519444678596E-12</v>
      </c>
      <c r="FI187" s="62">
        <f t="shared" si="131"/>
        <v>290.58642307791882</v>
      </c>
      <c r="FJ187" s="62">
        <f ca="1">AVERAGE(OFFSET($FI$3,0,0,'Données projet'!$E$16+1,1))-AVERAGE(OFFSET($H$3,0,0,'Données projet'!$E$16+1,1))</f>
        <v>344.55118007058775</v>
      </c>
      <c r="FK187" s="62">
        <f t="shared" si="156"/>
        <v>144.16931602355001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252.60122125520482</v>
      </c>
      <c r="GF187" s="62">
        <f t="shared" si="158"/>
        <v>357.56833754121317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0.14397980372006181</v>
      </c>
      <c r="GN187" s="23">
        <f>EXP(-LN(2)/2)*GN186+(1-EXP(-LN(2)/2))/(LN(2)/2)*GH187*GK187*VLOOKUP('Données projet'!$B$17,Paramètres!$A$1:$I$89,3,0)*0.475*44/12</f>
        <v>1.0931238038259468E-22</v>
      </c>
      <c r="GO187" s="23">
        <f t="shared" si="187"/>
        <v>0.14397980372006181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-9.2222762759774927E-14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268.57152522489537</v>
      </c>
      <c r="HA187" s="62">
        <f t="shared" si="160"/>
        <v>311.80303557283207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3.75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13.75</v>
      </c>
      <c r="H188" s="70">
        <f t="shared" si="110"/>
        <v>201.66666666666666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-4.6288732846733184E-13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461.02780119093666</v>
      </c>
      <c r="T188" s="62">
        <f t="shared" si="142"/>
        <v>245.70016468438834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-4.3096406443510209E-13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434.22500776975596</v>
      </c>
      <c r="AO188" s="62">
        <f t="shared" si="144"/>
        <v>232.59777933076705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-1.0818439477588981E-13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393.3005580838161</v>
      </c>
      <c r="BJ188" s="62">
        <f t="shared" si="146"/>
        <v>295.86019897822757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-4.5224624045658861E-14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388.52230330563884</v>
      </c>
      <c r="CE188" s="62">
        <f t="shared" si="148"/>
        <v>418.94833960687333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-4.1677594708744434E-14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362.38131866207266</v>
      </c>
      <c r="CZ188" s="62">
        <f t="shared" si="150"/>
        <v>390.74498763200336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8.5265128291212022E-14</v>
      </c>
      <c r="DP188" s="18">
        <f>DO188*VLOOKUP('Données projet'!$B$14,Paramètres!$A$1:$I$89,3,0)*VLOOKUP('Données projet'!$B$14,Paramètres!$A$1:$I$89,5,0)</f>
        <v>7.4487616075202836E-14</v>
      </c>
      <c r="DQ188" s="14">
        <f t="shared" si="176"/>
        <v>1.1580453144473142E-12</v>
      </c>
      <c r="DR188" s="22">
        <f t="shared" si="177"/>
        <v>2.1466615206600508E-12</v>
      </c>
      <c r="DS188" s="62">
        <f t="shared" si="125"/>
        <v>290.63407582967579</v>
      </c>
      <c r="DT188" s="62">
        <f ca="1">AVERAGE(OFFSET($DS$3,0,0,'Données projet'!$E$14+1,1))-AVERAGE(OFFSET($H$3,0,0,'Données projet'!$E$14+1,1))</f>
        <v>334.4692012109935</v>
      </c>
      <c r="DU188" s="62">
        <f t="shared" si="152"/>
        <v>316.360405424036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-1.9065282685915009E-13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390.09289316045653</v>
      </c>
      <c r="EP188" s="62">
        <f t="shared" si="154"/>
        <v>364.34913542817617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0.10037425886883231</v>
      </c>
      <c r="EX188" s="23">
        <f>EXP(-LN(2)/2)*EX187+(1-EXP(-LN(2)/2))/(LN(2)/2)*ER188*EU188*VLOOKUP('Données projet'!$B$15,Paramètres!$A$1:$I$89,3,0)*0.475*44/12</f>
        <v>4.2031012297560468E-23</v>
      </c>
      <c r="EY188" s="24">
        <f t="shared" si="181"/>
        <v>0.10037425886883231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4.5474735088646412E-13</v>
      </c>
      <c r="FF188" s="18">
        <f>FE188*VLOOKUP('Données projet'!$B$16,Paramètres!$A$1:$I$89,3,0)*VLOOKUP('Données projet'!$B$16,Paramètres!$A$1:$I$89,5,0)</f>
        <v>2.1282176021486519E-13</v>
      </c>
      <c r="FG188" s="14">
        <f t="shared" si="182"/>
        <v>2.9281075858910828E-12</v>
      </c>
      <c r="FH188" s="22">
        <f t="shared" si="183"/>
        <v>5.4704519444678596E-12</v>
      </c>
      <c r="FI188" s="62">
        <f t="shared" si="131"/>
        <v>290.63407582967909</v>
      </c>
      <c r="FJ188" s="62">
        <f ca="1">AVERAGE(OFFSET($FI$3,0,0,'Données projet'!$E$16+1,1))-AVERAGE(OFFSET($H$3,0,0,'Données projet'!$E$16+1,1))</f>
        <v>344.55118007058775</v>
      </c>
      <c r="FK188" s="62">
        <f t="shared" si="156"/>
        <v>144.16931602355001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252.60122125520482</v>
      </c>
      <c r="GF188" s="62">
        <f t="shared" si="158"/>
        <v>357.56833754121317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0.1400426684157679</v>
      </c>
      <c r="GN188" s="23">
        <f>EXP(-LN(2)/2)*GN187+(1-EXP(-LN(2)/2))/(LN(2)/2)*GH188*GK188*VLOOKUP('Données projet'!$B$17,Paramètres!$A$1:$I$89,3,0)*0.475*44/12</f>
        <v>7.729552543617603E-23</v>
      </c>
      <c r="GO188" s="23">
        <f t="shared" si="187"/>
        <v>0.1400426684157679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-9.2222762759774927E-14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268.57152522489537</v>
      </c>
      <c r="HA188" s="62">
        <f t="shared" si="160"/>
        <v>311.80303557283207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3.75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13.75</v>
      </c>
      <c r="H189" s="70">
        <f t="shared" si="110"/>
        <v>201.66666666666666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-4.6288732846733184E-13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461.02780119093666</v>
      </c>
      <c r="T189" s="62">
        <f t="shared" si="142"/>
        <v>245.70016468438834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-4.3096406443510209E-13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434.22500776975596</v>
      </c>
      <c r="AO189" s="62">
        <f t="shared" si="144"/>
        <v>232.59777933076705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-1.0818439477588981E-13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393.3005580838161</v>
      </c>
      <c r="BJ189" s="62">
        <f t="shared" si="146"/>
        <v>295.86019897822757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-4.5224624045658861E-14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388.52230330563884</v>
      </c>
      <c r="CE189" s="62">
        <f t="shared" si="148"/>
        <v>418.94833960687333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-4.1677594708744434E-14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362.38131866207266</v>
      </c>
      <c r="CZ189" s="62">
        <f t="shared" si="150"/>
        <v>390.74498763200336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8.5265128291212022E-14</v>
      </c>
      <c r="DP189" s="18">
        <f>DO189*VLOOKUP('Données projet'!$B$14,Paramètres!$A$1:$I$89,3,0)*VLOOKUP('Données projet'!$B$14,Paramètres!$A$1:$I$89,5,0)</f>
        <v>7.4487616075202836E-14</v>
      </c>
      <c r="DQ189" s="14">
        <f t="shared" si="176"/>
        <v>1.1580453144473142E-12</v>
      </c>
      <c r="DR189" s="22">
        <f t="shared" si="177"/>
        <v>2.1466615206600508E-12</v>
      </c>
      <c r="DS189" s="62">
        <f t="shared" si="125"/>
        <v>290.68090191272853</v>
      </c>
      <c r="DT189" s="62">
        <f ca="1">AVERAGE(OFFSET($DS$3,0,0,'Données projet'!$E$14+1,1))-AVERAGE(OFFSET($H$3,0,0,'Données projet'!$E$14+1,1))</f>
        <v>334.4692012109935</v>
      </c>
      <c r="DU189" s="62">
        <f t="shared" si="152"/>
        <v>316.360405424036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-1.9065282685915009E-13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390.09289316045653</v>
      </c>
      <c r="EP189" s="62">
        <f t="shared" si="154"/>
        <v>364.34913542817617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9.7629519481611221E-2</v>
      </c>
      <c r="EX189" s="23">
        <f>EXP(-LN(2)/2)*EX188+(1-EXP(-LN(2)/2))/(LN(2)/2)*ER189*EU189*VLOOKUP('Données projet'!$B$15,Paramètres!$A$1:$I$89,3,0)*0.475*44/12</f>
        <v>2.9720413815740178E-23</v>
      </c>
      <c r="EY189" s="24">
        <f t="shared" si="181"/>
        <v>9.7629519481611221E-2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4.5474735088646412E-13</v>
      </c>
      <c r="FF189" s="18">
        <f>FE189*VLOOKUP('Données projet'!$B$16,Paramètres!$A$1:$I$89,3,0)*VLOOKUP('Données projet'!$B$16,Paramètres!$A$1:$I$89,5,0)</f>
        <v>2.1282176021486519E-13</v>
      </c>
      <c r="FG189" s="14">
        <f t="shared" si="182"/>
        <v>2.9281075858910828E-12</v>
      </c>
      <c r="FH189" s="22">
        <f t="shared" si="183"/>
        <v>5.4704519444678596E-12</v>
      </c>
      <c r="FI189" s="62">
        <f t="shared" si="131"/>
        <v>290.68090191273183</v>
      </c>
      <c r="FJ189" s="62">
        <f ca="1">AVERAGE(OFFSET($FI$3,0,0,'Données projet'!$E$16+1,1))-AVERAGE(OFFSET($H$3,0,0,'Données projet'!$E$16+1,1))</f>
        <v>344.55118007058775</v>
      </c>
      <c r="FK189" s="62">
        <f t="shared" si="156"/>
        <v>144.16931602355001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252.60122125520482</v>
      </c>
      <c r="GF189" s="62">
        <f t="shared" si="158"/>
        <v>357.56833754121317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0.13621319428341486</v>
      </c>
      <c r="GN189" s="23">
        <f>EXP(-LN(2)/2)*GN188+(1-EXP(-LN(2)/2))/(LN(2)/2)*GH189*GK189*VLOOKUP('Données projet'!$B$17,Paramètres!$A$1:$I$89,3,0)*0.475*44/12</f>
        <v>5.4656190191297342E-23</v>
      </c>
      <c r="GO189" s="23">
        <f t="shared" si="187"/>
        <v>0.13621319428341486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-9.2222762759774927E-14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268.57152522489537</v>
      </c>
      <c r="HA189" s="62">
        <f t="shared" si="160"/>
        <v>311.80303557283207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3.75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13.75</v>
      </c>
      <c r="H190" s="70">
        <f t="shared" si="110"/>
        <v>201.66666666666666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-4.6288732846733184E-13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461.02780119093666</v>
      </c>
      <c r="T190" s="62">
        <f t="shared" si="142"/>
        <v>245.70016468438834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-4.3096406443510209E-13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434.22500776975596</v>
      </c>
      <c r="AO190" s="62">
        <f t="shared" si="144"/>
        <v>232.59777933076705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-1.0818439477588981E-13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393.3005580838161</v>
      </c>
      <c r="BJ190" s="62">
        <f t="shared" si="146"/>
        <v>295.86019897822757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-4.5224624045658861E-14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388.52230330563884</v>
      </c>
      <c r="CE190" s="62">
        <f t="shared" si="148"/>
        <v>418.94833960687333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-4.1677594708744434E-14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362.38131866207266</v>
      </c>
      <c r="CZ190" s="62">
        <f t="shared" si="150"/>
        <v>390.74498763200336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8.5265128291212022E-14</v>
      </c>
      <c r="DP190" s="18">
        <f>DO190*VLOOKUP('Données projet'!$B$14,Paramètres!$A$1:$I$89,3,0)*VLOOKUP('Données projet'!$B$14,Paramètres!$A$1:$I$89,5,0)</f>
        <v>7.4487616075202836E-14</v>
      </c>
      <c r="DQ190" s="14">
        <f t="shared" si="176"/>
        <v>1.1580453144473142E-12</v>
      </c>
      <c r="DR190" s="22">
        <f t="shared" si="177"/>
        <v>2.1466615206600508E-12</v>
      </c>
      <c r="DS190" s="62">
        <f t="shared" si="125"/>
        <v>290.72691566792781</v>
      </c>
      <c r="DT190" s="62">
        <f ca="1">AVERAGE(OFFSET($DS$3,0,0,'Données projet'!$E$14+1,1))-AVERAGE(OFFSET($H$3,0,0,'Données projet'!$E$14+1,1))</f>
        <v>334.4692012109935</v>
      </c>
      <c r="DU190" s="62">
        <f t="shared" si="152"/>
        <v>316.360405424036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-1.9065282685915009E-13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390.09289316045653</v>
      </c>
      <c r="EP190" s="62">
        <f t="shared" si="154"/>
        <v>364.34913542817617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9.4959835137273269E-2</v>
      </c>
      <c r="EX190" s="23">
        <f>EXP(-LN(2)/2)*EX189+(1-EXP(-LN(2)/2))/(LN(2)/2)*ER190*EU190*VLOOKUP('Données projet'!$B$15,Paramètres!$A$1:$I$89,3,0)*0.475*44/12</f>
        <v>2.1015506148780234E-23</v>
      </c>
      <c r="EY190" s="24">
        <f t="shared" si="181"/>
        <v>9.4959835137273269E-2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4.5474735088646412E-13</v>
      </c>
      <c r="FF190" s="18">
        <f>FE190*VLOOKUP('Données projet'!$B$16,Paramètres!$A$1:$I$89,3,0)*VLOOKUP('Données projet'!$B$16,Paramètres!$A$1:$I$89,5,0)</f>
        <v>2.1282176021486519E-13</v>
      </c>
      <c r="FG190" s="14">
        <f t="shared" si="182"/>
        <v>2.9281075858910828E-12</v>
      </c>
      <c r="FH190" s="22">
        <f t="shared" si="183"/>
        <v>5.4704519444678596E-12</v>
      </c>
      <c r="FI190" s="62">
        <f t="shared" si="131"/>
        <v>290.72691566793111</v>
      </c>
      <c r="FJ190" s="62">
        <f ca="1">AVERAGE(OFFSET($FI$3,0,0,'Données projet'!$E$16+1,1))-AVERAGE(OFFSET($H$3,0,0,'Données projet'!$E$16+1,1))</f>
        <v>344.55118007058775</v>
      </c>
      <c r="FK190" s="62">
        <f t="shared" si="156"/>
        <v>144.16931602355001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252.60122125520482</v>
      </c>
      <c r="GF190" s="62">
        <f t="shared" si="158"/>
        <v>357.56833754121317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0.1324884373225943</v>
      </c>
      <c r="GN190" s="23">
        <f>EXP(-LN(2)/2)*GN189+(1-EXP(-LN(2)/2))/(LN(2)/2)*GH190*GK190*VLOOKUP('Données projet'!$B$17,Paramètres!$A$1:$I$89,3,0)*0.475*44/12</f>
        <v>3.8647762718088015E-23</v>
      </c>
      <c r="GO190" s="23">
        <f t="shared" si="187"/>
        <v>0.1324884373225943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-9.2222762759774927E-14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268.57152522489537</v>
      </c>
      <c r="HA190" s="62">
        <f t="shared" si="160"/>
        <v>311.80303557283207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3.75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13.75</v>
      </c>
      <c r="H191" s="70">
        <f t="shared" si="110"/>
        <v>201.66666666666666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-4.6288732846733184E-13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461.02780119093666</v>
      </c>
      <c r="T191" s="62">
        <f t="shared" si="142"/>
        <v>245.70016468438834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-4.3096406443510209E-13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434.22500776975596</v>
      </c>
      <c r="AO191" s="62">
        <f t="shared" si="144"/>
        <v>232.59777933076705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-1.0818439477588981E-13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393.3005580838161</v>
      </c>
      <c r="BJ191" s="62">
        <f t="shared" si="146"/>
        <v>295.86019897822757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-4.5224624045658861E-14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388.52230330563884</v>
      </c>
      <c r="CE191" s="62">
        <f t="shared" si="148"/>
        <v>418.94833960687333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-4.1677594708744434E-14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362.38131866207266</v>
      </c>
      <c r="CZ191" s="62">
        <f t="shared" si="150"/>
        <v>390.74498763200336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8.5265128291212022E-14</v>
      </c>
      <c r="DP191" s="18">
        <f>DO191*VLOOKUP('Données projet'!$B$14,Paramètres!$A$1:$I$89,3,0)*VLOOKUP('Données projet'!$B$14,Paramètres!$A$1:$I$89,5,0)</f>
        <v>7.4487616075202836E-14</v>
      </c>
      <c r="DQ191" s="14">
        <f t="shared" si="176"/>
        <v>1.1580453144473142E-12</v>
      </c>
      <c r="DR191" s="22">
        <f t="shared" si="177"/>
        <v>2.1466615206600508E-12</v>
      </c>
      <c r="DS191" s="62">
        <f t="shared" si="125"/>
        <v>290.77213118734568</v>
      </c>
      <c r="DT191" s="62">
        <f ca="1">AVERAGE(OFFSET($DS$3,0,0,'Données projet'!$E$14+1,1))-AVERAGE(OFFSET($H$3,0,0,'Données projet'!$E$14+1,1))</f>
        <v>334.4692012109935</v>
      </c>
      <c r="DU191" s="62">
        <f t="shared" si="152"/>
        <v>316.360405424036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-1.9065282685915009E-13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390.09289316045653</v>
      </c>
      <c r="EP191" s="62">
        <f t="shared" si="154"/>
        <v>364.34913542817617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9.2363153451723828E-2</v>
      </c>
      <c r="EX191" s="23">
        <f>EXP(-LN(2)/2)*EX190+(1-EXP(-LN(2)/2))/(LN(2)/2)*ER191*EU191*VLOOKUP('Données projet'!$B$15,Paramètres!$A$1:$I$89,3,0)*0.475*44/12</f>
        <v>1.4860206907870089E-23</v>
      </c>
      <c r="EY191" s="24">
        <f t="shared" si="181"/>
        <v>9.2363153451723828E-2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4.5474735088646412E-13</v>
      </c>
      <c r="FF191" s="18">
        <f>FE191*VLOOKUP('Données projet'!$B$16,Paramètres!$A$1:$I$89,3,0)*VLOOKUP('Données projet'!$B$16,Paramètres!$A$1:$I$89,5,0)</f>
        <v>2.1282176021486519E-13</v>
      </c>
      <c r="FG191" s="14">
        <f t="shared" si="182"/>
        <v>2.9281075858910828E-12</v>
      </c>
      <c r="FH191" s="22">
        <f t="shared" si="183"/>
        <v>5.4704519444678596E-12</v>
      </c>
      <c r="FI191" s="62">
        <f t="shared" si="131"/>
        <v>290.77213118734898</v>
      </c>
      <c r="FJ191" s="62">
        <f ca="1">AVERAGE(OFFSET($FI$3,0,0,'Données projet'!$E$16+1,1))-AVERAGE(OFFSET($H$3,0,0,'Données projet'!$E$16+1,1))</f>
        <v>344.55118007058775</v>
      </c>
      <c r="FK191" s="62">
        <f t="shared" si="156"/>
        <v>144.16931602355001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252.60122125520482</v>
      </c>
      <c r="GF191" s="62">
        <f t="shared" si="158"/>
        <v>357.56833754121317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0.12886553403674383</v>
      </c>
      <c r="GN191" s="23">
        <f>EXP(-LN(2)/2)*GN190+(1-EXP(-LN(2)/2))/(LN(2)/2)*GH191*GK191*VLOOKUP('Données projet'!$B$17,Paramètres!$A$1:$I$89,3,0)*0.475*44/12</f>
        <v>2.7328095095648671E-23</v>
      </c>
      <c r="GO191" s="23">
        <f t="shared" si="187"/>
        <v>0.12886553403674383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-9.2222762759774927E-14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268.57152522489537</v>
      </c>
      <c r="HA191" s="62">
        <f t="shared" si="160"/>
        <v>311.80303557283207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3.75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13.75</v>
      </c>
      <c r="H192" s="70">
        <f t="shared" si="110"/>
        <v>201.66666666666666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-4.6288732846733184E-13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461.02780119093666</v>
      </c>
      <c r="T192" s="62">
        <f t="shared" si="142"/>
        <v>245.70016468438834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-4.3096406443510209E-13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434.22500776975596</v>
      </c>
      <c r="AO192" s="62">
        <f t="shared" si="144"/>
        <v>232.59777933076705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-1.0818439477588981E-13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393.3005580838161</v>
      </c>
      <c r="BJ192" s="62">
        <f t="shared" si="146"/>
        <v>295.86019897822757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-4.5224624045658861E-14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388.52230330563884</v>
      </c>
      <c r="CE192" s="62">
        <f t="shared" si="148"/>
        <v>418.94833960687333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-4.1677594708744434E-14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362.38131866207266</v>
      </c>
      <c r="CZ192" s="62">
        <f t="shared" si="150"/>
        <v>390.74498763200336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8.5265128291212022E-14</v>
      </c>
      <c r="DP192" s="18">
        <f>DO192*VLOOKUP('Données projet'!$B$14,Paramètres!$A$1:$I$89,3,0)*VLOOKUP('Données projet'!$B$14,Paramètres!$A$1:$I$89,5,0)</f>
        <v>7.4487616075202836E-14</v>
      </c>
      <c r="DQ192" s="14">
        <f t="shared" si="176"/>
        <v>1.1580453144473142E-12</v>
      </c>
      <c r="DR192" s="22">
        <f t="shared" si="177"/>
        <v>2.1466615206600508E-12</v>
      </c>
      <c r="DS192" s="62">
        <f t="shared" si="125"/>
        <v>290.81656231858841</v>
      </c>
      <c r="DT192" s="62">
        <f ca="1">AVERAGE(OFFSET($DS$3,0,0,'Données projet'!$E$14+1,1))-AVERAGE(OFFSET($H$3,0,0,'Données projet'!$E$14+1,1))</f>
        <v>334.4692012109935</v>
      </c>
      <c r="DU192" s="62">
        <f t="shared" si="152"/>
        <v>316.360405424036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-1.9065282685915009E-13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390.09289316045653</v>
      </c>
      <c r="EP192" s="62">
        <f t="shared" si="154"/>
        <v>364.34913542817617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8.9837478163419304E-2</v>
      </c>
      <c r="EX192" s="23">
        <f>EXP(-LN(2)/2)*EX191+(1-EXP(-LN(2)/2))/(LN(2)/2)*ER192*EU192*VLOOKUP('Données projet'!$B$15,Paramètres!$A$1:$I$89,3,0)*0.475*44/12</f>
        <v>1.0507753074390117E-23</v>
      </c>
      <c r="EY192" s="24">
        <f t="shared" si="181"/>
        <v>8.9837478163419304E-2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4.5474735088646412E-13</v>
      </c>
      <c r="FF192" s="18">
        <f>FE192*VLOOKUP('Données projet'!$B$16,Paramètres!$A$1:$I$89,3,0)*VLOOKUP('Données projet'!$B$16,Paramètres!$A$1:$I$89,5,0)</f>
        <v>2.1282176021486519E-13</v>
      </c>
      <c r="FG192" s="14">
        <f t="shared" si="182"/>
        <v>2.9281075858910828E-12</v>
      </c>
      <c r="FH192" s="22">
        <f t="shared" si="183"/>
        <v>5.4704519444678596E-12</v>
      </c>
      <c r="FI192" s="62">
        <f t="shared" si="131"/>
        <v>290.81656231859171</v>
      </c>
      <c r="FJ192" s="62">
        <f ca="1">AVERAGE(OFFSET($FI$3,0,0,'Données projet'!$E$16+1,1))-AVERAGE(OFFSET($H$3,0,0,'Données projet'!$E$16+1,1))</f>
        <v>344.55118007058775</v>
      </c>
      <c r="FK192" s="62">
        <f t="shared" si="156"/>
        <v>144.16931602355001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252.60122125520482</v>
      </c>
      <c r="GF192" s="62">
        <f t="shared" si="158"/>
        <v>357.56833754121317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0.12534169923176516</v>
      </c>
      <c r="GN192" s="23">
        <f>EXP(-LN(2)/2)*GN191+(1-EXP(-LN(2)/2))/(LN(2)/2)*GH192*GK192*VLOOKUP('Données projet'!$B$17,Paramètres!$A$1:$I$89,3,0)*0.475*44/12</f>
        <v>1.9323881359044008E-23</v>
      </c>
      <c r="GO192" s="23">
        <f t="shared" si="187"/>
        <v>0.12534169923176516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-9.2222762759774927E-14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268.57152522489537</v>
      </c>
      <c r="HA192" s="62">
        <f t="shared" si="160"/>
        <v>311.80303557283207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3.75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13.75</v>
      </c>
      <c r="H193" s="70">
        <f t="shared" si="110"/>
        <v>201.66666666666666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-4.6288732846733184E-13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461.02780119093666</v>
      </c>
      <c r="T193" s="62">
        <f t="shared" si="142"/>
        <v>245.70016468438834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-4.3096406443510209E-13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434.22500776975596</v>
      </c>
      <c r="AO193" s="62">
        <f t="shared" si="144"/>
        <v>232.59777933076705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-1.0818439477588981E-13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393.3005580838161</v>
      </c>
      <c r="BJ193" s="62">
        <f t="shared" si="146"/>
        <v>295.86019897822757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-4.5224624045658861E-14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388.52230330563884</v>
      </c>
      <c r="CE193" s="62">
        <f t="shared" si="148"/>
        <v>418.94833960687333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-4.1677594708744434E-14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362.38131866207266</v>
      </c>
      <c r="CZ193" s="62">
        <f t="shared" si="150"/>
        <v>390.74498763200336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8.5265128291212022E-14</v>
      </c>
      <c r="DP193" s="18">
        <f>DO193*VLOOKUP('Données projet'!$B$14,Paramètres!$A$1:$I$89,3,0)*VLOOKUP('Données projet'!$B$14,Paramètres!$A$1:$I$89,5,0)</f>
        <v>7.4487616075202836E-14</v>
      </c>
      <c r="DQ193" s="14">
        <f t="shared" si="176"/>
        <v>1.1580453144473142E-12</v>
      </c>
      <c r="DR193" s="22">
        <f t="shared" si="177"/>
        <v>2.1466615206600508E-12</v>
      </c>
      <c r="DS193" s="62">
        <f t="shared" si="125"/>
        <v>290.86022266903717</v>
      </c>
      <c r="DT193" s="62">
        <f ca="1">AVERAGE(OFFSET($DS$3,0,0,'Données projet'!$E$14+1,1))-AVERAGE(OFFSET($H$3,0,0,'Données projet'!$E$14+1,1))</f>
        <v>334.4692012109935</v>
      </c>
      <c r="DU193" s="62">
        <f t="shared" si="152"/>
        <v>316.360405424036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-1.9065282685915009E-13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390.09289316045653</v>
      </c>
      <c r="EP193" s="62">
        <f t="shared" si="154"/>
        <v>364.34913542817617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8.7380867598692957E-2</v>
      </c>
      <c r="EX193" s="23">
        <f>EXP(-LN(2)/2)*EX192+(1-EXP(-LN(2)/2))/(LN(2)/2)*ER193*EU193*VLOOKUP('Données projet'!$B$15,Paramètres!$A$1:$I$89,3,0)*0.475*44/12</f>
        <v>7.4301034539350445E-24</v>
      </c>
      <c r="EY193" s="24">
        <f t="shared" si="181"/>
        <v>8.7380867598692957E-2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4.5474735088646412E-13</v>
      </c>
      <c r="FF193" s="18">
        <f>FE193*VLOOKUP('Données projet'!$B$16,Paramètres!$A$1:$I$89,3,0)*VLOOKUP('Données projet'!$B$16,Paramètres!$A$1:$I$89,5,0)</f>
        <v>2.1282176021486519E-13</v>
      </c>
      <c r="FG193" s="14">
        <f t="shared" si="182"/>
        <v>2.9281075858910828E-12</v>
      </c>
      <c r="FH193" s="22">
        <f t="shared" si="183"/>
        <v>5.4704519444678596E-12</v>
      </c>
      <c r="FI193" s="62">
        <f t="shared" si="131"/>
        <v>290.86022266904047</v>
      </c>
      <c r="FJ193" s="62">
        <f ca="1">AVERAGE(OFFSET($FI$3,0,0,'Données projet'!$E$16+1,1))-AVERAGE(OFFSET($H$3,0,0,'Données projet'!$E$16+1,1))</f>
        <v>344.55118007058775</v>
      </c>
      <c r="FK193" s="62">
        <f t="shared" si="156"/>
        <v>144.16931602355001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252.60122125520482</v>
      </c>
      <c r="GF193" s="62">
        <f t="shared" si="158"/>
        <v>357.56833754121317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0.12191422387483905</v>
      </c>
      <c r="GN193" s="23">
        <f>EXP(-LN(2)/2)*GN192+(1-EXP(-LN(2)/2))/(LN(2)/2)*GH193*GK193*VLOOKUP('Données projet'!$B$17,Paramètres!$A$1:$I$89,3,0)*0.475*44/12</f>
        <v>1.3664047547824336E-23</v>
      </c>
      <c r="GO193" s="23">
        <f t="shared" si="187"/>
        <v>0.12191422387483905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-9.2222762759774927E-14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268.57152522489537</v>
      </c>
      <c r="HA193" s="62">
        <f t="shared" si="160"/>
        <v>311.80303557283207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3.75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13.75</v>
      </c>
      <c r="H194" s="70">
        <f t="shared" si="110"/>
        <v>201.66666666666666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-4.6288732846733184E-13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461.02780119093666</v>
      </c>
      <c r="T194" s="62">
        <f t="shared" si="142"/>
        <v>245.70016468438834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-4.3096406443510209E-13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434.22500776975596</v>
      </c>
      <c r="AO194" s="62">
        <f t="shared" si="144"/>
        <v>232.59777933076705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-1.0818439477588981E-13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393.3005580838161</v>
      </c>
      <c r="BJ194" s="62">
        <f t="shared" si="146"/>
        <v>295.86019897822757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-4.5224624045658861E-14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388.52230330563884</v>
      </c>
      <c r="CE194" s="62">
        <f t="shared" si="148"/>
        <v>418.94833960687333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-4.1677594708744434E-14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362.38131866207266</v>
      </c>
      <c r="CZ194" s="62">
        <f t="shared" si="150"/>
        <v>390.74498763200336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8.5265128291212022E-14</v>
      </c>
      <c r="DP194" s="18">
        <f>DO194*VLOOKUP('Données projet'!$B$14,Paramètres!$A$1:$I$89,3,0)*VLOOKUP('Données projet'!$B$14,Paramètres!$A$1:$I$89,5,0)</f>
        <v>7.4487616075202836E-14</v>
      </c>
      <c r="DQ194" s="14">
        <f t="shared" si="176"/>
        <v>1.1580453144473142E-12</v>
      </c>
      <c r="DR194" s="22">
        <f t="shared" si="177"/>
        <v>2.1466615206600508E-12</v>
      </c>
      <c r="DS194" s="62">
        <f t="shared" si="125"/>
        <v>290.90312561001559</v>
      </c>
      <c r="DT194" s="62">
        <f ca="1">AVERAGE(OFFSET($DS$3,0,0,'Données projet'!$E$14+1,1))-AVERAGE(OFFSET($H$3,0,0,'Données projet'!$E$14+1,1))</f>
        <v>334.4692012109935</v>
      </c>
      <c r="DU194" s="62">
        <f t="shared" si="152"/>
        <v>316.360405424036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-1.9065282685915009E-13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390.09289316045653</v>
      </c>
      <c r="EP194" s="62">
        <f t="shared" si="154"/>
        <v>364.34913542817617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8.4991433179046588E-2</v>
      </c>
      <c r="EX194" s="23">
        <f>EXP(-LN(2)/2)*EX193+(1-EXP(-LN(2)/2))/(LN(2)/2)*ER194*EU194*VLOOKUP('Données projet'!$B$15,Paramètres!$A$1:$I$89,3,0)*0.475*44/12</f>
        <v>5.2538765371950585E-24</v>
      </c>
      <c r="EY194" s="24">
        <f t="shared" si="181"/>
        <v>8.4991433179046588E-2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4.5474735088646412E-13</v>
      </c>
      <c r="FF194" s="18">
        <f>FE194*VLOOKUP('Données projet'!$B$16,Paramètres!$A$1:$I$89,3,0)*VLOOKUP('Données projet'!$B$16,Paramètres!$A$1:$I$89,5,0)</f>
        <v>2.1282176021486519E-13</v>
      </c>
      <c r="FG194" s="14">
        <f t="shared" si="182"/>
        <v>2.9281075858910828E-12</v>
      </c>
      <c r="FH194" s="22">
        <f t="shared" si="183"/>
        <v>5.4704519444678596E-12</v>
      </c>
      <c r="FI194" s="62">
        <f t="shared" si="131"/>
        <v>290.90312561001889</v>
      </c>
      <c r="FJ194" s="62">
        <f ca="1">AVERAGE(OFFSET($FI$3,0,0,'Données projet'!$E$16+1,1))-AVERAGE(OFFSET($H$3,0,0,'Données projet'!$E$16+1,1))</f>
        <v>344.55118007058775</v>
      </c>
      <c r="FK194" s="62">
        <f t="shared" si="156"/>
        <v>144.16931602355001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252.60122125520482</v>
      </c>
      <c r="GF194" s="62">
        <f t="shared" si="158"/>
        <v>357.56833754121317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0.11858047301179118</v>
      </c>
      <c r="GN194" s="23">
        <f>EXP(-LN(2)/2)*GN193+(1-EXP(-LN(2)/2))/(LN(2)/2)*GH194*GK194*VLOOKUP('Données projet'!$B$17,Paramètres!$A$1:$I$89,3,0)*0.475*44/12</f>
        <v>9.6619406795220038E-24</v>
      </c>
      <c r="GO194" s="23">
        <f t="shared" si="187"/>
        <v>0.11858047301179118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-9.2222762759774927E-14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268.57152522489537</v>
      </c>
      <c r="HA194" s="62">
        <f t="shared" si="160"/>
        <v>311.80303557283207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3.75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13.75</v>
      </c>
      <c r="H195" s="70">
        <f t="shared" si="110"/>
        <v>201.66666666666666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-4.6288732846733184E-13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461.02780119093666</v>
      </c>
      <c r="T195" s="62">
        <f t="shared" si="142"/>
        <v>245.70016468438834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-4.3096406443510209E-13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434.22500776975596</v>
      </c>
      <c r="AO195" s="62">
        <f t="shared" si="144"/>
        <v>232.59777933076705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-1.0818439477588981E-13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393.3005580838161</v>
      </c>
      <c r="BJ195" s="62">
        <f t="shared" si="146"/>
        <v>295.86019897822757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-4.5224624045658861E-14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388.52230330563884</v>
      </c>
      <c r="CE195" s="62">
        <f t="shared" si="148"/>
        <v>418.94833960687333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-4.1677594708744434E-14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362.38131866207266</v>
      </c>
      <c r="CZ195" s="62">
        <f t="shared" si="150"/>
        <v>390.74498763200336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8.5265128291212022E-14</v>
      </c>
      <c r="DP195" s="18">
        <f>DO195*VLOOKUP('Données projet'!$B$14,Paramètres!$A$1:$I$89,3,0)*VLOOKUP('Données projet'!$B$14,Paramètres!$A$1:$I$89,5,0)</f>
        <v>7.4487616075202836E-14</v>
      </c>
      <c r="DQ195" s="14">
        <f t="shared" si="176"/>
        <v>1.1580453144473142E-12</v>
      </c>
      <c r="DR195" s="22">
        <f t="shared" si="177"/>
        <v>2.1466615206600508E-12</v>
      </c>
      <c r="DS195" s="62">
        <f t="shared" si="125"/>
        <v>290.94528428088472</v>
      </c>
      <c r="DT195" s="62">
        <f ca="1">AVERAGE(OFFSET($DS$3,0,0,'Données projet'!$E$14+1,1))-AVERAGE(OFFSET($H$3,0,0,'Données projet'!$E$14+1,1))</f>
        <v>334.4692012109935</v>
      </c>
      <c r="DU195" s="62">
        <f t="shared" si="152"/>
        <v>316.360405424036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-1.9065282685915009E-13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390.09289316045653</v>
      </c>
      <c r="EP195" s="62">
        <f t="shared" si="154"/>
        <v>364.34913542817617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8.2667337969260332E-2</v>
      </c>
      <c r="EX195" s="23">
        <f>EXP(-LN(2)/2)*EX194+(1-EXP(-LN(2)/2))/(LN(2)/2)*ER195*EU195*VLOOKUP('Données projet'!$B$15,Paramètres!$A$1:$I$89,3,0)*0.475*44/12</f>
        <v>3.7150517269675222E-24</v>
      </c>
      <c r="EY195" s="24">
        <f t="shared" si="181"/>
        <v>8.2667337969260332E-2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4.5474735088646412E-13</v>
      </c>
      <c r="FF195" s="18">
        <f>FE195*VLOOKUP('Données projet'!$B$16,Paramètres!$A$1:$I$89,3,0)*VLOOKUP('Données projet'!$B$16,Paramètres!$A$1:$I$89,5,0)</f>
        <v>2.1282176021486519E-13</v>
      </c>
      <c r="FG195" s="14">
        <f t="shared" si="182"/>
        <v>2.9281075858910828E-12</v>
      </c>
      <c r="FH195" s="22">
        <f t="shared" si="183"/>
        <v>5.4704519444678596E-12</v>
      </c>
      <c r="FI195" s="62">
        <f t="shared" si="131"/>
        <v>290.94528428088802</v>
      </c>
      <c r="FJ195" s="62">
        <f ca="1">AVERAGE(OFFSET($FI$3,0,0,'Données projet'!$E$16+1,1))-AVERAGE(OFFSET($H$3,0,0,'Données projet'!$E$16+1,1))</f>
        <v>344.55118007058775</v>
      </c>
      <c r="FK195" s="62">
        <f t="shared" si="156"/>
        <v>144.16931602355001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252.60122125520482</v>
      </c>
      <c r="GF195" s="62">
        <f t="shared" si="158"/>
        <v>357.56833754121317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0.1153378837414077</v>
      </c>
      <c r="GN195" s="23">
        <f>EXP(-LN(2)/2)*GN194+(1-EXP(-LN(2)/2))/(LN(2)/2)*GH195*GK195*VLOOKUP('Données projet'!$B$17,Paramètres!$A$1:$I$89,3,0)*0.475*44/12</f>
        <v>6.8320237739121678E-24</v>
      </c>
      <c r="GO195" s="23">
        <f t="shared" si="187"/>
        <v>0.1153378837414077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-9.2222762759774927E-14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268.57152522489537</v>
      </c>
      <c r="HA195" s="62">
        <f t="shared" si="160"/>
        <v>311.80303557283207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3.75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13.75</v>
      </c>
      <c r="H196" s="70">
        <f t="shared" ref="H196:H203" si="192">(B196+E196+F196)*44/12+(C196+D196)*0.475*44/12</f>
        <v>201.66666666666666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-4.6288732846733184E-13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461.02780119093666</v>
      </c>
      <c r="T196" s="62">
        <f t="shared" si="142"/>
        <v>245.70016468438834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-4.3096406443510209E-13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434.22500776975596</v>
      </c>
      <c r="AO196" s="62">
        <f t="shared" si="144"/>
        <v>232.59777933076705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-1.0818439477588981E-13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393.3005580838161</v>
      </c>
      <c r="BJ196" s="62">
        <f t="shared" si="146"/>
        <v>295.86019897822757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-4.5224624045658861E-14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388.52230330563884</v>
      </c>
      <c r="CE196" s="62">
        <f t="shared" si="148"/>
        <v>418.94833960687333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-4.1677594708744434E-14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362.38131866207266</v>
      </c>
      <c r="CZ196" s="62">
        <f t="shared" si="150"/>
        <v>390.74498763200336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8.5265128291212022E-14</v>
      </c>
      <c r="DP196" s="18">
        <f>DO196*VLOOKUP('Données projet'!$B$14,Paramètres!$A$1:$I$89,3,0)*VLOOKUP('Données projet'!$B$14,Paramètres!$A$1:$I$89,5,0)</f>
        <v>7.4487616075202836E-14</v>
      </c>
      <c r="DQ196" s="14">
        <f t="shared" si="176"/>
        <v>1.1580453144473142E-12</v>
      </c>
      <c r="DR196" s="22">
        <f t="shared" si="177"/>
        <v>2.1466615206600508E-12</v>
      </c>
      <c r="DS196" s="62">
        <f t="shared" ref="DS196:DS203" si="197">DR196+(DJ196+DK196)*44/12</f>
        <v>290.9867115930669</v>
      </c>
      <c r="DT196" s="62">
        <f ca="1">AVERAGE(OFFSET($DS$3,0,0,'Données projet'!$E$14+1,1))-AVERAGE(OFFSET($H$3,0,0,'Données projet'!$E$14+1,1))</f>
        <v>334.4692012109935</v>
      </c>
      <c r="DU196" s="62">
        <f t="shared" si="152"/>
        <v>316.360405424036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-1.9065282685915009E-13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390.09289316045653</v>
      </c>
      <c r="EP196" s="62">
        <f t="shared" si="154"/>
        <v>364.34913542817617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8.0406795265204542E-2</v>
      </c>
      <c r="EX196" s="23">
        <f>EXP(-LN(2)/2)*EX195+(1-EXP(-LN(2)/2))/(LN(2)/2)*ER196*EU196*VLOOKUP('Données projet'!$B$15,Paramètres!$A$1:$I$89,3,0)*0.475*44/12</f>
        <v>2.6269382685975293E-24</v>
      </c>
      <c r="EY196" s="24">
        <f t="shared" si="181"/>
        <v>8.0406795265204542E-2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4.5474735088646412E-13</v>
      </c>
      <c r="FF196" s="18">
        <f>FE196*VLOOKUP('Données projet'!$B$16,Paramètres!$A$1:$I$89,3,0)*VLOOKUP('Données projet'!$B$16,Paramètres!$A$1:$I$89,5,0)</f>
        <v>2.1282176021486519E-13</v>
      </c>
      <c r="FG196" s="14">
        <f t="shared" si="182"/>
        <v>2.9281075858910828E-12</v>
      </c>
      <c r="FH196" s="22">
        <f t="shared" si="183"/>
        <v>5.4704519444678596E-12</v>
      </c>
      <c r="FI196" s="62">
        <f t="shared" ref="FI196:FI203" si="199">FH196+(EZ196+FA196)*44/12</f>
        <v>290.9867115930702</v>
      </c>
      <c r="FJ196" s="62">
        <f ca="1">AVERAGE(OFFSET($FI$3,0,0,'Données projet'!$E$16+1,1))-AVERAGE(OFFSET($H$3,0,0,'Données projet'!$E$16+1,1))</f>
        <v>344.55118007058775</v>
      </c>
      <c r="FK196" s="62">
        <f t="shared" si="156"/>
        <v>144.16931602355001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252.60122125520482</v>
      </c>
      <c r="GF196" s="62">
        <f t="shared" si="158"/>
        <v>357.56833754121317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0.11218396324514321</v>
      </c>
      <c r="GN196" s="23">
        <f>EXP(-LN(2)/2)*GN195+(1-EXP(-LN(2)/2))/(LN(2)/2)*GH196*GK196*VLOOKUP('Données projet'!$B$17,Paramètres!$A$1:$I$89,3,0)*0.475*44/12</f>
        <v>4.8309703397610019E-24</v>
      </c>
      <c r="GO196" s="23">
        <f t="shared" si="187"/>
        <v>0.11218396324514321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-9.2222762759774927E-14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268.57152522489537</v>
      </c>
      <c r="HA196" s="62">
        <f t="shared" si="160"/>
        <v>311.80303557283207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3.75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13.75</v>
      </c>
      <c r="H197" s="70">
        <f t="shared" si="192"/>
        <v>201.66666666666666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461.02780119093666</v>
      </c>
      <c r="T197" s="62">
        <f t="shared" ref="T197:T203" si="204">$T$3</f>
        <v>245.70016468438834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-4.3096406443510209E-13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434.22500776975596</v>
      </c>
      <c r="AO197" s="62">
        <f t="shared" ref="AO197:AO203" si="205">$AO$3</f>
        <v>232.59777933076705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-1.0818439477588981E-13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393.3005580838161</v>
      </c>
      <c r="BJ197" s="62">
        <f t="shared" ref="BJ197:BJ203" si="206">$BJ$3</f>
        <v>295.86019897822757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-4.5224624045658861E-14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388.52230330563884</v>
      </c>
      <c r="CE197" s="62">
        <f t="shared" ref="CE197:CE203" si="207">$CE$3</f>
        <v>418.94833960687333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-4.1677594708744434E-14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362.38131866207266</v>
      </c>
      <c r="CZ197" s="62">
        <f t="shared" ref="CZ197:CZ203" si="208">$CZ$3</f>
        <v>390.74498763200336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8.5265128291212022E-14</v>
      </c>
      <c r="DP197" s="18">
        <f>DO197*VLOOKUP('Données projet'!$B$14,Paramètres!$A$1:$I$89,3,0)*VLOOKUP('Données projet'!$B$14,Paramètres!$A$1:$I$89,5,0)</f>
        <v>7.4487616075202836E-14</v>
      </c>
      <c r="DQ197" s="14">
        <f t="shared" si="176"/>
        <v>1.1580453144473142E-12</v>
      </c>
      <c r="DR197" s="22">
        <f t="shared" si="177"/>
        <v>2.1466615206600508E-12</v>
      </c>
      <c r="DS197" s="62">
        <f t="shared" si="197"/>
        <v>291.02742023400026</v>
      </c>
      <c r="DT197" s="62">
        <f ca="1">AVERAGE(OFFSET($DS$3,0,0,'Données projet'!$E$14+1,1))-AVERAGE(OFFSET($H$3,0,0,'Données projet'!$E$14+1,1))</f>
        <v>334.4692012109935</v>
      </c>
      <c r="DU197" s="62">
        <f t="shared" ref="DU197:DU203" si="209">$DU$3</f>
        <v>316.360405424036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-1.9065282685915009E-13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390.09289316045653</v>
      </c>
      <c r="EP197" s="62">
        <f t="shared" ref="EP197:EP203" si="210">$EP$3</f>
        <v>364.34913542817617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7.8208067220267935E-2</v>
      </c>
      <c r="EX197" s="23">
        <f>EXP(-LN(2)/2)*EX196+(1-EXP(-LN(2)/2))/(LN(2)/2)*ER197*EU197*VLOOKUP('Données projet'!$B$15,Paramètres!$A$1:$I$89,3,0)*0.475*44/12</f>
        <v>1.8575258634837611E-24</v>
      </c>
      <c r="EY197" s="24">
        <f t="shared" si="181"/>
        <v>7.8208067220267935E-2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4.5474735088646412E-13</v>
      </c>
      <c r="FF197" s="18">
        <f>FE197*VLOOKUP('Données projet'!$B$16,Paramètres!$A$1:$I$89,3,0)*VLOOKUP('Données projet'!$B$16,Paramètres!$A$1:$I$89,5,0)</f>
        <v>2.1282176021486519E-13</v>
      </c>
      <c r="FG197" s="14">
        <f t="shared" si="182"/>
        <v>2.9281075858910828E-12</v>
      </c>
      <c r="FH197" s="22">
        <f t="shared" si="183"/>
        <v>5.4704519444678596E-12</v>
      </c>
      <c r="FI197" s="62">
        <f t="shared" si="199"/>
        <v>291.02742023400356</v>
      </c>
      <c r="FJ197" s="62">
        <f ca="1">AVERAGE(OFFSET($FI$3,0,0,'Données projet'!$E$16+1,1))-AVERAGE(OFFSET($H$3,0,0,'Données projet'!$E$16+1,1))</f>
        <v>344.55118007058775</v>
      </c>
      <c r="FK197" s="62">
        <f t="shared" ref="FK197:FK203" si="211">$FK$3</f>
        <v>144.16931602355001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252.60122125520482</v>
      </c>
      <c r="GF197" s="62">
        <f t="shared" ref="GF197:GF203" si="212">$GF$3</f>
        <v>357.56833754121317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0.10911628687070654</v>
      </c>
      <c r="GN197" s="23">
        <f>EXP(-LN(2)/2)*GN196+(1-EXP(-LN(2)/2))/(LN(2)/2)*GH197*GK197*VLOOKUP('Données projet'!$B$17,Paramètres!$A$1:$I$89,3,0)*0.475*44/12</f>
        <v>3.4160118869560839E-24</v>
      </c>
      <c r="GO197" s="23">
        <f t="shared" si="187"/>
        <v>0.10911628687070654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-9.2222762759774927E-14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268.57152522489537</v>
      </c>
      <c r="HA197" s="62">
        <f t="shared" ref="HA197:HA203" si="213">$HA$3</f>
        <v>311.80303557283207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3.75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13.75</v>
      </c>
      <c r="H198" s="70">
        <f t="shared" si="192"/>
        <v>201.66666666666666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-4.6288732846733184E-13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461.02780119093666</v>
      </c>
      <c r="T198" s="62">
        <f t="shared" si="204"/>
        <v>245.70016468438834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-4.3096406443510209E-13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434.22500776975596</v>
      </c>
      <c r="AO198" s="62">
        <f t="shared" si="205"/>
        <v>232.59777933076705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-1.0818439477588981E-13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393.3005580838161</v>
      </c>
      <c r="BJ198" s="62">
        <f t="shared" si="206"/>
        <v>295.86019897822757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-4.5224624045658861E-14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388.52230330563884</v>
      </c>
      <c r="CE198" s="62">
        <f t="shared" si="207"/>
        <v>418.94833960687333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-4.1677594708744434E-14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362.38131866207266</v>
      </c>
      <c r="CZ198" s="62">
        <f t="shared" si="208"/>
        <v>390.74498763200336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8.5265128291212022E-14</v>
      </c>
      <c r="DP198" s="18">
        <f>DO198*VLOOKUP('Données projet'!$B$14,Paramètres!$A$1:$I$89,3,0)*VLOOKUP('Données projet'!$B$14,Paramètres!$A$1:$I$89,5,0)</f>
        <v>7.4487616075202836E-14</v>
      </c>
      <c r="DQ198" s="14">
        <f t="shared" si="176"/>
        <v>1.1580453144473142E-12</v>
      </c>
      <c r="DR198" s="22">
        <f t="shared" si="177"/>
        <v>2.1466615206600508E-12</v>
      </c>
      <c r="DS198" s="62">
        <f t="shared" si="197"/>
        <v>291.06742267102442</v>
      </c>
      <c r="DT198" s="62">
        <f ca="1">AVERAGE(OFFSET($DS$3,0,0,'Données projet'!$E$14+1,1))-AVERAGE(OFFSET($H$3,0,0,'Données projet'!$E$14+1,1))</f>
        <v>334.4692012109935</v>
      </c>
      <c r="DU198" s="62">
        <f t="shared" si="209"/>
        <v>316.360405424036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-1.9065282685915009E-13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390.09289316045653</v>
      </c>
      <c r="EP198" s="62">
        <f t="shared" si="210"/>
        <v>364.34913542817617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7.6069463509346194E-2</v>
      </c>
      <c r="EX198" s="23">
        <f>EXP(-LN(2)/2)*EX197+(1-EXP(-LN(2)/2))/(LN(2)/2)*ER198*EU198*VLOOKUP('Données projet'!$B$15,Paramètres!$A$1:$I$89,3,0)*0.475*44/12</f>
        <v>1.3134691342987646E-24</v>
      </c>
      <c r="EY198" s="24">
        <f t="shared" si="181"/>
        <v>7.6069463509346194E-2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4.5474735088646412E-13</v>
      </c>
      <c r="FF198" s="18">
        <f>FE198*VLOOKUP('Données projet'!$B$16,Paramètres!$A$1:$I$89,3,0)*VLOOKUP('Données projet'!$B$16,Paramètres!$A$1:$I$89,5,0)</f>
        <v>2.1282176021486519E-13</v>
      </c>
      <c r="FG198" s="14">
        <f t="shared" si="182"/>
        <v>2.9281075858910828E-12</v>
      </c>
      <c r="FH198" s="22">
        <f t="shared" si="183"/>
        <v>5.4704519444678596E-12</v>
      </c>
      <c r="FI198" s="62">
        <f t="shared" si="199"/>
        <v>291.06742267102771</v>
      </c>
      <c r="FJ198" s="62">
        <f ca="1">AVERAGE(OFFSET($FI$3,0,0,'Données projet'!$E$16+1,1))-AVERAGE(OFFSET($H$3,0,0,'Données projet'!$E$16+1,1))</f>
        <v>344.55118007058775</v>
      </c>
      <c r="FK198" s="62">
        <f t="shared" si="211"/>
        <v>144.16931602355001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252.60122125520482</v>
      </c>
      <c r="GF198" s="62">
        <f t="shared" si="212"/>
        <v>357.56833754121317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0.10613249626805094</v>
      </c>
      <c r="GN198" s="23">
        <f>EXP(-LN(2)/2)*GN197+(1-EXP(-LN(2)/2))/(LN(2)/2)*GH198*GK198*VLOOKUP('Données projet'!$B$17,Paramètres!$A$1:$I$89,3,0)*0.475*44/12</f>
        <v>2.4154851698805009E-24</v>
      </c>
      <c r="GO198" s="23">
        <f t="shared" si="187"/>
        <v>0.10613249626805094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-9.2222762759774927E-14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268.57152522489537</v>
      </c>
      <c r="HA198" s="62">
        <f t="shared" si="213"/>
        <v>311.80303557283207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3.75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13.75</v>
      </c>
      <c r="H199" s="70">
        <f t="shared" si="192"/>
        <v>201.66666666666666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-4.6288732846733184E-13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461.02780119093666</v>
      </c>
      <c r="T199" s="62">
        <f t="shared" si="204"/>
        <v>245.70016468438834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-4.3096406443510209E-13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434.22500776975596</v>
      </c>
      <c r="AO199" s="62">
        <f t="shared" si="205"/>
        <v>232.59777933076705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-1.0818439477588981E-13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393.3005580838161</v>
      </c>
      <c r="BJ199" s="62">
        <f t="shared" si="206"/>
        <v>295.86019897822757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-4.5224624045658861E-14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388.52230330563884</v>
      </c>
      <c r="CE199" s="62">
        <f t="shared" si="207"/>
        <v>418.94833960687333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-4.1677594708744434E-14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362.38131866207266</v>
      </c>
      <c r="CZ199" s="62">
        <f t="shared" si="208"/>
        <v>390.74498763200336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8.5265128291212022E-14</v>
      </c>
      <c r="DP199" s="18">
        <f>DO199*VLOOKUP('Données projet'!$B$14,Paramètres!$A$1:$I$89,3,0)*VLOOKUP('Données projet'!$B$14,Paramètres!$A$1:$I$89,5,0)</f>
        <v>7.4487616075202836E-14</v>
      </c>
      <c r="DQ199" s="14">
        <f t="shared" si="176"/>
        <v>1.1580453144473142E-12</v>
      </c>
      <c r="DR199" s="22">
        <f t="shared" si="177"/>
        <v>2.1466615206600508E-12</v>
      </c>
      <c r="DS199" s="62">
        <f t="shared" si="197"/>
        <v>291.10673115519819</v>
      </c>
      <c r="DT199" s="62">
        <f ca="1">AVERAGE(OFFSET($DS$3,0,0,'Données projet'!$E$14+1,1))-AVERAGE(OFFSET($H$3,0,0,'Données projet'!$E$14+1,1))</f>
        <v>334.4692012109935</v>
      </c>
      <c r="DU199" s="62">
        <f t="shared" si="209"/>
        <v>316.360405424036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-1.9065282685915009E-13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390.09289316045653</v>
      </c>
      <c r="EP199" s="62">
        <f t="shared" si="210"/>
        <v>364.34913542817617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7.3989340029363901E-2</v>
      </c>
      <c r="EX199" s="23">
        <f>EXP(-LN(2)/2)*EX198+(1-EXP(-LN(2)/2))/(LN(2)/2)*ER199*EU199*VLOOKUP('Données projet'!$B$15,Paramètres!$A$1:$I$89,3,0)*0.475*44/12</f>
        <v>9.2876293174188056E-25</v>
      </c>
      <c r="EY199" s="24">
        <f t="shared" si="181"/>
        <v>7.3989340029363901E-2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4.5474735088646412E-13</v>
      </c>
      <c r="FF199" s="18">
        <f>FE199*VLOOKUP('Données projet'!$B$16,Paramètres!$A$1:$I$89,3,0)*VLOOKUP('Données projet'!$B$16,Paramètres!$A$1:$I$89,5,0)</f>
        <v>2.1282176021486519E-13</v>
      </c>
      <c r="FG199" s="14">
        <f t="shared" si="182"/>
        <v>2.9281075858910828E-12</v>
      </c>
      <c r="FH199" s="22">
        <f t="shared" si="183"/>
        <v>5.4704519444678596E-12</v>
      </c>
      <c r="FI199" s="62">
        <f t="shared" si="199"/>
        <v>291.10673115520149</v>
      </c>
      <c r="FJ199" s="62">
        <f ca="1">AVERAGE(OFFSET($FI$3,0,0,'Données projet'!$E$16+1,1))-AVERAGE(OFFSET($H$3,0,0,'Données projet'!$E$16+1,1))</f>
        <v>344.55118007058775</v>
      </c>
      <c r="FK199" s="62">
        <f t="shared" si="211"/>
        <v>144.16931602355001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252.60122125520482</v>
      </c>
      <c r="GF199" s="62">
        <f t="shared" si="212"/>
        <v>357.56833754121317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0.10323029757633567</v>
      </c>
      <c r="GN199" s="23">
        <f>EXP(-LN(2)/2)*GN198+(1-EXP(-LN(2)/2))/(LN(2)/2)*GH199*GK199*VLOOKUP('Données projet'!$B$17,Paramètres!$A$1:$I$89,3,0)*0.475*44/12</f>
        <v>1.7080059434780419E-24</v>
      </c>
      <c r="GO199" s="23">
        <f t="shared" si="187"/>
        <v>0.10323029757633567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-9.2222762759774927E-14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268.57152522489537</v>
      </c>
      <c r="HA199" s="62">
        <f t="shared" si="213"/>
        <v>311.80303557283207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3.75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13.75</v>
      </c>
      <c r="H200" s="70">
        <f t="shared" si="192"/>
        <v>201.66666666666666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-4.6288732846733184E-13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461.02780119093666</v>
      </c>
      <c r="T200" s="62">
        <f t="shared" si="204"/>
        <v>245.70016468438834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-4.3096406443510209E-13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434.22500776975596</v>
      </c>
      <c r="AO200" s="62">
        <f t="shared" si="205"/>
        <v>232.59777933076705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-1.0818439477588981E-13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393.3005580838161</v>
      </c>
      <c r="BJ200" s="62">
        <f t="shared" si="206"/>
        <v>295.86019897822757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-4.5224624045658861E-14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388.52230330563884</v>
      </c>
      <c r="CE200" s="62">
        <f t="shared" si="207"/>
        <v>418.94833960687333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-4.1677594708744434E-14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362.38131866207266</v>
      </c>
      <c r="CZ200" s="62">
        <f t="shared" si="208"/>
        <v>390.74498763200336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8.5265128291212022E-14</v>
      </c>
      <c r="DP200" s="18">
        <f>DO200*VLOOKUP('Données projet'!$B$14,Paramètres!$A$1:$I$89,3,0)*VLOOKUP('Données projet'!$B$14,Paramètres!$A$1:$I$89,5,0)</f>
        <v>7.4487616075202836E-14</v>
      </c>
      <c r="DQ200" s="14">
        <f t="shared" si="176"/>
        <v>1.1580453144473142E-12</v>
      </c>
      <c r="DR200" s="22">
        <f t="shared" si="177"/>
        <v>2.1466615206600508E-12</v>
      </c>
      <c r="DS200" s="62">
        <f t="shared" si="197"/>
        <v>291.14535772505207</v>
      </c>
      <c r="DT200" s="62">
        <f ca="1">AVERAGE(OFFSET($DS$3,0,0,'Données projet'!$E$14+1,1))-AVERAGE(OFFSET($H$3,0,0,'Données projet'!$E$14+1,1))</f>
        <v>334.4692012109935</v>
      </c>
      <c r="DU200" s="62">
        <f t="shared" si="209"/>
        <v>316.360405424036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-1.9065282685915009E-13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390.09289316045653</v>
      </c>
      <c r="EP200" s="62">
        <f t="shared" si="210"/>
        <v>364.34913542817617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7.1966097635330656E-2</v>
      </c>
      <c r="EX200" s="23">
        <f>EXP(-LN(2)/2)*EX199+(1-EXP(-LN(2)/2))/(LN(2)/2)*ER200*EU200*VLOOKUP('Données projet'!$B$15,Paramètres!$A$1:$I$89,3,0)*0.475*44/12</f>
        <v>6.5673456714938231E-25</v>
      </c>
      <c r="EY200" s="24">
        <f t="shared" si="181"/>
        <v>7.1966097635330656E-2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4.5474735088646412E-13</v>
      </c>
      <c r="FF200" s="18">
        <f>FE200*VLOOKUP('Données projet'!$B$16,Paramètres!$A$1:$I$89,3,0)*VLOOKUP('Données projet'!$B$16,Paramètres!$A$1:$I$89,5,0)</f>
        <v>2.1282176021486519E-13</v>
      </c>
      <c r="FG200" s="14">
        <f t="shared" si="182"/>
        <v>2.9281075858910828E-12</v>
      </c>
      <c r="FH200" s="22">
        <f t="shared" si="183"/>
        <v>5.4704519444678596E-12</v>
      </c>
      <c r="FI200" s="62">
        <f t="shared" si="199"/>
        <v>291.14535772505536</v>
      </c>
      <c r="FJ200" s="62">
        <f ca="1">AVERAGE(OFFSET($FI$3,0,0,'Données projet'!$E$16+1,1))-AVERAGE(OFFSET($H$3,0,0,'Données projet'!$E$16+1,1))</f>
        <v>344.55118007058775</v>
      </c>
      <c r="FK200" s="62">
        <f t="shared" si="211"/>
        <v>144.16931602355001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252.60122125520482</v>
      </c>
      <c r="GF200" s="62">
        <f t="shared" si="212"/>
        <v>357.56833754121317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0.10040745966046535</v>
      </c>
      <c r="GN200" s="23">
        <f>EXP(-LN(2)/2)*GN199+(1-EXP(-LN(2)/2))/(LN(2)/2)*GH200*GK200*VLOOKUP('Données projet'!$B$17,Paramètres!$A$1:$I$89,3,0)*0.475*44/12</f>
        <v>1.2077425849402505E-24</v>
      </c>
      <c r="GO200" s="23">
        <f t="shared" si="187"/>
        <v>0.10040745966046535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-9.2222762759774927E-14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268.57152522489537</v>
      </c>
      <c r="HA200" s="62">
        <f t="shared" si="213"/>
        <v>311.80303557283207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3.75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13.75</v>
      </c>
      <c r="H201" s="70">
        <f t="shared" si="192"/>
        <v>201.66666666666666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-4.6288732846733184E-13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461.02780119093666</v>
      </c>
      <c r="T201" s="62">
        <f t="shared" si="204"/>
        <v>245.70016468438834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-4.3096406443510209E-13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434.22500776975596</v>
      </c>
      <c r="AO201" s="62">
        <f t="shared" si="205"/>
        <v>232.59777933076705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-1.0818439477588981E-13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393.3005580838161</v>
      </c>
      <c r="BJ201" s="62">
        <f t="shared" si="206"/>
        <v>295.86019897822757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-4.5224624045658861E-14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388.52230330563884</v>
      </c>
      <c r="CE201" s="62">
        <f t="shared" si="207"/>
        <v>418.94833960687333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-4.1677594708744434E-14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362.38131866207266</v>
      </c>
      <c r="CZ201" s="62">
        <f t="shared" si="208"/>
        <v>390.74498763200336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8.5265128291212022E-14</v>
      </c>
      <c r="DP201" s="18">
        <f>DO201*VLOOKUP('Données projet'!$B$14,Paramètres!$A$1:$I$89,3,0)*VLOOKUP('Données projet'!$B$14,Paramètres!$A$1:$I$89,5,0)</f>
        <v>7.4487616075202836E-14</v>
      </c>
      <c r="DQ201" s="14">
        <f t="shared" si="176"/>
        <v>1.1580453144473142E-12</v>
      </c>
      <c r="DR201" s="22">
        <f t="shared" si="177"/>
        <v>2.1466615206600508E-12</v>
      </c>
      <c r="DS201" s="62">
        <f t="shared" si="197"/>
        <v>291.18331421027523</v>
      </c>
      <c r="DT201" s="62">
        <f ca="1">AVERAGE(OFFSET($DS$3,0,0,'Données projet'!$E$14+1,1))-AVERAGE(OFFSET($H$3,0,0,'Données projet'!$E$14+1,1))</f>
        <v>334.4692012109935</v>
      </c>
      <c r="DU201" s="62">
        <f t="shared" si="209"/>
        <v>316.360405424036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-1.9065282685915009E-13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390.09289316045653</v>
      </c>
      <c r="EP201" s="62">
        <f t="shared" si="210"/>
        <v>364.34913542817617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6.999818091095994E-2</v>
      </c>
      <c r="EX201" s="23">
        <f>EXP(-LN(2)/2)*EX200+(1-EXP(-LN(2)/2))/(LN(2)/2)*ER201*EU201*VLOOKUP('Données projet'!$B$15,Paramètres!$A$1:$I$89,3,0)*0.475*44/12</f>
        <v>4.6438146587094028E-25</v>
      </c>
      <c r="EY201" s="24">
        <f t="shared" si="181"/>
        <v>6.999818091095994E-2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4.5474735088646412E-13</v>
      </c>
      <c r="FF201" s="18">
        <f>FE201*VLOOKUP('Données projet'!$B$16,Paramètres!$A$1:$I$89,3,0)*VLOOKUP('Données projet'!$B$16,Paramètres!$A$1:$I$89,5,0)</f>
        <v>2.1282176021486519E-13</v>
      </c>
      <c r="FG201" s="14">
        <f t="shared" si="182"/>
        <v>2.9281075858910828E-12</v>
      </c>
      <c r="FH201" s="22">
        <f t="shared" si="183"/>
        <v>5.4704519444678596E-12</v>
      </c>
      <c r="FI201" s="62">
        <f t="shared" si="199"/>
        <v>291.18331421027852</v>
      </c>
      <c r="FJ201" s="62">
        <f ca="1">AVERAGE(OFFSET($FI$3,0,0,'Données projet'!$E$16+1,1))-AVERAGE(OFFSET($H$3,0,0,'Données projet'!$E$16+1,1))</f>
        <v>344.55118007058775</v>
      </c>
      <c r="FK201" s="62">
        <f t="shared" si="211"/>
        <v>144.16931602355001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252.60122125520482</v>
      </c>
      <c r="GF201" s="62">
        <f t="shared" si="212"/>
        <v>357.56833754121317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9.7661812395851103E-2</v>
      </c>
      <c r="GN201" s="23">
        <f>EXP(-LN(2)/2)*GN200+(1-EXP(-LN(2)/2))/(LN(2)/2)*GH201*GK201*VLOOKUP('Données projet'!$B$17,Paramètres!$A$1:$I$89,3,0)*0.475*44/12</f>
        <v>8.5400297173902097E-25</v>
      </c>
      <c r="GO201" s="23">
        <f t="shared" si="187"/>
        <v>9.7661812395851103E-2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-9.2222762759774927E-14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268.57152522489537</v>
      </c>
      <c r="HA201" s="62">
        <f t="shared" si="213"/>
        <v>311.80303557283207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3.75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13.75</v>
      </c>
      <c r="H202" s="70">
        <f t="shared" si="192"/>
        <v>201.66666666666666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-4.6288732846733184E-13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461.02780119093666</v>
      </c>
      <c r="T202" s="62">
        <f t="shared" si="204"/>
        <v>245.70016468438834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-4.3096406443510209E-13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434.22500776975596</v>
      </c>
      <c r="AO202" s="62">
        <f t="shared" si="205"/>
        <v>232.59777933076705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-1.0818439477588981E-13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393.3005580838161</v>
      </c>
      <c r="BJ202" s="62">
        <f t="shared" si="206"/>
        <v>295.86019897822757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-4.5224624045658861E-14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388.52230330563884</v>
      </c>
      <c r="CE202" s="62">
        <f t="shared" si="207"/>
        <v>418.94833960687333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-4.1677594708744434E-14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362.38131866207266</v>
      </c>
      <c r="CZ202" s="62">
        <f t="shared" si="208"/>
        <v>390.74498763200336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8.5265128291212022E-14</v>
      </c>
      <c r="DP202" s="18">
        <f>DO202*VLOOKUP('Données projet'!$B$14,Paramètres!$A$1:$I$89,3,0)*VLOOKUP('Données projet'!$B$14,Paramètres!$A$1:$I$89,5,0)</f>
        <v>7.4487616075202836E-14</v>
      </c>
      <c r="DQ202" s="14">
        <f t="shared" si="176"/>
        <v>1.1580453144473142E-12</v>
      </c>
      <c r="DR202" s="22">
        <f t="shared" si="177"/>
        <v>2.1466615206600508E-12</v>
      </c>
      <c r="DS202" s="62">
        <f t="shared" si="197"/>
        <v>291.22061223533757</v>
      </c>
      <c r="DT202" s="62">
        <f ca="1">AVERAGE(OFFSET($DS$3,0,0,'Données projet'!$E$14+1,1))-AVERAGE(OFFSET($H$3,0,0,'Données projet'!$E$14+1,1))</f>
        <v>334.4692012109935</v>
      </c>
      <c r="DU202" s="62">
        <f t="shared" si="209"/>
        <v>316.360405424036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-1.9065282685915009E-13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390.09289316045653</v>
      </c>
      <c r="EP202" s="62">
        <f t="shared" si="210"/>
        <v>364.34913542817617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6.8084076972905389E-2</v>
      </c>
      <c r="EX202" s="23">
        <f>EXP(-LN(2)/2)*EX201+(1-EXP(-LN(2)/2))/(LN(2)/2)*ER202*EU202*VLOOKUP('Données projet'!$B$15,Paramètres!$A$1:$I$89,3,0)*0.475*44/12</f>
        <v>3.2836728357469116E-25</v>
      </c>
      <c r="EY202" s="24">
        <f t="shared" si="181"/>
        <v>6.8084076972905389E-2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4.5474735088646412E-13</v>
      </c>
      <c r="FF202" s="18">
        <f>FE202*VLOOKUP('Données projet'!$B$16,Paramètres!$A$1:$I$89,3,0)*VLOOKUP('Données projet'!$B$16,Paramètres!$A$1:$I$89,5,0)</f>
        <v>2.1282176021486519E-13</v>
      </c>
      <c r="FG202" s="14">
        <f t="shared" si="182"/>
        <v>2.9281075858910828E-12</v>
      </c>
      <c r="FH202" s="22">
        <f t="shared" si="183"/>
        <v>5.4704519444678596E-12</v>
      </c>
      <c r="FI202" s="62">
        <f t="shared" si="199"/>
        <v>291.22061223534087</v>
      </c>
      <c r="FJ202" s="62">
        <f ca="1">AVERAGE(OFFSET($FI$3,0,0,'Données projet'!$E$16+1,1))-AVERAGE(OFFSET($H$3,0,0,'Données projet'!$E$16+1,1))</f>
        <v>344.55118007058775</v>
      </c>
      <c r="FK202" s="62">
        <f t="shared" si="211"/>
        <v>144.16931602355001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252.60122125520482</v>
      </c>
      <c r="GF202" s="62">
        <f t="shared" si="212"/>
        <v>357.56833754121317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9.4991245000075053E-2</v>
      </c>
      <c r="GN202" s="23">
        <f>EXP(-LN(2)/2)*GN201+(1-EXP(-LN(2)/2))/(LN(2)/2)*GH202*GK202*VLOOKUP('Données projet'!$B$17,Paramètres!$A$1:$I$89,3,0)*0.475*44/12</f>
        <v>6.0387129247012524E-25</v>
      </c>
      <c r="GO202" s="23">
        <f t="shared" si="187"/>
        <v>9.4991245000075053E-2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-9.2222762759774927E-14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268.57152522489537</v>
      </c>
      <c r="HA202" s="62">
        <f t="shared" si="213"/>
        <v>311.80303557283207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3.75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13.75</v>
      </c>
      <c r="H203" s="70">
        <f t="shared" si="192"/>
        <v>201.66666666666666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-4.6288732846733184E-13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461.02780119093666</v>
      </c>
      <c r="T203" s="62">
        <f t="shared" si="204"/>
        <v>245.70016468438834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-4.3096406443510209E-13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434.22500776975596</v>
      </c>
      <c r="AO203" s="62">
        <f t="shared" si="205"/>
        <v>232.59777933076705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-1.0818439477588981E-13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393.3005580838161</v>
      </c>
      <c r="BJ203" s="62">
        <f t="shared" si="206"/>
        <v>295.86019897822757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-4.5224624045658861E-14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388.52230330563884</v>
      </c>
      <c r="CE203" s="62">
        <f t="shared" si="207"/>
        <v>418.94833960687333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-4.1677594708744434E-14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362.38131866207266</v>
      </c>
      <c r="CZ203" s="62">
        <f t="shared" si="208"/>
        <v>390.74498763200336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8.5265128291212022E-14</v>
      </c>
      <c r="DP203" s="18">
        <f>DO203*VLOOKUP('Données projet'!$B$14,Paramètres!$A$1:$I$89,3,0)*VLOOKUP('Données projet'!$B$14,Paramètres!$A$1:$I$89,5,0)</f>
        <v>7.4487616075202836E-14</v>
      </c>
      <c r="DQ203" s="14">
        <f t="shared" si="176"/>
        <v>1.1580453144473142E-12</v>
      </c>
      <c r="DR203" s="22">
        <f t="shared" si="177"/>
        <v>2.1466615206600508E-12</v>
      </c>
      <c r="DS203" s="62">
        <f t="shared" si="197"/>
        <v>291.2572632230511</v>
      </c>
      <c r="DT203" s="62">
        <f ca="1">AVERAGE(OFFSET($DS$3,0,0,'Données projet'!$E$14+1,1))-AVERAGE(OFFSET($H$3,0,0,'Données projet'!$E$14+1,1))</f>
        <v>334.4692012109935</v>
      </c>
      <c r="DU203" s="62">
        <f t="shared" si="209"/>
        <v>316.360405424036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-1.9065282685915009E-13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390.09289316045653</v>
      </c>
      <c r="EP203" s="62">
        <f t="shared" si="210"/>
        <v>364.34913542817617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6.622231430769529E-2</v>
      </c>
      <c r="EX203" s="23">
        <f>EXP(-LN(2)/2)*EX202+(1-EXP(-LN(2)/2))/(LN(2)/2)*ER203*EU203*VLOOKUP('Données projet'!$B$15,Paramètres!$A$1:$I$89,3,0)*0.475*44/12</f>
        <v>2.3219073293547014E-25</v>
      </c>
      <c r="EY203" s="24">
        <f t="shared" si="181"/>
        <v>6.622231430769529E-2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4.5474735088646412E-13</v>
      </c>
      <c r="FF203" s="18">
        <f>FE203*VLOOKUP('Données projet'!$B$16,Paramètres!$A$1:$I$89,3,0)*VLOOKUP('Données projet'!$B$16,Paramètres!$A$1:$I$89,5,0)</f>
        <v>2.1282176021486519E-13</v>
      </c>
      <c r="FG203" s="14">
        <f t="shared" si="182"/>
        <v>2.9281075858910828E-12</v>
      </c>
      <c r="FH203" s="22">
        <f t="shared" si="183"/>
        <v>5.4704519444678596E-12</v>
      </c>
      <c r="FI203" s="62">
        <f t="shared" si="199"/>
        <v>291.25726322305439</v>
      </c>
      <c r="FJ203" s="62">
        <f ca="1">AVERAGE(OFFSET($FI$3,0,0,'Données projet'!$E$16+1,1))-AVERAGE(OFFSET($H$3,0,0,'Données projet'!$E$16+1,1))</f>
        <v>344.55118007058775</v>
      </c>
      <c r="FK203" s="62">
        <f t="shared" si="211"/>
        <v>144.16931602355001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252.60122125520482</v>
      </c>
      <c r="GF203" s="62">
        <f t="shared" si="212"/>
        <v>357.56833754121317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9.2393704410175526E-2</v>
      </c>
      <c r="GN203" s="23">
        <f>EXP(-LN(2)/2)*GN202+(1-EXP(-LN(2)/2))/(LN(2)/2)*GH203*GK203*VLOOKUP('Données projet'!$B$17,Paramètres!$A$1:$I$89,3,0)*0.475*44/12</f>
        <v>4.2700148586951049E-25</v>
      </c>
      <c r="GO203" s="23">
        <f t="shared" si="187"/>
        <v>9.2393704410175526E-2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-9.2222762759774927E-14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268.57152522489537</v>
      </c>
      <c r="HA203" s="62">
        <f t="shared" si="213"/>
        <v>311.80303557283207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1.2711106295585217</v>
      </c>
      <c r="BV205" s="88">
        <f>EXP(LN('Données projet'!B114)/'Données projet'!A114)</f>
        <v>1.2721323532877689</v>
      </c>
      <c r="CQ205" s="88">
        <f>EXP(LN('Données projet'!B140)/'Données projet'!A140)</f>
        <v>1.2721323532877689</v>
      </c>
      <c r="DL205" s="88">
        <f>EXP(LN('Données projet'!B166)/'Données projet'!A166)</f>
        <v>1.335141362540313</v>
      </c>
      <c r="EG205" s="88">
        <f>EXP(LN('Données projet'!B192)/'Données projet'!A192)</f>
        <v>1.289976715395158</v>
      </c>
      <c r="FB205" s="88">
        <f>EXP(LN('Données projet'!B218)/'Données projet'!A218)</f>
        <v>1.1609568786681319</v>
      </c>
      <c r="FW205" s="88">
        <f>EXP(LN('Données projet'!B244)/'Données projet'!A244)</f>
        <v>1.2997069632623315</v>
      </c>
      <c r="GR205" s="88">
        <f>EXP(LN('Données projet'!B270)/'Données projet'!A270)</f>
        <v>1.2457309396155174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4" sqref="C14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Q22" sqref="Q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0.85</v>
      </c>
      <c r="C6" s="156">
        <f ca="1">IF(OR('Données projet'!B9="",'Données projet'!C9="",'Données projet'!C9=0%),0,Calculateur!S3)</f>
        <v>461.02780119093666</v>
      </c>
      <c r="D6" s="156">
        <f>IF(OR('Données projet'!B9="",'Données projet'!C9="",'Données projet'!C9=0%),0,Calculateur!T3)</f>
        <v>245.70016468438834</v>
      </c>
      <c r="E6" s="156">
        <f ca="1">MIN(C6,D6)</f>
        <v>245.70016468438834</v>
      </c>
      <c r="F6" s="156">
        <f ca="1">E6*B6</f>
        <v>208.84513998173009</v>
      </c>
      <c r="G6" s="156">
        <f ca="1">F6*(100%-'Données projet'!$C$24)*(100%-'Données projet'!$C$25)*(100%-'Données projet'!$C$26)*(100%-'Données projet'!$C$27)</f>
        <v>187.96062598355709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1.7</v>
      </c>
      <c r="K6" s="160">
        <f>J6*(100%-'Données projet'!$C$24)*(100%-'Données projet'!$C$25)*(100%-'Données projet'!$C$26)*(100%-'Données projet'!$C$27)</f>
        <v>1.53</v>
      </c>
      <c r="L6" s="161">
        <f ca="1">G6+I6+K6</f>
        <v>189.49062598355709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0.85</v>
      </c>
      <c r="C7" s="156">
        <f ca="1">IF(OR('Données projet'!B10="",'Données projet'!C10="",'Données projet'!C10=0%),0,Calculateur!AN3)</f>
        <v>434.22500776975596</v>
      </c>
      <c r="D7" s="156">
        <f>IF(OR('Données projet'!B10="",'Données projet'!C10="",'Données projet'!C10=0%),0,Calculateur!AO3)</f>
        <v>232.59777933076705</v>
      </c>
      <c r="E7" s="156">
        <f t="shared" ref="E7:E15" ca="1" si="0">MIN(C7,D7)</f>
        <v>232.59777933076705</v>
      </c>
      <c r="F7" s="156">
        <f t="shared" ref="F7:F15" ca="1" si="1">E7*B7</f>
        <v>197.70811243115199</v>
      </c>
      <c r="G7" s="156">
        <f ca="1">F7*(100%-'Données projet'!$C$24)*(100%-'Données projet'!$C$25)*(100%-'Données projet'!$C$26)*(100%-'Données projet'!$C$27)</f>
        <v>177.9373011880368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1.7</v>
      </c>
      <c r="K7" s="160">
        <f>J7*(100%-'Données projet'!$C$24)*(100%-'Données projet'!$C$25)*(100%-'Données projet'!$C$26)*(100%-'Données projet'!$C$27)</f>
        <v>1.53</v>
      </c>
      <c r="L7" s="161">
        <f t="shared" ref="L7:L15" ca="1" si="2">G7+I7+K7</f>
        <v>179.4673011880368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Charme</v>
      </c>
      <c r="B8" s="163">
        <f>'Données projet'!D11</f>
        <v>0.7248</v>
      </c>
      <c r="C8" s="156">
        <f ca="1">IF(OR('Données projet'!B11="",'Données projet'!C11="",'Données projet'!C11=0%),0,Calculateur!BI3)</f>
        <v>393.3005580838161</v>
      </c>
      <c r="D8" s="156">
        <f>IF(OR('Données projet'!B11="",'Données projet'!C11="",'Données projet'!C11=0%),0,Calculateur!BJ3)</f>
        <v>295.86019897822757</v>
      </c>
      <c r="E8" s="156">
        <f t="shared" ca="1" si="0"/>
        <v>295.86019897822757</v>
      </c>
      <c r="F8" s="156">
        <f t="shared" ca="1" si="1"/>
        <v>214.43947221941934</v>
      </c>
      <c r="G8" s="156">
        <f ca="1">F8*(100%-'Données projet'!$C$24)*(100%-'Données projet'!$C$25)*(100%-'Données projet'!$C$26)*(100%-'Données projet'!$C$27)</f>
        <v>192.99552499747742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7.6661538461538461</v>
      </c>
      <c r="K8" s="160">
        <f>J8*(100%-'Données projet'!$C$24)*(100%-'Données projet'!$C$25)*(100%-'Données projet'!$C$26)*(100%-'Données projet'!$C$27)</f>
        <v>6.8995384615384614</v>
      </c>
      <c r="L8" s="161">
        <f t="shared" ca="1" si="2"/>
        <v>199.89506345901589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sycomore</v>
      </c>
      <c r="B9" s="163">
        <f>'Données projet'!D12</f>
        <v>0.3</v>
      </c>
      <c r="C9" s="156">
        <f ca="1">IF(OR('Données projet'!B12="",'Données projet'!C12="",'Données projet'!C12=0%),0,Calculateur!CD3)</f>
        <v>388.52230330563884</v>
      </c>
      <c r="D9" s="156">
        <f>IF(OR('Données projet'!B12="",'Données projet'!C12="",'Données projet'!C12=0%),0,Calculateur!CE3)</f>
        <v>418.94833960687333</v>
      </c>
      <c r="E9" s="156">
        <f t="shared" ca="1" si="0"/>
        <v>388.52230330563884</v>
      </c>
      <c r="F9" s="156">
        <f t="shared" ca="1" si="1"/>
        <v>116.55669099169165</v>
      </c>
      <c r="G9" s="156">
        <f ca="1">F9*(100%-'Données projet'!$C$24)*(100%-'Données projet'!$C$25)*(100%-'Données projet'!$C$26)*(100%-'Données projet'!$C$27)</f>
        <v>104.90102189252249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10.237499999999999</v>
      </c>
      <c r="K9" s="160">
        <f>J9*(100%-'Données projet'!$C$24)*(100%-'Données projet'!$C$25)*(100%-'Données projet'!$C$26)*(100%-'Données projet'!$C$27)</f>
        <v>9.2137499999999992</v>
      </c>
      <c r="L9" s="161">
        <f t="shared" ca="1" si="2"/>
        <v>114.1147718925225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0.3</v>
      </c>
      <c r="C10" s="156">
        <f ca="1">IF(OR('Données projet'!B13="",'Données projet'!C13="",'Données projet'!C13=0%),0,Calculateur!CY3)</f>
        <v>362.38131866207266</v>
      </c>
      <c r="D10" s="156">
        <f>IF(OR('Données projet'!B13="",'Données projet'!C13="",'Données projet'!C13=0%),0,Calculateur!CZ3)</f>
        <v>390.74498763200336</v>
      </c>
      <c r="E10" s="156">
        <f t="shared" ca="1" si="0"/>
        <v>362.38131866207266</v>
      </c>
      <c r="F10" s="156">
        <f t="shared" ca="1" si="1"/>
        <v>108.71439559862179</v>
      </c>
      <c r="G10" s="156">
        <f ca="1">F10*(100%-'Données projet'!$C$24)*(100%-'Données projet'!$C$25)*(100%-'Données projet'!$C$26)*(100%-'Données projet'!$C$27)</f>
        <v>97.84295603875961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10.237499999999999</v>
      </c>
      <c r="K10" s="160">
        <f>J10*(100%-'Données projet'!$C$24)*(100%-'Données projet'!$C$25)*(100%-'Données projet'!$C$26)*(100%-'Données projet'!$C$27)</f>
        <v>9.2137499999999992</v>
      </c>
      <c r="L10" s="161">
        <f t="shared" ca="1" si="2"/>
        <v>107.05670603875961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rouge d'Amérique</v>
      </c>
      <c r="B11" s="163">
        <f>'Données projet'!D14</f>
        <v>0.25</v>
      </c>
      <c r="C11" s="156">
        <f ca="1">IF(OR('Données projet'!B14="",'Données projet'!C14="",'Données projet'!C14=0%),0,Calculateur!DT3)</f>
        <v>334.4692012109935</v>
      </c>
      <c r="D11" s="156">
        <f>IF(OR('Données projet'!B14="",'Données projet'!C14="",'Données projet'!C14=0%),0,Calculateur!DU3)</f>
        <v>316.360405424036</v>
      </c>
      <c r="E11" s="156">
        <f t="shared" ca="1" si="0"/>
        <v>316.360405424036</v>
      </c>
      <c r="F11" s="156">
        <f t="shared" ca="1" si="1"/>
        <v>79.090101356009001</v>
      </c>
      <c r="G11" s="156">
        <f ca="1">F11*(100%-'Données projet'!$C$24)*(100%-'Données projet'!$C$25)*(100%-'Données projet'!$C$26)*(100%-'Données projet'!$C$27)</f>
        <v>71.181091220408106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4.25</v>
      </c>
      <c r="K11" s="160">
        <f>J11*(100%-'Données projet'!$C$24)*(100%-'Données projet'!$C$25)*(100%-'Données projet'!$C$26)*(100%-'Données projet'!$C$27)</f>
        <v>3.8250000000000002</v>
      </c>
      <c r="L11" s="161">
        <f t="shared" ca="1" si="2"/>
        <v>75.006091220408109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Douglas</v>
      </c>
      <c r="B12" s="163">
        <f>'Données projet'!D15</f>
        <v>0.2</v>
      </c>
      <c r="C12" s="156">
        <f ca="1">IF(OR('Données projet'!B15="",'Données projet'!C15="",'Données projet'!C15=0%),0,Calculateur!EO3)</f>
        <v>390.09289316045653</v>
      </c>
      <c r="D12" s="156">
        <f>IF(OR('Données projet'!B15="",'Données projet'!C15="",'Données projet'!C15=0%),0,Calculateur!EP3)</f>
        <v>364.34913542817617</v>
      </c>
      <c r="E12" s="156">
        <f t="shared" ca="1" si="0"/>
        <v>364.34913542817617</v>
      </c>
      <c r="F12" s="156">
        <f t="shared" ca="1" si="1"/>
        <v>72.869827085635237</v>
      </c>
      <c r="G12" s="156">
        <f ca="1">F12*(100%-'Données projet'!$C$24)*(100%-'Données projet'!$C$25)*(100%-'Données projet'!$C$26)*(100%-'Données projet'!$C$27)</f>
        <v>65.582844377071709</v>
      </c>
      <c r="H12" s="164">
        <f>IF(OR('Données projet'!B15="",'Données projet'!C15="",'Données projet'!C15=0%),0,AVERAGE(Calculateur!$EY$3:$EY$33)*B12)</f>
        <v>0.80302297972201542</v>
      </c>
      <c r="I12" s="158">
        <f>H12*(100%-'Données projet'!$C$24)*(100%-'Données projet'!$C$25)*(100%-'Données projet'!$C$26)*(100%-'Données projet'!$C$27)</f>
        <v>0.72272068174981385</v>
      </c>
      <c r="J12" s="159">
        <f>IF(OR('Données projet'!B15="",'Données projet'!C15="",'Données projet'!C15=0%),0,SUM(Calculateur!$ER$3:$ER$33)*VLOOKUP('Données projet'!$B$15,Paramètres!$A$1:$I$89,9,0)*B12)</f>
        <v>10.922000000000001</v>
      </c>
      <c r="K12" s="160">
        <f>J12*(100%-'Données projet'!$C$24)*(100%-'Données projet'!$C$25)*(100%-'Données projet'!$C$26)*(100%-'Données projet'!$C$27)</f>
        <v>9.8298000000000005</v>
      </c>
      <c r="L12" s="161">
        <f t="shared" ca="1" si="2"/>
        <v>76.135365058821534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Cèdre de l'Atlas</v>
      </c>
      <c r="B13" s="163">
        <f>'Données projet'!D16</f>
        <v>0.2</v>
      </c>
      <c r="C13" s="156">
        <f ca="1">IF(OR('Données projet'!B16="",'Données projet'!C16="",'Données projet'!C16=0%),0,Calculateur!FJ3)</f>
        <v>344.55118007058775</v>
      </c>
      <c r="D13" s="156">
        <f>IF(OR('Données projet'!B16="",'Données projet'!C16="",'Données projet'!C16=0%),0,Calculateur!FK3)</f>
        <v>144.16931602355001</v>
      </c>
      <c r="E13" s="156">
        <f t="shared" ca="1" si="0"/>
        <v>144.16931602355001</v>
      </c>
      <c r="F13" s="156">
        <f t="shared" ca="1" si="1"/>
        <v>28.833863204710003</v>
      </c>
      <c r="G13" s="156">
        <f ca="1">F13*(100%-'Données projet'!$C$24)*(100%-'Données projet'!$C$25)*(100%-'Données projet'!$C$26)*(100%-'Données projet'!$C$27)</f>
        <v>25.950476884239002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25.950476884239002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Mélèze d'Europe</v>
      </c>
      <c r="B14" s="163">
        <f>'Données projet'!D17</f>
        <v>0.2</v>
      </c>
      <c r="C14" s="156">
        <f ca="1">IF(OR('Données projet'!B17="",'Données projet'!C17="",'Données projet'!C17=0%),0,Calculateur!GE3)</f>
        <v>252.60122125520482</v>
      </c>
      <c r="D14" s="156">
        <f>IF(OR('Données projet'!B17="",'Données projet'!C17="",'Données projet'!C17=0%),0,Calculateur!GF3)</f>
        <v>357.56833754121317</v>
      </c>
      <c r="E14" s="156">
        <f t="shared" ca="1" si="0"/>
        <v>252.60122125520482</v>
      </c>
      <c r="F14" s="156">
        <f t="shared" ca="1" si="1"/>
        <v>50.520244251040964</v>
      </c>
      <c r="G14" s="156">
        <f ca="1">F14*(100%-'Données projet'!$C$24)*(100%-'Données projet'!$C$25)*(100%-'Données projet'!$C$26)*(100%-'Données projet'!$C$27)</f>
        <v>45.46821982593687</v>
      </c>
      <c r="H14" s="164">
        <f>IF(OR('Données projet'!B17="",'Données projet'!C17="",'Données projet'!C17=0%),0,AVERAGE(Calculateur!$GO$3:$GO$33)*B14)</f>
        <v>0.78126792903094355</v>
      </c>
      <c r="I14" s="158">
        <f>H14*(100%-'Données projet'!$C$24)*(100%-'Données projet'!$C$25)*(100%-'Données projet'!$C$26)*(100%-'Données projet'!$C$27)</f>
        <v>0.70314113612784923</v>
      </c>
      <c r="J14" s="159">
        <f>IF(OR('Données projet'!B17="",'Données projet'!C17="",'Données projet'!C17=0%),0,SUM(Calculateur!$GH$3:$GH$33)*VLOOKUP('Données projet'!$B$17,Paramètres!$A$1:$I$89,9,0)*B14)</f>
        <v>11.008000000000001</v>
      </c>
      <c r="K14" s="160">
        <f>J14*(100%-'Données projet'!$C$24)*(100%-'Données projet'!$C$25)*(100%-'Données projet'!$C$26)*(100%-'Données projet'!$C$27)</f>
        <v>9.9072000000000013</v>
      </c>
      <c r="L14" s="161">
        <f t="shared" ca="1" si="2"/>
        <v>56.078560962064721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Bouleau verruqueux</v>
      </c>
      <c r="B15" s="166">
        <f>'Données projet'!D18</f>
        <v>0.12520000000000001</v>
      </c>
      <c r="C15" s="167">
        <f ca="1">IF(OR('Données projet'!B18="",'Données projet'!C18="",'Données projet'!C18=0%),0,Calculateur!GZ3)</f>
        <v>268.57152522489537</v>
      </c>
      <c r="D15" s="167">
        <f>IF(OR('Données projet'!B18="",'Données projet'!C18="",'Données projet'!C18=0%),0,Calculateur!HA3)</f>
        <v>311.80303557283207</v>
      </c>
      <c r="E15" s="167">
        <f t="shared" ca="1" si="0"/>
        <v>268.57152522489537</v>
      </c>
      <c r="F15" s="168">
        <f t="shared" ca="1" si="1"/>
        <v>33.625154958156898</v>
      </c>
      <c r="G15" s="168">
        <f ca="1">F15*(100%-'Données projet'!$C$24)*(100%-'Données projet'!$C$25)*(100%-'Données projet'!$C$26)*(100%-'Données projet'!$C$27)</f>
        <v>30.262639462341209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1.252</v>
      </c>
      <c r="K15" s="172">
        <f>J15*(100%-'Données projet'!$C$24)*(100%-'Données projet'!$C$25)*(100%-'Données projet'!$C$26)*(100%-'Données projet'!$C$27)</f>
        <v>1.1268</v>
      </c>
      <c r="L15" s="173">
        <f t="shared" ca="1" si="2"/>
        <v>31.389439462341208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1111.2030020781669</v>
      </c>
      <c r="G16" s="175">
        <f t="shared" ca="1" si="3"/>
        <v>1000.0827018703504</v>
      </c>
      <c r="H16" s="176">
        <f t="shared" si="3"/>
        <v>1.5842909087529589</v>
      </c>
      <c r="I16" s="176">
        <f t="shared" si="3"/>
        <v>1.4258618178776632</v>
      </c>
      <c r="J16" s="177">
        <f t="shared" si="3"/>
        <v>58.973153846153849</v>
      </c>
      <c r="K16" s="177">
        <f t="shared" si="3"/>
        <v>53.075838461538467</v>
      </c>
      <c r="L16" s="178">
        <f t="shared" ca="1" si="3"/>
        <v>1054.5844021497664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Charme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Douglas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Cèdre de l'Atlas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Mélèze d'Europe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Bouleau verruqueux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G7" zoomScale="90" zoomScaleNormal="90" workbookViewId="0">
      <selection activeCell="H21" sqref="H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607.23340659864175</v>
      </c>
      <c r="U10" s="190">
        <f>'Données projet'!D9</f>
        <v>0.85</v>
      </c>
      <c r="V10" s="189">
        <f>U10*T10</f>
        <v>516.14839560884548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580.6149588644073</v>
      </c>
      <c r="U11" s="190">
        <f>'Données projet'!D10</f>
        <v>0.85</v>
      </c>
      <c r="V11" s="189">
        <f t="shared" ref="V11" si="0">U11*T11</f>
        <v>493.52271503474617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Charme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477.36304590841013</v>
      </c>
      <c r="U12" s="190">
        <f>'Données projet'!D11</f>
        <v>0.7248</v>
      </c>
      <c r="V12" s="189">
        <f t="shared" ref="V12:V19" si="1">U12*T12</f>
        <v>345.99273567441566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2483.1810386718594</v>
      </c>
      <c r="U13" s="190">
        <f>'Données projet'!D12</f>
        <v>0.3</v>
      </c>
      <c r="V13" s="189">
        <f t="shared" si="1"/>
        <v>744.95431160155783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2483.1810386718594</v>
      </c>
      <c r="U14" s="190">
        <f>'Données projet'!D13</f>
        <v>0.3</v>
      </c>
      <c r="V14" s="189">
        <f t="shared" si="1"/>
        <v>744.95431160155783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rouge d'Amérique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993.96381950322132</v>
      </c>
      <c r="U15" s="190">
        <f>'Données projet'!D14</f>
        <v>0.25</v>
      </c>
      <c r="V15" s="189">
        <f t="shared" si="1"/>
        <v>248.49095487580533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>Douglas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4833.8133563729625</v>
      </c>
      <c r="U16" s="190">
        <f>'Données projet'!D15</f>
        <v>0.2</v>
      </c>
      <c r="V16" s="189">
        <f t="shared" si="1"/>
        <v>966.76267127459255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Cèdre de l'Atlas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1749.9811420215747</v>
      </c>
      <c r="U17" s="190">
        <f>'Données projet'!D16</f>
        <v>0.2</v>
      </c>
      <c r="V17" s="189">
        <f t="shared" si="1"/>
        <v>349.99622840431493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Mélèze d'Europe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3982.4838141368582</v>
      </c>
      <c r="U18" s="190">
        <f>'Données projet'!D17</f>
        <v>0.2</v>
      </c>
      <c r="V18" s="189">
        <f t="shared" si="1"/>
        <v>796.49676282737164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>Bouleau verruqueux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976.70760495882212</v>
      </c>
      <c r="U19" s="190">
        <f>'Données projet'!D18</f>
        <v>0.12520000000000001</v>
      </c>
      <c r="V19" s="189">
        <f t="shared" si="1"/>
        <v>122.28379214084454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v>10560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-36910.397120955946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4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15579.375867508199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180</v>
      </c>
      <c r="Q25" s="265"/>
      <c r="R25" s="25"/>
      <c r="S25" s="198" t="s">
        <v>266</v>
      </c>
      <c r="T25" s="335">
        <f ca="1">T23-T24</f>
        <v>-52489.772988464145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42</v>
      </c>
      <c r="C26" s="204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4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42</v>
      </c>
      <c r="C28" s="204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4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42</v>
      </c>
      <c r="C30" s="204">
        <v>20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3894.8439668770498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4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42</v>
      </c>
      <c r="C32" s="204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4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42</v>
      </c>
      <c r="C34" s="204">
        <v>40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172.2488038277512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42</v>
      </c>
      <c r="C35" s="204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164.83139122272846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95</v>
      </c>
      <c r="B36" s="193">
        <f>'Données projet'!D49</f>
        <v>42</v>
      </c>
      <c r="C36" s="204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157.73338872988367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105</v>
      </c>
      <c r="B37" s="193">
        <f>'Données projet'!D50</f>
        <v>41</v>
      </c>
      <c r="C37" s="204">
        <v>50</v>
      </c>
      <c r="D37" s="194">
        <f t="shared" si="2"/>
        <v>2050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150.94104184677869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115</v>
      </c>
      <c r="B38" s="193">
        <f>'Données projet'!D51</f>
        <v>37</v>
      </c>
      <c r="C38" s="204">
        <v>70</v>
      </c>
      <c r="D38" s="194">
        <f t="shared" si="2"/>
        <v>2590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144.44118837012314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125</v>
      </c>
      <c r="B39" s="193">
        <f>'Données projet'!D52</f>
        <v>33</v>
      </c>
      <c r="C39" s="204">
        <v>100</v>
      </c>
      <c r="D39" s="194">
        <f t="shared" si="2"/>
        <v>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138.22123289007001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135</v>
      </c>
      <c r="B40" s="193">
        <f>'Données projet'!D53</f>
        <v>29</v>
      </c>
      <c r="C40" s="204">
        <v>120</v>
      </c>
      <c r="D40" s="194">
        <f t="shared" si="2"/>
        <v>3480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132.26912238284211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145</v>
      </c>
      <c r="B41" s="193">
        <f>'Données projet'!D54</f>
        <v>0</v>
      </c>
      <c r="C41" s="204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126.57332285439441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306</v>
      </c>
      <c r="C42" s="204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121.12279698985112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115.90698276540779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110.91577298125148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106.13949567583876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101.56889538357775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97.195115199595961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93.009679616838227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89.00447810223757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85.171749380131644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81.504066392470492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77.994321906670336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74.635714743225222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71.42173659638776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4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68.346159422380651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65.403023370699188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42</v>
      </c>
      <c r="C57" s="204">
        <v>10</v>
      </c>
      <c r="D57" s="191">
        <f t="shared" si="4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62.586625235118852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59.891507402027614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42</v>
      </c>
      <c r="C59" s="204">
        <v>10</v>
      </c>
      <c r="D59" s="191">
        <f t="shared" si="4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57.312447274667591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54.84444715279195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42</v>
      </c>
      <c r="C61" s="204">
        <v>20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52.482724548126285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50.222702916867249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42</v>
      </c>
      <c r="C63" s="204">
        <v>30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48.060002791260544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45.990433293072279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42</v>
      </c>
      <c r="C65" s="204">
        <v>40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44.009984012509385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42</v>
      </c>
      <c r="C66" s="204">
        <v>50</v>
      </c>
      <c r="D66" s="191">
        <f t="shared" si="4"/>
        <v>2100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42.114817236851088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95</v>
      </c>
      <c r="B67" s="193">
        <f>'Données projet'!D75</f>
        <v>42</v>
      </c>
      <c r="C67" s="204">
        <v>50</v>
      </c>
      <c r="D67" s="191">
        <f t="shared" si="4"/>
        <v>2100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40.301260513733105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105</v>
      </c>
      <c r="B68" s="193">
        <f>'Données projet'!D76</f>
        <v>41</v>
      </c>
      <c r="C68" s="204">
        <v>50</v>
      </c>
      <c r="D68" s="191">
        <f t="shared" si="4"/>
        <v>2050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38.565799534672827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115</v>
      </c>
      <c r="B69" s="193">
        <f>'Données projet'!D77</f>
        <v>37</v>
      </c>
      <c r="C69" s="204">
        <v>70</v>
      </c>
      <c r="D69" s="191">
        <f t="shared" si="4"/>
        <v>2590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36.905071325045775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125</v>
      </c>
      <c r="B70" s="193">
        <f>'Données projet'!D78</f>
        <v>33</v>
      </c>
      <c r="C70" s="204">
        <v>100</v>
      </c>
      <c r="D70" s="191">
        <f t="shared" si="4"/>
        <v>3300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35.315857727316533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135</v>
      </c>
      <c r="B71" s="193">
        <f>'Données projet'!D79</f>
        <v>29</v>
      </c>
      <c r="C71" s="204">
        <v>120</v>
      </c>
      <c r="D71" s="191">
        <f t="shared" si="4"/>
        <v>3480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33.795079164896208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145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32.339788674541829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306</v>
      </c>
      <c r="C73" s="204">
        <v>200</v>
      </c>
      <c r="D73" s="191">
        <f t="shared" si="4"/>
        <v>61200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30.947166195733814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29.614513105965376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28.339246991354429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Charme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27.11889664244443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25.951097265497065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24.833585899997193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23.764197033490142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22.740858405253721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21.761586990673429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20.824485158539165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19.927736993817387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19.069604778772618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18.248425625619735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16.666666666666668</v>
      </c>
      <c r="C86" s="204">
        <v>10</v>
      </c>
      <c r="D86" s="191">
        <f t="shared" ref="D86:D104" si="6">B86*C86</f>
        <v>166.66666666666669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17.462608254181564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16.710629908307723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25.641025641025639</v>
      </c>
      <c r="C88" s="204">
        <v>10</v>
      </c>
      <c r="D88" s="191">
        <f t="shared" si="6"/>
        <v>256.41025641025641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15.991033405079159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15.302424311080539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28.846153846153847</v>
      </c>
      <c r="C90" s="204">
        <v>15</v>
      </c>
      <c r="D90" s="191">
        <f t="shared" si="6"/>
        <v>432.69230769230768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14.64346824026846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14.012888268199486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30.769230769230766</v>
      </c>
      <c r="C92" s="204">
        <v>15</v>
      </c>
      <c r="D92" s="191">
        <f t="shared" si="6"/>
        <v>461.53846153846149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13.409462457607164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12.832021490533172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29.487179487179485</v>
      </c>
      <c r="C94" s="204">
        <v>20</v>
      </c>
      <c r="D94" s="191">
        <f t="shared" si="6"/>
        <v>589.74358974358972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28.846153846153847</v>
      </c>
      <c r="C96" s="204">
        <v>25</v>
      </c>
      <c r="D96" s="191">
        <f t="shared" si="6"/>
        <v>721.15384615384619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27.564102564102562</v>
      </c>
      <c r="C98" s="204">
        <v>30</v>
      </c>
      <c r="D98" s="191">
        <f t="shared" si="6"/>
        <v>826.92307692307691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85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90</v>
      </c>
      <c r="B100" s="193">
        <f>'Données projet'!D103</f>
        <v>25.641025641025639</v>
      </c>
      <c r="C100" s="204">
        <v>35</v>
      </c>
      <c r="D100" s="191">
        <f t="shared" si="6"/>
        <v>897.43589743589735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95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100</v>
      </c>
      <c r="B102" s="193">
        <f>'Données projet'!D105</f>
        <v>23.717948717948715</v>
      </c>
      <c r="C102" s="204">
        <v>40</v>
      </c>
      <c r="D102" s="191">
        <f t="shared" si="6"/>
        <v>948.71794871794862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282.05128205128204</v>
      </c>
      <c r="C104" s="204">
        <v>60</v>
      </c>
      <c r="D104" s="191">
        <f t="shared" si="6"/>
        <v>16923.076923076922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66.5</v>
      </c>
      <c r="C118" s="206">
        <v>10</v>
      </c>
      <c r="D118" s="191">
        <f t="shared" si="8"/>
        <v>665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0</v>
      </c>
      <c r="C119" s="206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70</v>
      </c>
      <c r="C120" s="206">
        <v>20</v>
      </c>
      <c r="D120" s="191">
        <f t="shared" si="8"/>
        <v>1400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0</v>
      </c>
      <c r="C121" s="206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70</v>
      </c>
      <c r="C122" s="206">
        <v>25</v>
      </c>
      <c r="D122" s="191">
        <f t="shared" si="8"/>
        <v>1750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0</v>
      </c>
      <c r="C123" s="206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43.099999999999994</v>
      </c>
      <c r="C124" s="206">
        <v>30</v>
      </c>
      <c r="D124" s="191">
        <f t="shared" si="8"/>
        <v>1292.9999999999998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0</v>
      </c>
      <c r="C125" s="206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30.2</v>
      </c>
      <c r="C126" s="206">
        <v>50</v>
      </c>
      <c r="D126" s="191">
        <f t="shared" si="8"/>
        <v>1510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0</v>
      </c>
      <c r="C127" s="206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25.9</v>
      </c>
      <c r="C128" s="206">
        <v>60</v>
      </c>
      <c r="D128" s="191">
        <f t="shared" si="8"/>
        <v>1554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0</v>
      </c>
      <c r="C129" s="206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341.3</v>
      </c>
      <c r="C130" s="206">
        <v>120</v>
      </c>
      <c r="D130" s="191">
        <f t="shared" si="8"/>
        <v>40956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66.5</v>
      </c>
      <c r="C149" s="206">
        <v>10</v>
      </c>
      <c r="D149" s="194">
        <f t="shared" si="10"/>
        <v>665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0</v>
      </c>
      <c r="C150" s="206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70</v>
      </c>
      <c r="C151" s="206">
        <v>20</v>
      </c>
      <c r="D151" s="194">
        <f t="shared" si="10"/>
        <v>1400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0</v>
      </c>
      <c r="C152" s="206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70</v>
      </c>
      <c r="C153" s="206">
        <v>25</v>
      </c>
      <c r="D153" s="194">
        <f t="shared" si="10"/>
        <v>1750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0</v>
      </c>
      <c r="C154" s="206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43.099999999999994</v>
      </c>
      <c r="C155" s="206">
        <v>30</v>
      </c>
      <c r="D155" s="194">
        <f t="shared" si="10"/>
        <v>1292.9999999999998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0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30.2</v>
      </c>
      <c r="C157" s="206">
        <v>50</v>
      </c>
      <c r="D157" s="194">
        <f t="shared" si="10"/>
        <v>1510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0</v>
      </c>
      <c r="C158" s="206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25.9</v>
      </c>
      <c r="C159" s="206">
        <v>60</v>
      </c>
      <c r="D159" s="194">
        <f t="shared" si="10"/>
        <v>1554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0</v>
      </c>
      <c r="C160" s="206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341.3</v>
      </c>
      <c r="C161" s="206">
        <v>120</v>
      </c>
      <c r="D161" s="194">
        <f t="shared" si="10"/>
        <v>40956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rouge d'Amérique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29</v>
      </c>
      <c r="C180" s="204">
        <v>10</v>
      </c>
      <c r="D180" s="191">
        <f t="shared" si="11"/>
        <v>290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39</v>
      </c>
      <c r="C182" s="204">
        <v>15</v>
      </c>
      <c r="D182" s="191">
        <f t="shared" si="11"/>
        <v>585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40</v>
      </c>
      <c r="C184" s="204">
        <v>15</v>
      </c>
      <c r="D184" s="191">
        <f t="shared" si="11"/>
        <v>600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37</v>
      </c>
      <c r="C186" s="204">
        <v>20</v>
      </c>
      <c r="D186" s="191">
        <f t="shared" si="11"/>
        <v>740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33</v>
      </c>
      <c r="C188" s="204">
        <v>30</v>
      </c>
      <c r="D188" s="191">
        <f t="shared" si="11"/>
        <v>990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29</v>
      </c>
      <c r="C190" s="204">
        <v>40</v>
      </c>
      <c r="D190" s="191">
        <f t="shared" si="11"/>
        <v>1160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23</v>
      </c>
      <c r="C192" s="204">
        <v>50</v>
      </c>
      <c r="D192" s="191">
        <f t="shared" si="11"/>
        <v>1150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85</v>
      </c>
      <c r="B193" s="193">
        <f>'Données projet'!D181</f>
        <v>0</v>
      </c>
      <c r="C193" s="204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90</v>
      </c>
      <c r="B194" s="193">
        <f>'Données projet'!D182</f>
        <v>20</v>
      </c>
      <c r="C194" s="204">
        <v>80</v>
      </c>
      <c r="D194" s="191">
        <f t="shared" si="11"/>
        <v>1600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95</v>
      </c>
      <c r="B195" s="193">
        <f>'Données projet'!D183</f>
        <v>0</v>
      </c>
      <c r="C195" s="204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100</v>
      </c>
      <c r="B196" s="193">
        <f>'Données projet'!D184</f>
        <v>234</v>
      </c>
      <c r="C196" s="204">
        <v>120</v>
      </c>
      <c r="D196" s="191">
        <f t="shared" si="11"/>
        <v>28080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Douglas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21</v>
      </c>
      <c r="B209" s="193">
        <f>'Données projet'!D192</f>
        <v>63</v>
      </c>
      <c r="C209" s="206">
        <v>15</v>
      </c>
      <c r="D209" s="191">
        <f>B209*C209</f>
        <v>945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28</v>
      </c>
      <c r="B210" s="193">
        <f>'Données projet'!D193</f>
        <v>64</v>
      </c>
      <c r="C210" s="206">
        <v>20</v>
      </c>
      <c r="D210" s="191">
        <f t="shared" ref="D210:D228" si="12">B210*C210</f>
        <v>1280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35</v>
      </c>
      <c r="B211" s="193">
        <f>'Données projet'!D194</f>
        <v>73</v>
      </c>
      <c r="C211" s="206">
        <v>25</v>
      </c>
      <c r="D211" s="191">
        <f t="shared" si="12"/>
        <v>1825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42</v>
      </c>
      <c r="B212" s="193">
        <f>'Données projet'!D195</f>
        <v>77</v>
      </c>
      <c r="C212" s="206">
        <v>35</v>
      </c>
      <c r="D212" s="191">
        <f t="shared" si="12"/>
        <v>2695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49</v>
      </c>
      <c r="B213" s="193">
        <f>'Données projet'!D196</f>
        <v>80</v>
      </c>
      <c r="C213" s="206">
        <v>40</v>
      </c>
      <c r="D213" s="191">
        <f t="shared" si="12"/>
        <v>3200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56</v>
      </c>
      <c r="B214" s="193">
        <f>'Données projet'!D197</f>
        <v>85</v>
      </c>
      <c r="C214" s="206">
        <v>50</v>
      </c>
      <c r="D214" s="191">
        <f t="shared" si="12"/>
        <v>4250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63</v>
      </c>
      <c r="B215" s="193">
        <f>'Données projet'!D198</f>
        <v>84</v>
      </c>
      <c r="C215" s="206">
        <v>50</v>
      </c>
      <c r="D215" s="191">
        <f t="shared" si="12"/>
        <v>4200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70</v>
      </c>
      <c r="B216" s="193">
        <f>'Données projet'!D199</f>
        <v>551</v>
      </c>
      <c r="C216" s="204">
        <v>90</v>
      </c>
      <c r="D216" s="191">
        <f t="shared" si="12"/>
        <v>49590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Cèdre de l'Atlas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30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40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46</v>
      </c>
      <c r="B242" s="193">
        <f>'Données projet'!D220</f>
        <v>102</v>
      </c>
      <c r="C242" s="206">
        <v>25</v>
      </c>
      <c r="D242" s="191">
        <f t="shared" si="13"/>
        <v>2550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56</v>
      </c>
      <c r="B243" s="193">
        <f>'Données projet'!D221</f>
        <v>91</v>
      </c>
      <c r="C243" s="206">
        <v>25</v>
      </c>
      <c r="D243" s="191">
        <f t="shared" si="13"/>
        <v>2275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66</v>
      </c>
      <c r="B244" s="193">
        <f>'Données projet'!D222</f>
        <v>101</v>
      </c>
      <c r="C244" s="206">
        <v>40</v>
      </c>
      <c r="D244" s="191">
        <f t="shared" si="13"/>
        <v>4040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76</v>
      </c>
      <c r="B245" s="193">
        <f>'Données projet'!D223</f>
        <v>106</v>
      </c>
      <c r="C245" s="206">
        <v>50</v>
      </c>
      <c r="D245" s="191">
        <f t="shared" si="13"/>
        <v>5300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86</v>
      </c>
      <c r="B246" s="193">
        <f>'Données projet'!D224</f>
        <v>108</v>
      </c>
      <c r="C246" s="206">
        <v>60</v>
      </c>
      <c r="D246" s="191">
        <f t="shared" si="13"/>
        <v>6480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95</v>
      </c>
      <c r="B247" s="193">
        <f>'Données projet'!D225</f>
        <v>103</v>
      </c>
      <c r="C247" s="206">
        <v>60</v>
      </c>
      <c r="D247" s="191">
        <f t="shared" si="13"/>
        <v>6180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100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105</v>
      </c>
      <c r="B249" s="193">
        <f>'Données projet'!D227</f>
        <v>580</v>
      </c>
      <c r="C249" s="206">
        <v>100</v>
      </c>
      <c r="D249" s="191">
        <f t="shared" si="13"/>
        <v>58000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Mélèze d'Europe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18</v>
      </c>
      <c r="B271" s="193">
        <f>'Données projet'!D244</f>
        <v>20</v>
      </c>
      <c r="C271" s="206">
        <v>10</v>
      </c>
      <c r="D271" s="191">
        <f>B271*C271</f>
        <v>200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21</v>
      </c>
      <c r="B272" s="193">
        <f>'Données projet'!D245</f>
        <v>26</v>
      </c>
      <c r="C272" s="206">
        <v>10</v>
      </c>
      <c r="D272" s="191">
        <f t="shared" ref="D272:D290" si="14">B272*C272</f>
        <v>260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24</v>
      </c>
      <c r="B273" s="193">
        <f>'Données projet'!D246</f>
        <v>29</v>
      </c>
      <c r="C273" s="206">
        <v>20</v>
      </c>
      <c r="D273" s="191">
        <f t="shared" si="14"/>
        <v>580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30</v>
      </c>
      <c r="B274" s="193">
        <f>'Données projet'!D247</f>
        <v>53</v>
      </c>
      <c r="C274" s="206">
        <v>30</v>
      </c>
      <c r="D274" s="191">
        <f t="shared" si="14"/>
        <v>1590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36</v>
      </c>
      <c r="B275" s="193">
        <f>'Données projet'!D248</f>
        <v>62</v>
      </c>
      <c r="C275" s="206">
        <v>40</v>
      </c>
      <c r="D275" s="191">
        <f t="shared" si="14"/>
        <v>2480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42</v>
      </c>
      <c r="B276" s="193">
        <f>'Données projet'!D249</f>
        <v>67</v>
      </c>
      <c r="C276" s="206">
        <v>50</v>
      </c>
      <c r="D276" s="191">
        <f t="shared" si="14"/>
        <v>3350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48</v>
      </c>
      <c r="B277" s="193">
        <f>'Données projet'!D250</f>
        <v>65</v>
      </c>
      <c r="C277" s="206">
        <v>50</v>
      </c>
      <c r="D277" s="191">
        <f t="shared" si="14"/>
        <v>3250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60</v>
      </c>
      <c r="B278" s="193">
        <f>'Données projet'!D251</f>
        <v>304</v>
      </c>
      <c r="C278" s="206">
        <v>80</v>
      </c>
      <c r="D278" s="191">
        <f t="shared" si="14"/>
        <v>24320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Bouleau verruqueux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10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15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20</v>
      </c>
      <c r="B304" s="193">
        <f>'Données projet'!D272</f>
        <v>40</v>
      </c>
      <c r="C304" s="204">
        <v>10</v>
      </c>
      <c r="D304" s="194">
        <f t="shared" si="15"/>
        <v>400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25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30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35</v>
      </c>
      <c r="B307" s="193">
        <f>'Données projet'!D275</f>
        <v>76</v>
      </c>
      <c r="C307" s="204">
        <v>10</v>
      </c>
      <c r="D307" s="194">
        <f t="shared" si="15"/>
        <v>760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40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45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50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55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60</v>
      </c>
      <c r="B312" s="193">
        <f>'Données projet'!D280</f>
        <v>303</v>
      </c>
      <c r="C312" s="204">
        <v>30</v>
      </c>
      <c r="D312" s="194">
        <f t="shared" si="15"/>
        <v>9090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2022-01-24T09:31:45Z</dcterms:modified>
</cp:coreProperties>
</file>