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Mont de Marsan\Projet Herré_2_072021\"/>
    </mc:Choice>
  </mc:AlternateContent>
  <bookViews>
    <workbookView xWindow="0" yWindow="0" windowWidth="19200" windowHeight="7310"/>
  </bookViews>
  <sheets>
    <sheet name="REAforêtMBoisement" sheetId="6" r:id="rId1"/>
    <sheet name="REAproduitsMBoisement" sheetId="3"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4" l="1"/>
  <c r="U19" i="5"/>
  <c r="B6" i="5"/>
  <c r="B5" i="5"/>
  <c r="V29" i="3"/>
  <c r="B6" i="3"/>
  <c r="B5" i="3"/>
  <c r="V28" i="3"/>
  <c r="O25" i="3"/>
  <c r="B6" i="6"/>
  <c r="B5" i="6"/>
  <c r="B50" i="6"/>
  <c r="B49" i="6"/>
  <c r="B48" i="6"/>
  <c r="B47" i="6"/>
  <c r="B46" i="6"/>
  <c r="B45" i="6"/>
  <c r="B44" i="6"/>
  <c r="B43" i="6"/>
  <c r="AF31" i="6"/>
  <c r="B31" i="6"/>
  <c r="P30" i="6"/>
  <c r="B28" i="6"/>
  <c r="AG25" i="6"/>
  <c r="C25" i="6"/>
  <c r="V26" i="3" l="1"/>
  <c r="B16" i="3"/>
  <c r="B25" i="6"/>
  <c r="C18" i="4" l="1"/>
  <c r="C17" i="4"/>
  <c r="C15" i="4"/>
  <c r="B13" i="5"/>
  <c r="C40" i="3"/>
  <c r="C39" i="3"/>
  <c r="C38" i="3"/>
  <c r="C21" i="3" s="1"/>
  <c r="C37" i="3"/>
  <c r="C18" i="3" s="1"/>
  <c r="C32" i="3"/>
  <c r="AD25" i="3" s="1"/>
  <c r="C24" i="3"/>
  <c r="E35" i="6"/>
  <c r="C35" i="6"/>
  <c r="B34" i="6"/>
  <c r="AG30" i="6"/>
  <c r="AF30" i="6"/>
  <c r="AE30" i="6"/>
  <c r="AD30" i="6"/>
  <c r="AC30" i="6"/>
  <c r="AB30" i="6"/>
  <c r="AA30" i="6"/>
  <c r="Z30" i="6"/>
  <c r="Y30" i="6"/>
  <c r="X30" i="6"/>
  <c r="W30" i="6"/>
  <c r="V30" i="6"/>
  <c r="U30" i="6"/>
  <c r="T30" i="6"/>
  <c r="S30" i="6"/>
  <c r="R30" i="6"/>
  <c r="Q30" i="6"/>
  <c r="O30" i="6"/>
  <c r="N30" i="6"/>
  <c r="M30" i="6"/>
  <c r="L30" i="6"/>
  <c r="K30" i="6"/>
  <c r="J30" i="6"/>
  <c r="I30" i="6"/>
  <c r="H30" i="6"/>
  <c r="G30" i="6"/>
  <c r="F30" i="6"/>
  <c r="E30" i="6"/>
  <c r="D30" i="6"/>
  <c r="C30" i="6"/>
  <c r="B30" i="6"/>
  <c r="AG29" i="6"/>
  <c r="AF29" i="6"/>
  <c r="AE29"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B29" i="6"/>
  <c r="AE28" i="6"/>
  <c r="AG28" i="6"/>
  <c r="AF28"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AF26" i="6"/>
  <c r="AE26" i="6"/>
  <c r="AD26" i="6"/>
  <c r="AC26" i="6"/>
  <c r="AB26" i="6"/>
  <c r="AA26" i="6"/>
  <c r="Z26" i="6"/>
  <c r="Y26" i="6"/>
  <c r="X26" i="6"/>
  <c r="W26" i="6"/>
  <c r="V26" i="6"/>
  <c r="U26" i="6"/>
  <c r="T26" i="6"/>
  <c r="S26" i="6"/>
  <c r="R26" i="6"/>
  <c r="Q26" i="6"/>
  <c r="P26" i="6"/>
  <c r="O26" i="6"/>
  <c r="N26" i="6"/>
  <c r="M26" i="6"/>
  <c r="L26" i="6"/>
  <c r="K26" i="6"/>
  <c r="J26" i="6"/>
  <c r="I26" i="6"/>
  <c r="H26" i="6"/>
  <c r="G26" i="6"/>
  <c r="F26" i="6"/>
  <c r="E26" i="6"/>
  <c r="D26" i="6"/>
  <c r="C26" i="6"/>
  <c r="B26" i="6"/>
  <c r="AF25" i="6"/>
  <c r="AE25" i="6"/>
  <c r="AD25" i="6"/>
  <c r="AC25" i="6"/>
  <c r="AB25" i="6"/>
  <c r="AA25" i="6"/>
  <c r="Z25" i="6"/>
  <c r="Y25" i="6"/>
  <c r="X25" i="6"/>
  <c r="W25" i="6"/>
  <c r="V25" i="6"/>
  <c r="U25" i="6"/>
  <c r="T25" i="6"/>
  <c r="S25" i="6"/>
  <c r="R25" i="6"/>
  <c r="Q25" i="6"/>
  <c r="P25" i="6"/>
  <c r="O25" i="6"/>
  <c r="N25" i="6"/>
  <c r="M25" i="6"/>
  <c r="L25" i="6"/>
  <c r="K25" i="6"/>
  <c r="J25" i="6"/>
  <c r="I25" i="6"/>
  <c r="H25" i="6"/>
  <c r="G25" i="6"/>
  <c r="F25" i="6"/>
  <c r="E25" i="6"/>
  <c r="D25" i="6"/>
  <c r="C23" i="6"/>
  <c r="D23" i="6" s="1"/>
  <c r="R19" i="5" l="1"/>
  <c r="R21" i="5" s="1"/>
  <c r="N19" i="5"/>
  <c r="N21" i="5" s="1"/>
  <c r="T19" i="5"/>
  <c r="T21" i="5" s="1"/>
  <c r="U22" i="6"/>
  <c r="U24" i="6" s="1"/>
  <c r="U21" i="6" s="1"/>
  <c r="U31" i="6" s="1"/>
  <c r="AG22" i="6"/>
  <c r="B22" i="6"/>
  <c r="B21" i="6" s="1"/>
  <c r="M22" i="6"/>
  <c r="M24" i="6" s="1"/>
  <c r="M21" i="6" s="1"/>
  <c r="M31" i="6" s="1"/>
  <c r="Z22" i="6"/>
  <c r="Z24" i="6" s="1"/>
  <c r="Z21" i="6" s="1"/>
  <c r="Z31" i="6" s="1"/>
  <c r="N22" i="6"/>
  <c r="N24" i="6" s="1"/>
  <c r="AB22" i="6"/>
  <c r="L22" i="6"/>
  <c r="AC22" i="6"/>
  <c r="AC24" i="6" s="1"/>
  <c r="AC21" i="6" s="1"/>
  <c r="AC31" i="6" s="1"/>
  <c r="AD22" i="6"/>
  <c r="AD24" i="6" s="1"/>
  <c r="V22" i="6"/>
  <c r="V24" i="6" s="1"/>
  <c r="V21" i="6" s="1"/>
  <c r="V31" i="6" s="1"/>
  <c r="P22" i="6"/>
  <c r="P24" i="6" s="1"/>
  <c r="P21" i="6" s="1"/>
  <c r="P31" i="6" s="1"/>
  <c r="T22" i="6"/>
  <c r="T24" i="6" s="1"/>
  <c r="AF22" i="6"/>
  <c r="AF24" i="6" s="1"/>
  <c r="X22" i="6"/>
  <c r="X24" i="6" s="1"/>
  <c r="R22" i="6"/>
  <c r="B29" i="3"/>
  <c r="F22" i="3"/>
  <c r="C25" i="3"/>
  <c r="N19" i="3"/>
  <c r="K22" i="3"/>
  <c r="K25" i="3"/>
  <c r="Q19" i="3"/>
  <c r="N22" i="3"/>
  <c r="S25" i="3"/>
  <c r="V19" i="3"/>
  <c r="S22" i="3"/>
  <c r="AA25" i="3"/>
  <c r="I19" i="3"/>
  <c r="Y19" i="3"/>
  <c r="AA22" i="3"/>
  <c r="AD22" i="3"/>
  <c r="V22" i="3"/>
  <c r="AD19" i="3"/>
  <c r="F19" i="3"/>
  <c r="C22" i="3"/>
  <c r="E19" i="3"/>
  <c r="M19" i="3"/>
  <c r="U19" i="3"/>
  <c r="AC19" i="3"/>
  <c r="B22" i="3"/>
  <c r="C20" i="3" s="1"/>
  <c r="D21" i="3" s="1"/>
  <c r="D20" i="3" s="1"/>
  <c r="E21" i="3" s="1"/>
  <c r="J22" i="3"/>
  <c r="R22" i="3"/>
  <c r="Z22" i="3"/>
  <c r="G25" i="3"/>
  <c r="W25" i="3"/>
  <c r="AE25" i="3"/>
  <c r="H25" i="3"/>
  <c r="P25" i="3"/>
  <c r="X25" i="3"/>
  <c r="AF25" i="3"/>
  <c r="G19" i="3"/>
  <c r="O19" i="3"/>
  <c r="W19" i="3"/>
  <c r="AE19" i="3"/>
  <c r="D22" i="3"/>
  <c r="L22" i="3"/>
  <c r="T22" i="3"/>
  <c r="AB22" i="3"/>
  <c r="I25" i="3"/>
  <c r="Q25" i="3"/>
  <c r="Y25" i="3"/>
  <c r="H19" i="3"/>
  <c r="P19" i="3"/>
  <c r="X19" i="3"/>
  <c r="AF19" i="3"/>
  <c r="E22" i="3"/>
  <c r="M22" i="3"/>
  <c r="U22" i="3"/>
  <c r="AC22" i="3"/>
  <c r="B25" i="3"/>
  <c r="C23" i="3" s="1"/>
  <c r="D24" i="3" s="1"/>
  <c r="J25" i="3"/>
  <c r="R25" i="3"/>
  <c r="Z25" i="3"/>
  <c r="B19" i="3"/>
  <c r="C17" i="3" s="1"/>
  <c r="J19" i="3"/>
  <c r="R19" i="3"/>
  <c r="Z19" i="3"/>
  <c r="G22" i="3"/>
  <c r="O22" i="3"/>
  <c r="W22" i="3"/>
  <c r="AE22" i="3"/>
  <c r="D25" i="3"/>
  <c r="L25" i="3"/>
  <c r="T25" i="3"/>
  <c r="AB25" i="3"/>
  <c r="C19" i="3"/>
  <c r="K19" i="3"/>
  <c r="S19" i="3"/>
  <c r="AA19" i="3"/>
  <c r="H22" i="3"/>
  <c r="P22" i="3"/>
  <c r="X22" i="3"/>
  <c r="AF22" i="3"/>
  <c r="E25" i="3"/>
  <c r="M25" i="3"/>
  <c r="U25" i="3"/>
  <c r="AC25" i="3"/>
  <c r="D19" i="3"/>
  <c r="L19" i="3"/>
  <c r="T19" i="3"/>
  <c r="AB19" i="3"/>
  <c r="I22" i="3"/>
  <c r="Q22" i="3"/>
  <c r="Y22" i="3"/>
  <c r="F25" i="3"/>
  <c r="N25" i="3"/>
  <c r="V25" i="3"/>
  <c r="B19" i="5"/>
  <c r="B21" i="5" s="1"/>
  <c r="J19" i="5"/>
  <c r="J21" i="5" s="1"/>
  <c r="L19" i="5"/>
  <c r="L21" i="5" s="1"/>
  <c r="Y19" i="5"/>
  <c r="Y21" i="5" s="1"/>
  <c r="Z19" i="5"/>
  <c r="Z21" i="5" s="1"/>
  <c r="AB19" i="5"/>
  <c r="AB21" i="5" s="1"/>
  <c r="D19" i="5"/>
  <c r="D21" i="5" s="1"/>
  <c r="C19" i="5"/>
  <c r="C21" i="5" s="1"/>
  <c r="K19" i="5"/>
  <c r="K21" i="5" s="1"/>
  <c r="S19" i="5"/>
  <c r="S21" i="5" s="1"/>
  <c r="AA19" i="5"/>
  <c r="AA21" i="5" s="1"/>
  <c r="E19" i="5"/>
  <c r="E21" i="5" s="1"/>
  <c r="M19" i="5"/>
  <c r="M21" i="5" s="1"/>
  <c r="U21" i="5"/>
  <c r="AC19" i="5"/>
  <c r="AC21" i="5" s="1"/>
  <c r="F19" i="5"/>
  <c r="F21" i="5" s="1"/>
  <c r="V19" i="5"/>
  <c r="V21" i="5" s="1"/>
  <c r="AD19" i="5"/>
  <c r="AD21" i="5" s="1"/>
  <c r="G19" i="5"/>
  <c r="G21" i="5" s="1"/>
  <c r="O19" i="5"/>
  <c r="O21" i="5" s="1"/>
  <c r="W19" i="5"/>
  <c r="W21" i="5" s="1"/>
  <c r="AE19" i="5"/>
  <c r="AE21" i="5" s="1"/>
  <c r="H19" i="5"/>
  <c r="H21" i="5" s="1"/>
  <c r="P19" i="5"/>
  <c r="P21" i="5" s="1"/>
  <c r="X19" i="5"/>
  <c r="X21" i="5" s="1"/>
  <c r="I19" i="5"/>
  <c r="I21" i="5" s="1"/>
  <c r="Q19" i="5"/>
  <c r="Q21" i="5" s="1"/>
  <c r="D22" i="6"/>
  <c r="E23" i="6"/>
  <c r="L24" i="6"/>
  <c r="L21" i="6" s="1"/>
  <c r="L31" i="6" s="1"/>
  <c r="O22" i="6"/>
  <c r="W22" i="6"/>
  <c r="AE22" i="6"/>
  <c r="X21" i="6"/>
  <c r="X31" i="6" s="1"/>
  <c r="Q22" i="6"/>
  <c r="Y22" i="6"/>
  <c r="AB24" i="6"/>
  <c r="AB21" i="6" s="1"/>
  <c r="AB31" i="6" s="1"/>
  <c r="R24" i="6"/>
  <c r="R21" i="6" s="1"/>
  <c r="R31" i="6" s="1"/>
  <c r="C22" i="6"/>
  <c r="C24" i="6" s="1"/>
  <c r="S22" i="6"/>
  <c r="AA22" i="6"/>
  <c r="B8" i="4" l="1"/>
  <c r="B9" i="4" s="1"/>
  <c r="AF21" i="6"/>
  <c r="T21" i="6"/>
  <c r="T31" i="6" s="1"/>
  <c r="AD21" i="6"/>
  <c r="AD31" i="6" s="1"/>
  <c r="N21" i="6"/>
  <c r="N31" i="6" s="1"/>
  <c r="D23" i="3"/>
  <c r="E24" i="3" s="1"/>
  <c r="E23" i="3" s="1"/>
  <c r="F24" i="3" s="1"/>
  <c r="F23" i="3" s="1"/>
  <c r="G24" i="3" s="1"/>
  <c r="G23" i="3" s="1"/>
  <c r="H24" i="3" s="1"/>
  <c r="H23" i="3" s="1"/>
  <c r="I24" i="3" s="1"/>
  <c r="I23" i="3" s="1"/>
  <c r="J24" i="3" s="1"/>
  <c r="J23" i="3" s="1"/>
  <c r="K24" i="3" s="1"/>
  <c r="K23" i="3" s="1"/>
  <c r="L24" i="3" s="1"/>
  <c r="L23" i="3" s="1"/>
  <c r="M24" i="3" s="1"/>
  <c r="M23" i="3" s="1"/>
  <c r="N24" i="3" s="1"/>
  <c r="N23" i="3" s="1"/>
  <c r="O24" i="3" s="1"/>
  <c r="O23" i="3" s="1"/>
  <c r="P24" i="3" s="1"/>
  <c r="P23" i="3" s="1"/>
  <c r="C16" i="3"/>
  <c r="E20" i="3"/>
  <c r="F21" i="3" s="1"/>
  <c r="F20" i="3" s="1"/>
  <c r="G21" i="3" s="1"/>
  <c r="G20" i="3" s="1"/>
  <c r="H21" i="3" s="1"/>
  <c r="H20" i="3" s="1"/>
  <c r="I21" i="3" s="1"/>
  <c r="I20" i="3" s="1"/>
  <c r="J21" i="3" s="1"/>
  <c r="J20" i="3" s="1"/>
  <c r="K21" i="3" s="1"/>
  <c r="K20" i="3" s="1"/>
  <c r="L21" i="3" s="1"/>
  <c r="L20" i="3" s="1"/>
  <c r="M21" i="3" s="1"/>
  <c r="M20" i="3" s="1"/>
  <c r="N21" i="3" s="1"/>
  <c r="N20" i="3" s="1"/>
  <c r="O21" i="3" s="1"/>
  <c r="O20" i="3" s="1"/>
  <c r="P21" i="3" s="1"/>
  <c r="P20" i="3" s="1"/>
  <c r="Q21" i="3" s="1"/>
  <c r="Q20" i="3" s="1"/>
  <c r="R21" i="3" s="1"/>
  <c r="R20" i="3" s="1"/>
  <c r="S21" i="3" s="1"/>
  <c r="S20" i="3" s="1"/>
  <c r="T21" i="3" s="1"/>
  <c r="T20" i="3" s="1"/>
  <c r="U21" i="3" s="1"/>
  <c r="U20" i="3" s="1"/>
  <c r="V21" i="3" s="1"/>
  <c r="V20" i="3" s="1"/>
  <c r="W21" i="3" s="1"/>
  <c r="W20" i="3" s="1"/>
  <c r="X21" i="3" s="1"/>
  <c r="X20" i="3" s="1"/>
  <c r="Y21" i="3" s="1"/>
  <c r="Y20" i="3" s="1"/>
  <c r="Z21" i="3" s="1"/>
  <c r="Z20" i="3" s="1"/>
  <c r="AA21" i="3" s="1"/>
  <c r="AA20" i="3" s="1"/>
  <c r="AB21" i="3" s="1"/>
  <c r="AB20" i="3" s="1"/>
  <c r="AC21" i="3" s="1"/>
  <c r="AC20" i="3" s="1"/>
  <c r="AD21" i="3" s="1"/>
  <c r="AD20" i="3" s="1"/>
  <c r="AE21" i="3" s="1"/>
  <c r="AE20" i="3" s="1"/>
  <c r="AF21" i="3" s="1"/>
  <c r="AF20" i="3" s="1"/>
  <c r="D18" i="3"/>
  <c r="D17" i="3" s="1"/>
  <c r="D16" i="3" s="1"/>
  <c r="F23" i="6"/>
  <c r="E22" i="6"/>
  <c r="AG24" i="6"/>
  <c r="AG21" i="6" s="1"/>
  <c r="AG31" i="6" s="1"/>
  <c r="O24" i="6"/>
  <c r="O21" i="6" s="1"/>
  <c r="O31" i="6" s="1"/>
  <c r="D24" i="6"/>
  <c r="D21" i="6" s="1"/>
  <c r="D31" i="6" s="1"/>
  <c r="AA24" i="6"/>
  <c r="AA21" i="6" s="1"/>
  <c r="AA31" i="6" s="1"/>
  <c r="Y24" i="6"/>
  <c r="Y21" i="6" s="1"/>
  <c r="Y31" i="6" s="1"/>
  <c r="S24" i="6"/>
  <c r="S21" i="6" s="1"/>
  <c r="S31" i="6" s="1"/>
  <c r="Q24" i="6"/>
  <c r="Q21" i="6" s="1"/>
  <c r="Q31" i="6" s="1"/>
  <c r="W24" i="6"/>
  <c r="W21" i="6" s="1"/>
  <c r="W31" i="6" s="1"/>
  <c r="C21" i="6"/>
  <c r="AE24" i="6"/>
  <c r="AE21" i="6" s="1"/>
  <c r="AE31" i="6" s="1"/>
  <c r="Q24" i="3" l="1"/>
  <c r="Q23" i="3" s="1"/>
  <c r="C29" i="3"/>
  <c r="D29" i="3"/>
  <c r="E18" i="3"/>
  <c r="E17" i="3" s="1"/>
  <c r="E16" i="3" s="1"/>
  <c r="C31" i="6"/>
  <c r="E24" i="6"/>
  <c r="E21" i="6" s="1"/>
  <c r="F22" i="6"/>
  <c r="G23" i="6"/>
  <c r="R24" i="3" l="1"/>
  <c r="R23" i="3" s="1"/>
  <c r="E29" i="3"/>
  <c r="F18" i="3"/>
  <c r="F17" i="3" s="1"/>
  <c r="F16" i="3" s="1"/>
  <c r="E31" i="6"/>
  <c r="F24" i="6"/>
  <c r="F21" i="6" s="1"/>
  <c r="H23" i="6"/>
  <c r="G22" i="6"/>
  <c r="S24" i="3" l="1"/>
  <c r="S23" i="3" s="1"/>
  <c r="F29" i="3"/>
  <c r="G18" i="3"/>
  <c r="G17" i="3" s="1"/>
  <c r="G16" i="3" s="1"/>
  <c r="F31" i="6"/>
  <c r="G24" i="6"/>
  <c r="G21" i="6" s="1"/>
  <c r="I23" i="6"/>
  <c r="H22" i="6"/>
  <c r="T24" i="3" l="1"/>
  <c r="T23" i="3" s="1"/>
  <c r="G29" i="3"/>
  <c r="H18" i="3"/>
  <c r="H17" i="3" s="1"/>
  <c r="H16" i="3" s="1"/>
  <c r="G31" i="6"/>
  <c r="J23" i="6"/>
  <c r="I22" i="6"/>
  <c r="H24" i="6"/>
  <c r="H21" i="6" s="1"/>
  <c r="U24" i="3" l="1"/>
  <c r="U23" i="3" s="1"/>
  <c r="I18" i="3"/>
  <c r="I17" i="3" s="1"/>
  <c r="I16" i="3" s="1"/>
  <c r="H29" i="3"/>
  <c r="H31" i="6"/>
  <c r="I24" i="6"/>
  <c r="I21" i="6" s="1"/>
  <c r="I31" i="6" s="1"/>
  <c r="K23" i="6"/>
  <c r="K22" i="6" s="1"/>
  <c r="J22" i="6"/>
  <c r="V24" i="3" l="1"/>
  <c r="V23" i="3" s="1"/>
  <c r="J18" i="3"/>
  <c r="J17" i="3" s="1"/>
  <c r="J16" i="3" s="1"/>
  <c r="I29" i="3"/>
  <c r="J24" i="6"/>
  <c r="J21" i="6" s="1"/>
  <c r="J31" i="6" s="1"/>
  <c r="K24" i="6"/>
  <c r="K21" i="6" s="1"/>
  <c r="W24" i="3" l="1"/>
  <c r="W23" i="3" s="1"/>
  <c r="K18" i="3"/>
  <c r="K17" i="3" s="1"/>
  <c r="K16" i="3" s="1"/>
  <c r="J29" i="3"/>
  <c r="K31" i="6"/>
  <c r="X24" i="3" l="1"/>
  <c r="X23" i="3" s="1"/>
  <c r="K29" i="3"/>
  <c r="L18" i="3"/>
  <c r="L17" i="3" s="1"/>
  <c r="L16" i="3" s="1"/>
  <c r="B4" i="4" l="1"/>
  <c r="Y24" i="3"/>
  <c r="Y23" i="3" s="1"/>
  <c r="L29" i="3"/>
  <c r="M18" i="3"/>
  <c r="M17" i="3" s="1"/>
  <c r="M16" i="3" s="1"/>
  <c r="B5" i="4" l="1"/>
  <c r="Z24" i="3"/>
  <c r="Z23" i="3" s="1"/>
  <c r="M29" i="3"/>
  <c r="N18" i="3"/>
  <c r="N17" i="3" s="1"/>
  <c r="N16" i="3" s="1"/>
  <c r="AA24" i="3" l="1"/>
  <c r="AA23" i="3" s="1"/>
  <c r="N29" i="3"/>
  <c r="O18" i="3"/>
  <c r="O17" i="3" s="1"/>
  <c r="O16" i="3" s="1"/>
  <c r="AB24" i="3" l="1"/>
  <c r="AB23" i="3" s="1"/>
  <c r="O29" i="3"/>
  <c r="P18" i="3"/>
  <c r="P17" i="3" s="1"/>
  <c r="P16" i="3" s="1"/>
  <c r="AC24" i="3" l="1"/>
  <c r="AC23" i="3" s="1"/>
  <c r="Q18" i="3"/>
  <c r="Q17" i="3" s="1"/>
  <c r="Q16" i="3" s="1"/>
  <c r="P29" i="3"/>
  <c r="AD24" i="3" l="1"/>
  <c r="AD23" i="3" s="1"/>
  <c r="R18" i="3"/>
  <c r="R17" i="3" s="1"/>
  <c r="R16" i="3" s="1"/>
  <c r="Q29" i="3"/>
  <c r="AE24" i="3" l="1"/>
  <c r="AE23" i="3" s="1"/>
  <c r="S18" i="3"/>
  <c r="S17" i="3" s="1"/>
  <c r="S16" i="3" s="1"/>
  <c r="R29" i="3"/>
  <c r="AF24" i="3" l="1"/>
  <c r="AF23" i="3" s="1"/>
  <c r="S29" i="3"/>
  <c r="T18" i="3"/>
  <c r="T17" i="3" s="1"/>
  <c r="T16" i="3" s="1"/>
  <c r="U18" i="3" l="1"/>
  <c r="U17" i="3" s="1"/>
  <c r="U16" i="3" s="1"/>
  <c r="T29" i="3"/>
  <c r="U29" i="3" l="1"/>
  <c r="V18" i="3"/>
  <c r="V17" i="3" s="1"/>
  <c r="V16" i="3" s="1"/>
  <c r="W18" i="3" l="1"/>
  <c r="W17" i="3" s="1"/>
  <c r="W16" i="3" s="1"/>
  <c r="W29" i="3" l="1"/>
  <c r="X18" i="3"/>
  <c r="X17" i="3" s="1"/>
  <c r="X16" i="3" s="1"/>
  <c r="Y18" i="3" l="1"/>
  <c r="Y17" i="3" s="1"/>
  <c r="Y16" i="3" s="1"/>
  <c r="X29" i="3"/>
  <c r="Z18" i="3" l="1"/>
  <c r="Z17" i="3" s="1"/>
  <c r="Z16" i="3" s="1"/>
  <c r="Y29" i="3"/>
  <c r="AA18" i="3" l="1"/>
  <c r="AA17" i="3" s="1"/>
  <c r="AA16" i="3" s="1"/>
  <c r="Z29" i="3"/>
  <c r="AA29" i="3" l="1"/>
  <c r="AB18" i="3"/>
  <c r="AB17" i="3" s="1"/>
  <c r="AB16" i="3" s="1"/>
  <c r="AB29" i="3" l="1"/>
  <c r="AC18" i="3"/>
  <c r="AC17" i="3" s="1"/>
  <c r="AC16" i="3" s="1"/>
  <c r="AC29" i="3" l="1"/>
  <c r="AD18" i="3"/>
  <c r="AD17" i="3" s="1"/>
  <c r="AD16" i="3" s="1"/>
  <c r="AD29" i="3" l="1"/>
  <c r="AE18" i="3"/>
  <c r="AE17" i="3" s="1"/>
  <c r="AE16" i="3" s="1"/>
  <c r="AE29" i="3" l="1"/>
  <c r="AF18" i="3"/>
  <c r="AF17" i="3" s="1"/>
  <c r="AF16" i="3" l="1"/>
  <c r="AF29" i="3" s="1"/>
  <c r="B6" i="4" s="1"/>
  <c r="B7" i="4" l="1"/>
  <c r="B11" i="4" s="1"/>
  <c r="B10" i="4"/>
</calcChain>
</file>

<file path=xl/comments1.xml><?xml version="1.0" encoding="utf-8"?>
<comments xmlns="http://schemas.openxmlformats.org/spreadsheetml/2006/main">
  <authors>
    <author>Florence HEUSCHMIDT</author>
  </authors>
  <commentList>
    <comment ref="A30" authorId="0" shapeId="0">
      <text>
        <r>
          <rPr>
            <sz val="9"/>
            <color indexed="81"/>
            <rFont val="Tahoma"/>
            <family val="2"/>
          </rPr>
          <t>Après 30, ==10 tC/ha</t>
        </r>
      </text>
    </comment>
    <comment ref="A40" authorId="0" shapeId="0">
      <text>
        <r>
          <rPr>
            <b/>
            <sz val="9"/>
            <color indexed="81"/>
            <rFont val="Tahoma"/>
            <family val="2"/>
          </rPr>
          <t>stocks limités à une profondeur de 30 cm</t>
        </r>
      </text>
    </comment>
    <comment ref="A41"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V26" authorId="0" shapeId="0">
      <text>
        <r>
          <rPr>
            <b/>
            <sz val="9"/>
            <color indexed="81"/>
            <rFont val="Tahoma"/>
            <family val="2"/>
          </rPr>
          <t>Florence HEUSCHMIDT:</t>
        </r>
        <r>
          <rPr>
            <sz val="9"/>
            <color indexed="81"/>
            <rFont val="Tahoma"/>
            <family val="2"/>
          </rPr>
          <t xml:space="preserve">
BO : 40% de 71.6, et ici divisé par 2 pour le rendement BO</t>
        </r>
      </text>
    </comment>
  </commentList>
</comments>
</file>

<file path=xl/comments3.xml><?xml version="1.0" encoding="utf-8"?>
<comments xmlns="http://schemas.openxmlformats.org/spreadsheetml/2006/main">
  <authors>
    <author>Florence HEUSCHMIDT</author>
  </authors>
  <commentList>
    <comment ref="A20" authorId="0" shapeId="0">
      <text>
        <r>
          <rPr>
            <b/>
            <sz val="9"/>
            <color indexed="81"/>
            <rFont val="Tahoma"/>
            <family val="2"/>
          </rPr>
          <t>Flux entrant issu des produits bois récoltés au cours de l’année n (sur la période entre l’année n et l’année n+1) dans le scénario de projet</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<sst xmlns="http://schemas.openxmlformats.org/spreadsheetml/2006/main" count="295" uniqueCount="225">
  <si>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</si>
  <si>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</si>
  <si>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</si>
  <si>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</si>
  <si>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</si>
  <si>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</si>
  <si>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</si>
  <si>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</si>
  <si>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</si>
  <si>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</si>
  <si>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</si>
  <si>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</si>
  <si>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</si>
  <si>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</si>
  <si>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</si>
  <si>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</si>
  <si>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</si>
  <si>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</si>
  <si>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</si>
  <si>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</si>
  <si>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</si>
  <si>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</si>
  <si>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</si>
  <si>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</si>
  <si>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</si>
  <si>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</si>
  <si>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</si>
  <si>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</si>
  <si>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</si>
  <si>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</si>
  <si>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</si>
  <si>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</si>
  <si>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</si>
  <si>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</si>
  <si>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</si>
  <si>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</si>
  <si>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</si>
  <si>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</si>
  <si>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</si>
  <si>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</si>
  <si>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</si>
  <si>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</si>
  <si>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</si>
  <si>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</si>
  <si>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</si>
  <si>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</si>
  <si>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</si>
  <si>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</si>
  <si>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</si>
  <si>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</si>
  <si>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</si>
  <si>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</si>
  <si>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</si>
  <si>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</si>
  <si>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</si>
  <si>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</si>
  <si>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</si>
  <si>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</si>
  <si>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</si>
  <si>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</si>
  <si>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</si>
  <si>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</si>
  <si>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</si>
  <si>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</si>
  <si>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</si>
  <si>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</si>
  <si>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</si>
  <si>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</si>
  <si>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</si>
  <si>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</si>
  <si>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</si>
  <si>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</si>
  <si>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</si>
  <si>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</si>
  <si>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</si>
  <si>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</si>
  <si>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</si>
  <si>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</si>
  <si>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</si>
  <si>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</si>
  <si>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</si>
  <si>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</si>
  <si>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</si>
  <si>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</si>
  <si>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</si>
  <si>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</si>
  <si>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</si>
  <si>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</si>
  <si>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</si>
  <si>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</si>
  <si>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</si>
  <si>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</si>
  <si>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</si>
  <si>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</si>
  <si>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</si>
  <si>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</si>
  <si>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</si>
  <si>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</si>
  <si>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</si>
  <si>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</si>
  <si>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</si>
  <si>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</si>
  <si>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</si>
  <si>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</si>
  <si>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</si>
  <si>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</si>
  <si>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</si>
  <si>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</si>
  <si>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</si>
  <si>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</si>
  <si>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</si>
  <si>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</si>
  <si>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</si>
  <si>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</si>
  <si>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</si>
  <si>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</si>
  <si>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</si>
  <si>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</si>
  <si>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</si>
  <si>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</si>
  <si>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</si>
  <si>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</si>
  <si>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</si>
  <si>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</si>
  <si>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</si>
  <si>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</si>
  <si>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</si>
  <si>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</si>
  <si>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</si>
  <si>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</si>
  <si>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</si>
  <si>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</si>
  <si>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</si>
  <si>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</si>
  <si>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</si>
  <si>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</si>
  <si>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</si>
  <si>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</si>
  <si>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</si>
  <si>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</si>
  <si>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</si>
  <si>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</si>
  <si>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</si>
  <si>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</si>
  <si>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</si>
  <si>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</si>
  <si>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</si>
  <si>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</si>
  <si>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</si>
  <si>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</si>
  <si>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</si>
  <si>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</si>
  <si>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</si>
  <si>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</si>
  <si>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</si>
  <si>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</si>
  <si>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</si>
  <si>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</si>
  <si>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</si>
  <si>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</si>
  <si>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</si>
  <si>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</si>
  <si>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</si>
  <si>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</si>
  <si>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</si>
  <si>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</si>
  <si>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</si>
  <si>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</si>
  <si>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</si>
  <si>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</si>
  <si>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</si>
  <si>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</si>
  <si>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</si>
  <si>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</si>
  <si>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</si>
  <si>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</si>
  <si>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</si>
  <si>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</si>
  <si>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</si>
  <si>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</si>
  <si>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</si>
  <si>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</si>
  <si>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</si>
  <si>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</si>
  <si>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</si>
  <si>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</si>
  <si>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</si>
  <si>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</si>
  <si>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</si>
  <si>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</si>
  <si>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</si>
  <si>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</si>
  <si>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</si>
  <si>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</si>
  <si>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</si>
  <si>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</si>
  <si>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</si>
  <si>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</si>
  <si>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Sprojet (n) - Sréf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</si>
  <si>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</si>
  <si>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</si>
  <si>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</si>
  <si>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</si>
  <si>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</si>
  <si>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</si>
  <si>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</si>
  <si>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</si>
  <si>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</si>
  <si>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</si>
  <si>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projet (n) - C réf (n) (en tC/ha)</t>
  </si>
  <si>
    <t>CS*Flux projet (n) (en TCO2/ha)</t>
  </si>
  <si>
    <t>Flux projet (n) (en m3/ha)</t>
  </si>
  <si>
    <t>CSp*Flux projet (n) - CSr*Flux réf (n) (en tCO2/ha)</t>
  </si>
  <si>
    <t>Carbone organique du sol sur une culture (n) (en tC/ha)</t>
  </si>
  <si>
    <t>Moyenne</t>
  </si>
  <si>
    <t>Volume bois fort Bois de sciage (n) (en m3/ha)</t>
  </si>
  <si>
    <t>Volume  bois fort Panneaux de bois (n) (en m3/ha)</t>
  </si>
  <si>
    <t>Volume  bois fort Papier (n) (en m3/ha)</t>
  </si>
  <si>
    <t>Projet situé dans les GRECO de l'IGN "Méditerranée" et "Corse"</t>
  </si>
  <si>
    <t>GRECO IGN</t>
  </si>
  <si>
    <t>OUI</t>
  </si>
  <si>
    <t>NON</t>
  </si>
  <si>
    <t>Risques généraux difficilement maîtrisables</t>
  </si>
  <si>
    <t>Analyse économique de l’additionnalité</t>
  </si>
  <si>
    <t>Alliance Forêts Bois/GCF n° 36 - Herré (40)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</si>
</sst>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0"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
      <b/>
      <sz val="16"/>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medium">
        <color indexed="64"/>
      </top>
      <bottom/>
      <diagonal/>
    </border>
  </borders>
  <cellStyleXfs count="1">
    <xf numFmtId="0" fontId="0" fillId="0" borderId="0"/>
  </cellStyleXfs>
  <cellXfs count="183">
    <xf numFmtId="0" fontId="0" fillId="0" borderId="0" xfId="0"/>
    <xf numFmtId="0" fontId="0" fillId="0" borderId="0" xfId="0" applyAlignment="1">
      <alignment vertical="center" wrapText="1"/>
    </xf>
    <xf numFmtId="0" fontId="0" fillId="3" borderId="4" xfId="0" applyFill="1" applyBorder="1" applyAlignment="1">
      <alignment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5"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3" borderId="14" xfId="0" applyFill="1" applyBorder="1" applyAlignment="1">
      <alignment vertical="center" wrapText="1"/>
    </xf>
    <xf numFmtId="0" fontId="0" fillId="6" borderId="3" xfId="0" applyFill="1" applyBorder="1" applyAlignment="1">
      <alignment horizontal="center"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4" borderId="22" xfId="0" applyFont="1" applyFill="1" applyBorder="1" applyAlignment="1">
      <alignment vertical="center" wrapText="1"/>
    </xf>
    <xf numFmtId="0" fontId="0" fillId="6" borderId="9" xfId="0" applyFill="1" applyBorder="1" applyAlignment="1">
      <alignment horizontal="center"/>
    </xf>
    <xf numFmtId="0" fontId="0" fillId="0" borderId="20" xfId="0" applyFill="1" applyBorder="1" applyAlignment="1">
      <alignment horizontal="center" vertical="center"/>
    </xf>
    <xf numFmtId="0" fontId="0" fillId="6" borderId="11" xfId="0" applyFill="1" applyBorder="1" applyAlignment="1">
      <alignment horizontal="center" vertical="center"/>
    </xf>
    <xf numFmtId="0" fontId="0" fillId="6" borderId="7" xfId="0" applyFill="1" applyBorder="1" applyAlignment="1">
      <alignment horizontal="center" vertical="center"/>
    </xf>
    <xf numFmtId="0" fontId="0" fillId="6" borderId="27" xfId="0" applyFill="1" applyBorder="1" applyAlignment="1">
      <alignment horizontal="center" vertical="center"/>
    </xf>
    <xf numFmtId="164" fontId="0" fillId="6" borderId="23" xfId="0" applyNumberFormat="1" applyFill="1" applyBorder="1" applyAlignment="1">
      <alignment horizontal="center" vertical="center"/>
    </xf>
    <xf numFmtId="164" fontId="0" fillId="6" borderId="9" xfId="0" applyNumberFormat="1" applyFill="1" applyBorder="1" applyAlignment="1">
      <alignment horizontal="center" vertical="center"/>
    </xf>
    <xf numFmtId="164" fontId="0" fillId="6" borderId="3" xfId="0" applyNumberFormat="1" applyFill="1" applyBorder="1" applyAlignment="1">
      <alignment horizontal="center" vertical="center"/>
    </xf>
    <xf numFmtId="0" fontId="0" fillId="7" borderId="14" xfId="0" applyFill="1" applyBorder="1" applyAlignment="1">
      <alignment vertical="center" wrapText="1"/>
    </xf>
    <xf numFmtId="0" fontId="4" fillId="4" borderId="4" xfId="0" applyFont="1" applyFill="1" applyBorder="1" applyAlignment="1">
      <alignment horizontal="center" vertical="center" wrapText="1"/>
    </xf>
    <xf numFmtId="0" fontId="5" fillId="4" borderId="22" xfId="0" applyFont="1" applyFill="1" applyBorder="1" applyAlignment="1">
      <alignment vertical="center" wrapText="1"/>
    </xf>
    <xf numFmtId="0" fontId="0" fillId="6" borderId="5" xfId="0" applyFill="1" applyBorder="1" applyAlignment="1">
      <alignment horizontal="center" vertical="center"/>
    </xf>
    <xf numFmtId="0" fontId="0" fillId="6"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6" borderId="23" xfId="0" applyNumberFormat="1" applyFill="1" applyBorder="1" applyAlignment="1">
      <alignment horizontal="center" vertical="center"/>
    </xf>
    <xf numFmtId="2" fontId="0" fillId="6"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6" borderId="9" xfId="0" applyFill="1" applyBorder="1" applyAlignment="1">
      <alignment horizontal="center" vertical="center"/>
    </xf>
    <xf numFmtId="0" fontId="0" fillId="9" borderId="6" xfId="0" applyFill="1" applyBorder="1" applyAlignment="1">
      <alignment vertical="center" wrapText="1"/>
    </xf>
    <xf numFmtId="0" fontId="4" fillId="0" borderId="32"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xf numFmtId="0" fontId="1" fillId="0" borderId="1" xfId="0" applyFont="1" applyFill="1" applyBorder="1" applyAlignment="1">
      <alignment vertical="center" wrapText="1"/>
    </xf>
    <xf numFmtId="0" fontId="0" fillId="0" borderId="29" xfId="0" applyFill="1" applyBorder="1" applyAlignment="1">
      <alignment horizontal="center" vertical="center"/>
    </xf>
    <xf numFmtId="0" fontId="0" fillId="6" borderId="26" xfId="0" applyFill="1" applyBorder="1" applyAlignment="1">
      <alignment horizontal="center" vertical="center"/>
    </xf>
    <xf numFmtId="164" fontId="0" fillId="0" borderId="7" xfId="0" applyNumberFormat="1" applyFill="1" applyBorder="1" applyAlignment="1">
      <alignment horizontal="center" vertical="center"/>
    </xf>
    <xf numFmtId="0" fontId="0" fillId="6" borderId="23" xfId="0" applyFill="1" applyBorder="1" applyAlignment="1">
      <alignment horizontal="center" vertical="center"/>
    </xf>
    <xf numFmtId="0" fontId="0" fillId="6" borderId="20" xfId="0" applyFill="1" applyBorder="1" applyAlignment="1">
      <alignment horizontal="center" vertical="center"/>
    </xf>
    <xf numFmtId="164" fontId="0" fillId="6" borderId="28" xfId="0" applyNumberFormat="1"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8" borderId="6" xfId="0" applyFill="1" applyBorder="1" applyAlignment="1">
      <alignment vertical="center" wrapText="1"/>
    </xf>
    <xf numFmtId="0" fontId="0" fillId="10" borderId="6" xfId="0" applyFill="1" applyBorder="1" applyAlignment="1">
      <alignment vertical="center" wrapText="1"/>
    </xf>
    <xf numFmtId="0" fontId="0" fillId="12" borderId="6" xfId="0" applyFill="1" applyBorder="1" applyAlignment="1">
      <alignment vertical="center" wrapText="1"/>
    </xf>
    <xf numFmtId="0" fontId="0" fillId="6" borderId="3" xfId="0" applyFont="1" applyFill="1" applyBorder="1" applyAlignment="1">
      <alignment horizontal="center" vertical="center" wrapText="1"/>
    </xf>
    <xf numFmtId="0" fontId="0" fillId="3" borderId="14" xfId="0" applyFont="1" applyFill="1" applyBorder="1" applyAlignment="1">
      <alignment horizontal="left" vertical="center" wrapText="1"/>
    </xf>
    <xf numFmtId="0" fontId="0" fillId="6" borderId="7" xfId="0" applyFont="1" applyFill="1" applyBorder="1" applyAlignment="1">
      <alignment horizontal="center" vertical="center" wrapText="1"/>
    </xf>
    <xf numFmtId="0" fontId="4" fillId="2" borderId="34" xfId="0" applyFont="1" applyFill="1" applyBorder="1" applyAlignment="1">
      <alignment horizontal="center" vertical="center"/>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1" fillId="9" borderId="32" xfId="0" applyFont="1" applyFill="1" applyBorder="1" applyAlignment="1">
      <alignment horizontal="center" vertical="center" wrapText="1"/>
    </xf>
    <xf numFmtId="0" fontId="0" fillId="3" borderId="48"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9" xfId="0"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14" xfId="0" applyFill="1" applyBorder="1" applyAlignment="1">
      <alignment horizontal="center" vertical="center" wrapText="1"/>
    </xf>
    <xf numFmtId="0" fontId="4" fillId="2" borderId="32" xfId="0" applyFont="1" applyFill="1" applyBorder="1" applyAlignment="1">
      <alignment horizontal="center" vertical="center" wrapText="1"/>
    </xf>
    <xf numFmtId="0" fontId="0" fillId="3" borderId="33"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3" borderId="42"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6" borderId="3" xfId="0" applyNumberFormat="1" applyFill="1" applyBorder="1" applyAlignment="1">
      <alignment horizontal="center" vertical="center"/>
    </xf>
    <xf numFmtId="0" fontId="0" fillId="3" borderId="30" xfId="0" applyFill="1" applyBorder="1" applyAlignment="1">
      <alignment vertical="center" wrapText="1"/>
    </xf>
    <xf numFmtId="0" fontId="0" fillId="0" borderId="0" xfId="0" applyBorder="1"/>
    <xf numFmtId="0" fontId="0" fillId="11" borderId="6" xfId="0" applyFill="1" applyBorder="1" applyAlignment="1">
      <alignment vertical="center" wrapText="1"/>
    </xf>
    <xf numFmtId="0" fontId="0" fillId="6" borderId="23" xfId="0" applyFill="1" applyBorder="1" applyAlignment="1">
      <alignment horizontal="center"/>
    </xf>
    <xf numFmtId="165" fontId="0" fillId="8"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6"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3" borderId="8" xfId="0" applyFill="1" applyBorder="1" applyAlignment="1">
      <alignment horizontal="center" vertical="center" wrapText="1"/>
    </xf>
    <xf numFmtId="0" fontId="1" fillId="9" borderId="55" xfId="0" applyFont="1" applyFill="1" applyBorder="1" applyAlignment="1">
      <alignment horizontal="center" vertical="center" wrapText="1"/>
    </xf>
    <xf numFmtId="0" fontId="0" fillId="3" borderId="41" xfId="0" applyFill="1" applyBorder="1" applyAlignment="1">
      <alignment vertical="center" wrapText="1"/>
    </xf>
    <xf numFmtId="0" fontId="0" fillId="15" borderId="53" xfId="0" applyFill="1" applyBorder="1" applyAlignment="1">
      <alignment horizontal="center" vertical="center" wrapText="1"/>
    </xf>
    <xf numFmtId="0" fontId="0" fillId="3" borderId="56" xfId="0" applyFill="1" applyBorder="1" applyAlignment="1">
      <alignment vertical="center" wrapText="1"/>
    </xf>
    <xf numFmtId="0" fontId="0" fillId="0" borderId="57" xfId="0" applyBorder="1" applyAlignment="1">
      <alignment horizontal="center" vertical="center" wrapText="1"/>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165" fontId="0" fillId="0" borderId="3" xfId="0" applyNumberFormat="1" applyBorder="1"/>
    <xf numFmtId="165" fontId="0" fillId="0" borderId="10" xfId="0" applyNumberFormat="1" applyBorder="1"/>
    <xf numFmtId="0" fontId="0" fillId="3" borderId="19" xfId="0"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40" xfId="0" applyFill="1" applyBorder="1" applyAlignment="1">
      <alignment horizontal="center" vertical="center" wrapText="1"/>
    </xf>
    <xf numFmtId="165" fontId="0" fillId="6" borderId="11" xfId="0" applyNumberFormat="1" applyFill="1" applyBorder="1" applyAlignment="1">
      <alignment horizontal="center" vertical="center"/>
    </xf>
    <xf numFmtId="165" fontId="0" fillId="6" borderId="10" xfId="0" applyNumberFormat="1" applyFill="1" applyBorder="1" applyAlignment="1">
      <alignment horizontal="center" vertical="center"/>
    </xf>
    <xf numFmtId="165" fontId="0" fillId="6" borderId="36" xfId="0" applyNumberFormat="1" applyFill="1" applyBorder="1" applyAlignment="1">
      <alignment horizontal="center" vertical="center"/>
    </xf>
    <xf numFmtId="0" fontId="0" fillId="0" borderId="29" xfId="0" applyBorder="1"/>
    <xf numFmtId="165" fontId="0" fillId="13" borderId="5" xfId="0" applyNumberFormat="1" applyFill="1" applyBorder="1" applyAlignment="1">
      <alignment horizontal="center" vertical="center"/>
    </xf>
    <xf numFmtId="165" fontId="0" fillId="13" borderId="9" xfId="0" applyNumberFormat="1" applyFill="1" applyBorder="1" applyAlignment="1">
      <alignment horizontal="center" vertical="center"/>
    </xf>
    <xf numFmtId="165" fontId="0" fillId="6" borderId="5" xfId="0" applyNumberFormat="1" applyFill="1" applyBorder="1" applyAlignment="1">
      <alignment horizontal="center" vertical="center"/>
    </xf>
    <xf numFmtId="165" fontId="0" fillId="6" borderId="9" xfId="0" applyNumberFormat="1" applyFill="1" applyBorder="1" applyAlignment="1">
      <alignment horizontal="center" vertical="center"/>
    </xf>
    <xf numFmtId="165" fontId="6" fillId="8" borderId="25" xfId="0" applyNumberFormat="1" applyFont="1" applyFill="1" applyBorder="1" applyAlignment="1">
      <alignment horizontal="center" vertical="center"/>
    </xf>
    <xf numFmtId="0" fontId="0" fillId="16" borderId="3" xfId="0" applyFill="1" applyBorder="1" applyAlignment="1">
      <alignment horizontal="center" vertical="center"/>
    </xf>
    <xf numFmtId="165" fontId="0" fillId="0" borderId="3" xfId="0" applyNumberFormat="1" applyFill="1" applyBorder="1" applyAlignment="1">
      <alignment horizontal="center" vertical="center"/>
    </xf>
    <xf numFmtId="165" fontId="0" fillId="6" borderId="3" xfId="0" applyNumberFormat="1" applyFont="1" applyFill="1" applyBorder="1" applyAlignment="1">
      <alignment horizontal="center" vertical="center" wrapText="1"/>
    </xf>
    <xf numFmtId="0" fontId="0" fillId="6" borderId="36" xfId="0" applyFill="1" applyBorder="1" applyAlignment="1">
      <alignment horizontal="center" vertical="center"/>
    </xf>
    <xf numFmtId="0" fontId="0" fillId="6" borderId="58" xfId="0" applyFill="1" applyBorder="1" applyAlignment="1">
      <alignment horizontal="center" vertical="center"/>
    </xf>
    <xf numFmtId="164" fontId="0" fillId="6" borderId="10" xfId="0" applyNumberFormat="1" applyFill="1" applyBorder="1" applyAlignment="1">
      <alignment horizontal="center" vertical="center"/>
    </xf>
    <xf numFmtId="0" fontId="4" fillId="0" borderId="43"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9" xfId="0" applyFont="1" applyFill="1" applyBorder="1" applyAlignment="1">
      <alignment horizontal="center" vertical="center" wrapText="1"/>
    </xf>
    <xf numFmtId="165" fontId="4" fillId="8" borderId="51" xfId="0" applyNumberFormat="1" applyFont="1" applyFill="1" applyBorder="1" applyAlignment="1">
      <alignment horizontal="center" vertical="center" wrapText="1"/>
    </xf>
    <xf numFmtId="165" fontId="4" fillId="8" borderId="10" xfId="0" applyNumberFormat="1" applyFont="1" applyFill="1" applyBorder="1" applyAlignment="1">
      <alignment horizontal="center" vertical="center" wrapText="1"/>
    </xf>
    <xf numFmtId="165" fontId="4" fillId="8" borderId="36" xfId="0" applyNumberFormat="1" applyFont="1" applyFill="1" applyBorder="1" applyAlignment="1">
      <alignment horizontal="center" vertical="center" wrapText="1"/>
    </xf>
    <xf numFmtId="165" fontId="0" fillId="10" borderId="51" xfId="0" applyNumberFormat="1" applyFill="1" applyBorder="1" applyAlignment="1">
      <alignment horizontal="center" vertical="center"/>
    </xf>
    <xf numFmtId="165" fontId="0" fillId="10" borderId="36" xfId="0" applyNumberFormat="1" applyFill="1" applyBorder="1" applyAlignment="1">
      <alignment horizontal="center" vertical="center"/>
    </xf>
    <xf numFmtId="0" fontId="0" fillId="5" borderId="16" xfId="0" applyFill="1" applyBorder="1" applyAlignment="1">
      <alignment horizontal="center" vertical="center" wrapText="1"/>
    </xf>
    <xf numFmtId="0" fontId="0" fillId="5" borderId="54"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5" borderId="37"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30" xfId="0"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39"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54" xfId="0" applyFont="1" applyFill="1" applyBorder="1" applyAlignment="1">
      <alignment horizontal="left" vertical="center" wrapText="1"/>
    </xf>
    <xf numFmtId="0" fontId="1" fillId="5" borderId="14"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31" xfId="0" applyFont="1" applyFill="1" applyBorder="1" applyAlignment="1">
      <alignment horizontal="left" vertical="center" wrapText="1"/>
    </xf>
    <xf numFmtId="0" fontId="1" fillId="2" borderId="5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9" borderId="44" xfId="0" applyFont="1" applyFill="1" applyBorder="1" applyAlignment="1">
      <alignment horizontal="center" vertical="center" wrapText="1"/>
    </xf>
    <xf numFmtId="0" fontId="0" fillId="16" borderId="10" xfId="0" applyFill="1" applyBorder="1" applyAlignment="1">
      <alignment horizontal="center" vertical="center"/>
    </xf>
    <xf numFmtId="0" fontId="9" fillId="0" borderId="0" xfId="0" applyFont="1" applyAlignment="1">
      <alignment horizontal="center"/>
    </xf>
    <xf numFmtId="0" fontId="0" fillId="0" borderId="11" xfId="0" applyFill="1" applyBorder="1" applyAlignment="1">
      <alignment horizontal="center" vertical="center" wrapText="1"/>
    </xf>
    <xf numFmtId="0" fontId="0" fillId="6" borderId="9" xfId="0"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0"/>
  <sheetViews>
    <sheetView tabSelected="1" zoomScale="74" workbookViewId="0">
      <selection activeCell="D5" sqref="D5"/>
    </sheetView>
  </sheetViews>
  <sheetFormatPr baseColWidth="10" defaultRowHeight="14.5" x14ac:dyDescent="0.35"/>
  <cols>
    <col min="1" max="1" width="33.6328125" style="1" customWidth="1"/>
    <col min="2" max="2" width="19.90625" customWidth="1"/>
    <col min="3" max="3" width="14.36328125" bestFit="1" customWidth="1"/>
    <col min="4" max="4" width="15.7265625" customWidth="1"/>
    <col min="5" max="33" width="14.36328125" bestFit="1" customWidth="1"/>
  </cols>
  <sheetData>
    <row r="1" spans="1:4" ht="21" x14ac:dyDescent="0.5">
      <c r="A1" s="180" t="s">
        <v>224</v>
      </c>
      <c r="B1" s="180"/>
      <c r="D1" s="109"/>
    </row>
    <row r="4" spans="1:4" ht="15" thickBot="1" x14ac:dyDescent="0.4">
      <c r="B4" s="9"/>
    </row>
    <row r="5" spans="1:4" ht="37.5" thickBot="1" x14ac:dyDescent="0.4">
      <c r="A5" s="31" t="s">
        <v>183</v>
      </c>
      <c r="B5" s="136">
        <f>IF(B11&gt;=30,MIN(B43,B49),((1/B11)*(SUM(B31:AF31))))</f>
        <v>272.79228827627907</v>
      </c>
    </row>
    <row r="6" spans="1:4" ht="37.5" thickBot="1" x14ac:dyDescent="0.4">
      <c r="A6" s="31" t="s">
        <v>159</v>
      </c>
      <c r="B6" s="136">
        <f>B5*B10</f>
        <v>2570.1125439949633</v>
      </c>
    </row>
    <row r="8" spans="1:4" ht="15" thickBot="1" x14ac:dyDescent="0.4"/>
    <row r="9" spans="1:4" ht="15" thickBot="1" x14ac:dyDescent="0.4">
      <c r="A9" s="153" t="s">
        <v>13</v>
      </c>
      <c r="B9" s="154"/>
    </row>
    <row r="10" spans="1:4" x14ac:dyDescent="0.35">
      <c r="A10" s="2" t="s">
        <v>7</v>
      </c>
      <c r="B10" s="96">
        <v>9.4215</v>
      </c>
    </row>
    <row r="11" spans="1:4" x14ac:dyDescent="0.35">
      <c r="A11" s="3" t="s">
        <v>14</v>
      </c>
      <c r="B11" s="97">
        <v>31</v>
      </c>
    </row>
    <row r="12" spans="1:4" x14ac:dyDescent="0.35">
      <c r="A12" s="3" t="s">
        <v>18</v>
      </c>
      <c r="B12" s="97" t="s">
        <v>20</v>
      </c>
    </row>
    <row r="13" spans="1:4" x14ac:dyDescent="0.35">
      <c r="A13" s="3" t="s">
        <v>15</v>
      </c>
      <c r="B13" s="97">
        <v>31</v>
      </c>
    </row>
    <row r="14" spans="1:4" x14ac:dyDescent="0.35">
      <c r="A14" s="3" t="s">
        <v>16</v>
      </c>
      <c r="B14" s="24">
        <v>30</v>
      </c>
    </row>
    <row r="15" spans="1:4" x14ac:dyDescent="0.35">
      <c r="A15" s="114" t="s">
        <v>145</v>
      </c>
      <c r="B15" s="115" t="s">
        <v>147</v>
      </c>
    </row>
    <row r="16" spans="1:4" ht="29.5" thickBot="1" x14ac:dyDescent="0.4">
      <c r="A16" s="112" t="s">
        <v>218</v>
      </c>
      <c r="B16" s="113" t="s">
        <v>221</v>
      </c>
    </row>
    <row r="17" spans="1:177" ht="15" thickBot="1" x14ac:dyDescent="0.4"/>
    <row r="18" spans="1:177" s="5" customFormat="1" ht="15.5" x14ac:dyDescent="0.35">
      <c r="A18" s="116" t="s">
        <v>0</v>
      </c>
      <c r="B18" s="117"/>
      <c r="C18" s="117"/>
      <c r="D18" s="117"/>
      <c r="E18" s="117"/>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55"/>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98</v>
      </c>
      <c r="B19" s="12">
        <v>0</v>
      </c>
      <c r="C19" s="12">
        <v>1</v>
      </c>
      <c r="D19" s="12">
        <v>2</v>
      </c>
      <c r="E19" s="12">
        <v>3</v>
      </c>
      <c r="F19" s="12">
        <v>4</v>
      </c>
      <c r="G19" s="12">
        <v>5</v>
      </c>
      <c r="H19" s="12">
        <v>6</v>
      </c>
      <c r="I19" s="12">
        <v>7</v>
      </c>
      <c r="J19" s="12">
        <v>8</v>
      </c>
      <c r="K19" s="12">
        <v>9</v>
      </c>
      <c r="L19" s="12">
        <v>10</v>
      </c>
      <c r="M19" s="12">
        <v>11</v>
      </c>
      <c r="N19" s="12">
        <v>12</v>
      </c>
      <c r="O19" s="137">
        <v>13</v>
      </c>
      <c r="P19" s="12">
        <v>14</v>
      </c>
      <c r="Q19" s="12">
        <v>15</v>
      </c>
      <c r="R19" s="12">
        <v>16</v>
      </c>
      <c r="S19" s="12">
        <v>17</v>
      </c>
      <c r="T19" s="12">
        <v>18</v>
      </c>
      <c r="U19" s="12">
        <v>19</v>
      </c>
      <c r="V19" s="137">
        <v>20</v>
      </c>
      <c r="W19" s="12">
        <v>21</v>
      </c>
      <c r="X19" s="12">
        <v>22</v>
      </c>
      <c r="Y19" s="12">
        <v>23</v>
      </c>
      <c r="Z19" s="12">
        <v>24</v>
      </c>
      <c r="AA19" s="12">
        <v>25</v>
      </c>
      <c r="AB19" s="12">
        <v>26</v>
      </c>
      <c r="AC19" s="12">
        <v>27</v>
      </c>
      <c r="AD19" s="12">
        <v>28</v>
      </c>
      <c r="AE19" s="12">
        <v>29</v>
      </c>
      <c r="AF19" s="13">
        <v>30</v>
      </c>
      <c r="AG19" s="179">
        <v>31</v>
      </c>
      <c r="AH19" s="55"/>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18" t="s">
        <v>3</v>
      </c>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55"/>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193</v>
      </c>
      <c r="B21" s="98">
        <f>(((B22+B24)*$B$33)+(B25+B26))*(44/12)</f>
        <v>165</v>
      </c>
      <c r="C21" s="98">
        <f>(((C22+C24)*$B$33)+(C25+C26))*(44/12)</f>
        <v>176.73708970400176</v>
      </c>
      <c r="D21" s="98">
        <f>(((D22+D24)*$B$33)+(D25+D26))*(44/12)</f>
        <v>188.05404080946866</v>
      </c>
      <c r="E21" s="98">
        <f>(((E22+E24)*$B$33)+(E25+E26))*(44/12)</f>
        <v>199.21710927801863</v>
      </c>
      <c r="F21" s="98">
        <f>(((F22+F24)*$B$33)+(F25+F26))*(44/12)</f>
        <v>210.27539315473356</v>
      </c>
      <c r="G21" s="98">
        <f>(((G22+G24)*$B$33)+(G25+G26))*(44/12)</f>
        <v>221.25139425014837</v>
      </c>
      <c r="H21" s="98">
        <f>(((H22+H24)*$B$33)+(H25+H26))*(44/12)</f>
        <v>232.158139021436</v>
      </c>
      <c r="I21" s="98">
        <f>(((I22+I24)*$B$33)+(I25+I26))*(44/12)</f>
        <v>243.00417860000124</v>
      </c>
      <c r="J21" s="98">
        <f>(((J22+J24)*$B$33)+(J25+J26))*(44/12)</f>
        <v>253.79559685344651</v>
      </c>
      <c r="K21" s="98">
        <f>(((K22+K24)*$B$33)+(K25+K26))*(44/12)</f>
        <v>264.5369740846827</v>
      </c>
      <c r="L21" s="98">
        <f>(((L22+L24)*$B$33)+(L25+L26))*(44/12)</f>
        <v>294.44184697502789</v>
      </c>
      <c r="M21" s="98">
        <f>(((M22+M24)*$B$33)+(M25+M26))*(44/12)</f>
        <v>327.35997648822331</v>
      </c>
      <c r="N21" s="98">
        <f>(((N22+N24)*$B$33)+(N25+N26))*(44/12)</f>
        <v>362.45800505239941</v>
      </c>
      <c r="O21" s="98">
        <f>(((O22+O24)*$B$33)+(O25+O26))*(44/12)</f>
        <v>399.50603658675266</v>
      </c>
      <c r="P21" s="98">
        <f>(((P22+P24)*$B$33)+(P25+P26))*(44/12)</f>
        <v>382.8530392757778</v>
      </c>
      <c r="Q21" s="98">
        <f>(((Q22+Q24)*$B$33)+(Q25+Q26))*(44/12)</f>
        <v>416.72771460905619</v>
      </c>
      <c r="R21" s="98">
        <f>(((R22+R24)*$B$33)+(R25+R26))*(44/12)</f>
        <v>451.41341552762276</v>
      </c>
      <c r="S21" s="98">
        <f>(((S22+S24)*$B$33)+(S25+S26))*(44/12)</f>
        <v>486.44978742487717</v>
      </c>
      <c r="T21" s="98">
        <f>(((T22+T24)*$B$33)+(T25+T26))*(44/12)</f>
        <v>521.61282029646486</v>
      </c>
      <c r="U21" s="98">
        <f>(((U22+U24)*$B$33)+(U25+U26))*(44/12)</f>
        <v>556.6784528689866</v>
      </c>
      <c r="V21" s="98">
        <f>(((V22+V24)*$B$33)+(V25+V26))*(44/12)</f>
        <v>591.42267068376805</v>
      </c>
      <c r="W21" s="98">
        <f>(((W22+W24)*$B$33)+(W25+W26))*(44/12)</f>
        <v>529.05156033164815</v>
      </c>
      <c r="X21" s="98">
        <f>(((X22+X24)*$B$33)+(X25+X26))*(44/12)</f>
        <v>558.92602731214652</v>
      </c>
      <c r="Y21" s="98">
        <f>(((Y22+Y24)*$B$33)+(Y25+Y26))*(44/12)</f>
        <v>588.61549557497653</v>
      </c>
      <c r="Z21" s="98">
        <f>(((Z22+Z24)*$B$33)+(Z25+Z26))*(44/12)</f>
        <v>618.12508933781692</v>
      </c>
      <c r="AA21" s="98">
        <f>(((AA22+AA24)*$B$33)+(AA25+AA26))*(44/12)</f>
        <v>646.64658832020837</v>
      </c>
      <c r="AB21" s="98">
        <f>(((AB22+AB24)*$B$33)+(AB25+AB26))*(44/12)</f>
        <v>674.76667534675926</v>
      </c>
      <c r="AC21" s="98">
        <f>(((AC22+AC24)*$B$33)+(AC25+AC26))*(44/12)</f>
        <v>701.91028697739557</v>
      </c>
      <c r="AD21" s="98">
        <f>(((AD22+AD24)*$B$33)+(AD25+AD26))*(44/12)</f>
        <v>728.31416106792346</v>
      </c>
      <c r="AE21" s="98">
        <f>(((AE22+AE24)*$B$33)+(AE25+AE26))*(44/12)</f>
        <v>753.52004252312997</v>
      </c>
      <c r="AF21" s="98">
        <f>(((AF22+AF24)*$B$33)+(AF25+AF26))*(44/12)</f>
        <v>777.99461249403225</v>
      </c>
      <c r="AG21" s="129">
        <f>(((AG22+AG24)*$B$33)+(AG25+AG26))*(44/12)</f>
        <v>800.40338240038523</v>
      </c>
      <c r="AH21" s="55"/>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190</v>
      </c>
      <c r="B22" s="98">
        <f>B23*$B$34*$C$35</f>
        <v>0</v>
      </c>
      <c r="C22" s="98">
        <f>C23*$B$34*$C$35</f>
        <v>3.6703333333333332</v>
      </c>
      <c r="D22" s="98">
        <f>D23*$B$34*$C$35</f>
        <v>7.3406666666666665</v>
      </c>
      <c r="E22" s="98">
        <f>E23*$B$34*$C$35</f>
        <v>11.011000000000001</v>
      </c>
      <c r="F22" s="98">
        <f>F23*$B$34*$C$35</f>
        <v>14.681333333333333</v>
      </c>
      <c r="G22" s="98">
        <f>G23*$B$34*$C$35</f>
        <v>18.351666666666667</v>
      </c>
      <c r="H22" s="98">
        <f>H23*$B$34*$C$35</f>
        <v>22.022000000000002</v>
      </c>
      <c r="I22" s="98">
        <f>I23*$B$34*$C$35</f>
        <v>25.692333333333334</v>
      </c>
      <c r="J22" s="98">
        <f>J23*$B$34*$C$35</f>
        <v>29.362666666666666</v>
      </c>
      <c r="K22" s="98">
        <f>K23*$B$34*$C$35</f>
        <v>33.033000000000001</v>
      </c>
      <c r="L22" s="98">
        <f>L23*$B$34*$C$35</f>
        <v>45.427200000000006</v>
      </c>
      <c r="M22" s="98">
        <f>M23*$B$34*$C$35</f>
        <v>59.2956</v>
      </c>
      <c r="N22" s="98">
        <f>N23*$B$34*$C$35</f>
        <v>74.256</v>
      </c>
      <c r="O22" s="98">
        <f>O23*$B$34*$C$35</f>
        <v>90.19919999999999</v>
      </c>
      <c r="P22" s="98">
        <f>P23*$B$34*$C$35</f>
        <v>81.353999999999999</v>
      </c>
      <c r="Q22" s="98">
        <f>Q23*$B$34*$C$35</f>
        <v>95.877600000000001</v>
      </c>
      <c r="R22" s="98">
        <f>R23*$B$34*$C$35</f>
        <v>110.83800000000001</v>
      </c>
      <c r="S22" s="98">
        <f>S23*$B$34*$C$35</f>
        <v>126.0168</v>
      </c>
      <c r="T22" s="98">
        <f>T23*$B$34*$C$35</f>
        <v>141.30480000000003</v>
      </c>
      <c r="U22" s="98">
        <f>U23*$B$34*$C$35</f>
        <v>156.59280000000001</v>
      </c>
      <c r="V22" s="98">
        <f>V23*$B$34*$C$35</f>
        <v>171.77160000000001</v>
      </c>
      <c r="W22" s="98">
        <f>W23*$B$34*$C$35</f>
        <v>141.46860000000001</v>
      </c>
      <c r="X22" s="98">
        <f>X23*$B$34*$C$35</f>
        <v>154.35419999999999</v>
      </c>
      <c r="Y22" s="98">
        <f>Y23*$B$34*$C$35</f>
        <v>167.18520000000001</v>
      </c>
      <c r="Z22" s="98">
        <f>Z23*$B$34*$C$35</f>
        <v>179.9616</v>
      </c>
      <c r="AA22" s="98">
        <f>AA23*$B$34*$C$35</f>
        <v>192.30119999999999</v>
      </c>
      <c r="AB22" s="98">
        <f>AB23*$B$34*$C$35</f>
        <v>204.477</v>
      </c>
      <c r="AC22" s="98">
        <f>AC23*$B$34*$C$35</f>
        <v>216.21600000000001</v>
      </c>
      <c r="AD22" s="98">
        <f>AD23*$B$34*$C$35</f>
        <v>227.62739999999999</v>
      </c>
      <c r="AE22" s="98">
        <f>AE23*$B$34*$C$35</f>
        <v>238.49280000000002</v>
      </c>
      <c r="AF22" s="98">
        <f>AF23*$B$34*$C$35</f>
        <v>249.03060000000002</v>
      </c>
      <c r="AG22" s="129">
        <f>AG23*$B$34*$C$35</f>
        <v>259.18619999999999</v>
      </c>
      <c r="AH22" s="55"/>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12</v>
      </c>
      <c r="B23" s="122">
        <v>0</v>
      </c>
      <c r="C23" s="122">
        <f>60.5/9</f>
        <v>6.7222222222222223</v>
      </c>
      <c r="D23" s="122">
        <f>C23+(60.5/9)</f>
        <v>13.444444444444445</v>
      </c>
      <c r="E23" s="122">
        <f t="shared" ref="E23:K23" si="0">D23+(60.5/9)</f>
        <v>20.166666666666668</v>
      </c>
      <c r="F23" s="122">
        <f t="shared" si="0"/>
        <v>26.888888888888889</v>
      </c>
      <c r="G23" s="122">
        <f t="shared" si="0"/>
        <v>33.611111111111114</v>
      </c>
      <c r="H23" s="122">
        <f t="shared" si="0"/>
        <v>40.333333333333336</v>
      </c>
      <c r="I23" s="122">
        <f t="shared" si="0"/>
        <v>47.055555555555557</v>
      </c>
      <c r="J23" s="122">
        <f t="shared" si="0"/>
        <v>53.777777777777779</v>
      </c>
      <c r="K23" s="122">
        <f t="shared" si="0"/>
        <v>60.5</v>
      </c>
      <c r="L23" s="122">
        <v>83.2</v>
      </c>
      <c r="M23" s="122">
        <v>108.6</v>
      </c>
      <c r="N23" s="122">
        <v>136</v>
      </c>
      <c r="O23" s="122">
        <v>165.2</v>
      </c>
      <c r="P23" s="122">
        <v>149</v>
      </c>
      <c r="Q23" s="122">
        <v>175.6</v>
      </c>
      <c r="R23" s="122">
        <v>203</v>
      </c>
      <c r="S23" s="122">
        <v>230.8</v>
      </c>
      <c r="T23" s="122">
        <v>258.8</v>
      </c>
      <c r="U23" s="122">
        <v>286.8</v>
      </c>
      <c r="V23" s="122">
        <v>314.60000000000002</v>
      </c>
      <c r="W23" s="122">
        <v>259.10000000000002</v>
      </c>
      <c r="X23" s="122">
        <v>282.7</v>
      </c>
      <c r="Y23" s="122">
        <v>306.2</v>
      </c>
      <c r="Z23" s="122">
        <v>329.6</v>
      </c>
      <c r="AA23" s="122">
        <v>352.2</v>
      </c>
      <c r="AB23" s="122">
        <v>374.5</v>
      </c>
      <c r="AC23" s="122">
        <v>396</v>
      </c>
      <c r="AD23" s="122">
        <v>416.9</v>
      </c>
      <c r="AE23" s="122">
        <v>436.8</v>
      </c>
      <c r="AF23" s="123">
        <v>456.1</v>
      </c>
      <c r="AG23" s="123">
        <v>474.7</v>
      </c>
      <c r="AH23" s="55"/>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191</v>
      </c>
      <c r="B24" s="98">
        <v>0</v>
      </c>
      <c r="C24" s="98">
        <f>EXP(-1.0587+0.8836*LN(C22)+0.284)</f>
        <v>1.4538709256587692</v>
      </c>
      <c r="D24" s="98">
        <f t="shared" ref="D24:AG24" si="1">EXP(-1.0587+0.8836*LN(D22)+0.284)</f>
        <v>2.6823531545588746</v>
      </c>
      <c r="E24" s="98">
        <f t="shared" si="1"/>
        <v>3.8380461482107635</v>
      </c>
      <c r="F24" s="98">
        <f t="shared" si="1"/>
        <v>4.9488701636369701</v>
      </c>
      <c r="G24" s="98">
        <f t="shared" si="1"/>
        <v>6.0274795766066598</v>
      </c>
      <c r="H24" s="98">
        <f t="shared" si="1"/>
        <v>7.0810929713935051</v>
      </c>
      <c r="I24" s="98">
        <f t="shared" si="1"/>
        <v>8.114363890168109</v>
      </c>
      <c r="J24" s="98">
        <f t="shared" si="1"/>
        <v>9.1305337087740472</v>
      </c>
      <c r="K24" s="98">
        <f t="shared" si="1"/>
        <v>10.131984879689941</v>
      </c>
      <c r="L24" s="98">
        <f t="shared" si="1"/>
        <v>13.426303343530927</v>
      </c>
      <c r="M24" s="98">
        <f t="shared" si="1"/>
        <v>16.990052370780411</v>
      </c>
      <c r="N24" s="98">
        <f t="shared" si="1"/>
        <v>20.726714411291823</v>
      </c>
      <c r="O24" s="98">
        <f t="shared" si="1"/>
        <v>24.613261053665369</v>
      </c>
      <c r="P24" s="98">
        <f t="shared" si="1"/>
        <v>22.467920097706028</v>
      </c>
      <c r="Q24" s="98">
        <f t="shared" si="1"/>
        <v>25.97749933560296</v>
      </c>
      <c r="R24" s="98">
        <f t="shared" si="1"/>
        <v>29.528336615603067</v>
      </c>
      <c r="S24" s="98">
        <f t="shared" si="1"/>
        <v>33.074298435792052</v>
      </c>
      <c r="T24" s="98">
        <f t="shared" si="1"/>
        <v>36.595755275288994</v>
      </c>
      <c r="U24" s="98">
        <f t="shared" si="1"/>
        <v>40.073051842658209</v>
      </c>
      <c r="V24" s="98">
        <f t="shared" si="1"/>
        <v>43.486563328347792</v>
      </c>
      <c r="W24" s="98">
        <f t="shared" si="1"/>
        <v>36.633236529630913</v>
      </c>
      <c r="X24" s="98">
        <f t="shared" si="1"/>
        <v>39.566439277709939</v>
      </c>
      <c r="Y24" s="98">
        <f t="shared" si="1"/>
        <v>42.458990736132044</v>
      </c>
      <c r="Z24" s="98">
        <f t="shared" si="1"/>
        <v>45.313642767960104</v>
      </c>
      <c r="AA24" s="98">
        <f t="shared" si="1"/>
        <v>48.04835848069456</v>
      </c>
      <c r="AB24" s="98">
        <f t="shared" si="1"/>
        <v>50.726805529704762</v>
      </c>
      <c r="AC24" s="98">
        <f t="shared" si="1"/>
        <v>53.291623409473033</v>
      </c>
      <c r="AD24" s="98">
        <f t="shared" si="1"/>
        <v>55.769360753649444</v>
      </c>
      <c r="AE24" s="98">
        <f t="shared" si="1"/>
        <v>58.115130258576592</v>
      </c>
      <c r="AF24" s="98">
        <f t="shared" si="1"/>
        <v>60.378311518271957</v>
      </c>
      <c r="AG24" s="129">
        <f t="shared" si="1"/>
        <v>62.548877045493469</v>
      </c>
      <c r="AH24" s="131"/>
    </row>
    <row r="25" spans="1:177" ht="31.5" customHeight="1" x14ac:dyDescent="0.35">
      <c r="A25" s="3" t="s">
        <v>11</v>
      </c>
      <c r="B25" s="98">
        <f>IF($B$15="Culture agricole",(45+25*(1-(EXP(-0.0175*B19)))),$B$41)</f>
        <v>45</v>
      </c>
      <c r="C25" s="98">
        <f>IF($B$15="Culture agricole",(45+25*(1-(EXP(-0.0175*C19)))),$B$41)</f>
        <v>45.433694108373167</v>
      </c>
      <c r="D25" s="98">
        <f>IF($B$15="Culture agricole",(45+25*(1-(EXP(-0.0175*D19)))),$B$41)</f>
        <v>45.859864593560836</v>
      </c>
      <c r="E25" s="98">
        <f>IF($B$15="Culture agricole",(45+25*(1-(EXP(-0.0175*E19)))),$B$41)</f>
        <v>46.278641973604969</v>
      </c>
      <c r="F25" s="98">
        <f>IF($B$15="Culture agricole",(45+25*(1-(EXP(-0.0175*F19)))),$B$41)</f>
        <v>46.690154502351291</v>
      </c>
      <c r="G25" s="98">
        <f>IF($B$15="Culture agricole",(45+25*(1-(EXP(-0.0175*G19)))),$B$41)</f>
        <v>47.094528208728065</v>
      </c>
      <c r="H25" s="98">
        <f>IF($B$15="Culture agricole",(45+25*(1-(EXP(-0.0175*H19)))),$B$41)</f>
        <v>47.491886935343359</v>
      </c>
      <c r="I25" s="98">
        <f>IF($B$15="Culture agricole",(45+25*(1-(EXP(-0.0175*I19)))),$B$41)</f>
        <v>47.882352376412911</v>
      </c>
      <c r="J25" s="98">
        <f>IF($B$15="Culture agricole",(45+25*(1-(EXP(-0.0175*J19)))),$B$41)</f>
        <v>48.266044115029857</v>
      </c>
      <c r="K25" s="98">
        <f>IF($B$15="Culture agricole",(45+25*(1-(EXP(-0.0175*K19)))),$B$41)</f>
        <v>48.643079659788015</v>
      </c>
      <c r="L25" s="98">
        <f>IF($B$15="Culture agricole",(45+25*(1-(EXP(-0.0175*L19)))),$B$41)</f>
        <v>49.013574480769819</v>
      </c>
      <c r="M25" s="98">
        <f>IF($B$15="Culture agricole",(45+25*(1-(EXP(-0.0175*M19)))),$B$41)</f>
        <v>49.377642044909919</v>
      </c>
      <c r="N25" s="98">
        <f>IF($B$15="Culture agricole",(45+25*(1-(EXP(-0.0175*N19)))),$B$41)</f>
        <v>49.735393850745325</v>
      </c>
      <c r="O25" s="98">
        <f>IF($B$15="Culture agricole",(45+25*(1-(EXP(-0.0175*O19)))),$B$41)</f>
        <v>50.086939462562704</v>
      </c>
      <c r="P25" s="98">
        <f>IF($B$15="Culture agricole",(45+25*(1-(EXP(-0.0175*P19)))),$B$41)</f>
        <v>50.432386543953299</v>
      </c>
      <c r="Q25" s="98">
        <f>IF($B$15="Culture agricole",(45+25*(1-(EXP(-0.0175*Q19)))),$B$41)</f>
        <v>50.771840890785739</v>
      </c>
      <c r="R25" s="98">
        <f>IF($B$15="Culture agricole",(45+25*(1-(EXP(-0.0175*R19)))),$B$41)</f>
        <v>51.105406463606862</v>
      </c>
      <c r="S25" s="98">
        <f>IF($B$15="Culture agricole",(45+25*(1-(EXP(-0.0175*S19)))),$B$41)</f>
        <v>51.433185419480445</v>
      </c>
      <c r="T25" s="98">
        <f>IF($B$15="Culture agricole",(45+25*(1-(EXP(-0.0175*T19)))),$B$41)</f>
        <v>51.755278143273578</v>
      </c>
      <c r="U25" s="98">
        <f>IF($B$15="Culture agricole",(45+25*(1-(EXP(-0.0175*U19)))),$B$41)</f>
        <v>52.07178327840036</v>
      </c>
      <c r="V25" s="98">
        <f>IF($B$15="Culture agricole",(45+25*(1-(EXP(-0.0175*V19)))),$B$41)</f>
        <v>52.382797757032165</v>
      </c>
      <c r="W25" s="98">
        <f>IF($B$15="Culture agricole",(45+25*(1-(EXP(-0.0175*W19)))),$B$41)</f>
        <v>52.688416829783918</v>
      </c>
      <c r="X25" s="98">
        <f>IF($B$15="Culture agricole",(45+25*(1-(EXP(-0.0175*X19)))),$B$41)</f>
        <v>52.988734094885309</v>
      </c>
      <c r="Y25" s="98">
        <f>IF($B$15="Culture agricole",(45+25*(1-(EXP(-0.0175*Y19)))),$B$41)</f>
        <v>53.283841526846018</v>
      </c>
      <c r="Z25" s="98">
        <f>IF($B$15="Culture agricole",(45+25*(1-(EXP(-0.0175*Z19)))),$B$41)</f>
        <v>53.573829504623582</v>
      </c>
      <c r="AA25" s="98">
        <f>IF($B$15="Culture agricole",(45+25*(1-(EXP(-0.0175*AA19)))),$B$41)</f>
        <v>53.858786839302695</v>
      </c>
      <c r="AB25" s="98">
        <f>IF($B$15="Culture agricole",(45+25*(1-(EXP(-0.0175*AB19)))),$B$41)</f>
        <v>54.138800801294295</v>
      </c>
      <c r="AC25" s="98">
        <f>IF($B$15="Culture agricole",(45+25*(1-(EXP(-0.0175*AC19)))),$B$41)</f>
        <v>54.413957147062774</v>
      </c>
      <c r="AD25" s="98">
        <f>IF($B$15="Culture agricole",(45+25*(1-(EXP(-0.0175*AD19)))),$B$41)</f>
        <v>54.684340145389598</v>
      </c>
      <c r="AE25" s="98">
        <f>IF($B$15="Culture agricole",(45+25*(1-(EXP(-0.0175*AE19)))),$B$41)</f>
        <v>54.950032603181285</v>
      </c>
      <c r="AF25" s="98">
        <f>IF($B$15="Culture agricole",(45+25*(1-(EXP(-0.0175*AF19)))),$B$41)</f>
        <v>55.211115890829625</v>
      </c>
      <c r="AG25" s="129">
        <f>IF($B$15="Culture agricole",(45+25*(1-(EXP(-0.0175*AG19)))),$B$41)</f>
        <v>55.467669967132053</v>
      </c>
      <c r="AH25" s="131"/>
    </row>
    <row r="26" spans="1:177" x14ac:dyDescent="0.35">
      <c r="A26" s="3" t="s">
        <v>192</v>
      </c>
      <c r="B26" s="98">
        <f t="shared" ref="B26:AF26" si="2">B19*(($B$37-$B$36)/30)</f>
        <v>0</v>
      </c>
      <c r="C26" s="98">
        <f t="shared" si="2"/>
        <v>0.33333333333333331</v>
      </c>
      <c r="D26" s="98">
        <f t="shared" si="2"/>
        <v>0.66666666666666663</v>
      </c>
      <c r="E26" s="98">
        <f t="shared" si="2"/>
        <v>1</v>
      </c>
      <c r="F26" s="98">
        <f t="shared" si="2"/>
        <v>1.3333333333333333</v>
      </c>
      <c r="G26" s="98">
        <f t="shared" si="2"/>
        <v>1.6666666666666665</v>
      </c>
      <c r="H26" s="98">
        <f t="shared" si="2"/>
        <v>2</v>
      </c>
      <c r="I26" s="98">
        <f t="shared" si="2"/>
        <v>2.333333333333333</v>
      </c>
      <c r="J26" s="98">
        <f t="shared" si="2"/>
        <v>2.6666666666666665</v>
      </c>
      <c r="K26" s="98">
        <f t="shared" si="2"/>
        <v>3</v>
      </c>
      <c r="L26" s="98">
        <f t="shared" si="2"/>
        <v>3.333333333333333</v>
      </c>
      <c r="M26" s="98">
        <f t="shared" si="2"/>
        <v>3.6666666666666665</v>
      </c>
      <c r="N26" s="98">
        <f t="shared" si="2"/>
        <v>4</v>
      </c>
      <c r="O26" s="98">
        <f t="shared" si="2"/>
        <v>4.333333333333333</v>
      </c>
      <c r="P26" s="98">
        <f t="shared" si="2"/>
        <v>4.6666666666666661</v>
      </c>
      <c r="Q26" s="98">
        <f t="shared" si="2"/>
        <v>5</v>
      </c>
      <c r="R26" s="98">
        <f t="shared" si="2"/>
        <v>5.333333333333333</v>
      </c>
      <c r="S26" s="98">
        <f t="shared" si="2"/>
        <v>5.6666666666666661</v>
      </c>
      <c r="T26" s="98">
        <f t="shared" si="2"/>
        <v>6</v>
      </c>
      <c r="U26" s="98">
        <f t="shared" si="2"/>
        <v>6.333333333333333</v>
      </c>
      <c r="V26" s="98">
        <f t="shared" si="2"/>
        <v>6.6666666666666661</v>
      </c>
      <c r="W26" s="98">
        <f t="shared" si="2"/>
        <v>7</v>
      </c>
      <c r="X26" s="98">
        <f t="shared" si="2"/>
        <v>7.333333333333333</v>
      </c>
      <c r="Y26" s="98">
        <f t="shared" si="2"/>
        <v>7.6666666666666661</v>
      </c>
      <c r="Z26" s="98">
        <f t="shared" si="2"/>
        <v>8</v>
      </c>
      <c r="AA26" s="98">
        <f t="shared" si="2"/>
        <v>8.3333333333333321</v>
      </c>
      <c r="AB26" s="98">
        <f t="shared" si="2"/>
        <v>8.6666666666666661</v>
      </c>
      <c r="AC26" s="98">
        <f t="shared" si="2"/>
        <v>9</v>
      </c>
      <c r="AD26" s="98">
        <f t="shared" si="2"/>
        <v>9.3333333333333321</v>
      </c>
      <c r="AE26" s="98">
        <f t="shared" si="2"/>
        <v>9.6666666666666661</v>
      </c>
      <c r="AF26" s="98">
        <f t="shared" si="2"/>
        <v>10</v>
      </c>
      <c r="AG26" s="129">
        <v>10</v>
      </c>
      <c r="AH26" s="131"/>
    </row>
    <row r="27" spans="1:177" x14ac:dyDescent="0.35">
      <c r="A27" s="120" t="s">
        <v>2</v>
      </c>
      <c r="B27" s="121"/>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31"/>
    </row>
    <row r="28" spans="1:177" x14ac:dyDescent="0.35">
      <c r="A28" s="3" t="s">
        <v>194</v>
      </c>
      <c r="B28" s="98">
        <f>IF($B$15="Culture agricole",($B$38+$B$40)*(44/12),(((#REF!+#REF!)*$B$33)+B29+B30)*(44/12))</f>
        <v>183.33333333333331</v>
      </c>
      <c r="C28" s="98">
        <f>IF($B$15="Culture agricole",($B$38+$B$40)*(44/12),(((#REF!+#REF!)*$B$33)+C29+C30)*(44/12))</f>
        <v>183.33333333333331</v>
      </c>
      <c r="D28" s="98">
        <f>IF($B$15="Culture agricole",($B$38+$B$40)*(44/12),(((#REF!+#REF!)*$B$33)+D29+D30)*(44/12))</f>
        <v>183.33333333333331</v>
      </c>
      <c r="E28" s="98">
        <f>IF($B$15="Culture agricole",($B$38+$B$40)*(44/12),(((#REF!+#REF!)*$B$33)+E29+E30)*(44/12))</f>
        <v>183.33333333333331</v>
      </c>
      <c r="F28" s="98">
        <f>IF($B$15="Culture agricole",($B$38+$B$40)*(44/12),(((#REF!+#REF!)*$B$33)+F29+F30)*(44/12))</f>
        <v>183.33333333333331</v>
      </c>
      <c r="G28" s="98">
        <f>IF($B$15="Culture agricole",($B$38+$B$40)*(44/12),(((#REF!+#REF!)*$B$33)+G29+G30)*(44/12))</f>
        <v>183.33333333333331</v>
      </c>
      <c r="H28" s="98">
        <f>IF($B$15="Culture agricole",($B$38+$B$40)*(44/12),(((#REF!+#REF!)*$B$33)+H29+H30)*(44/12))</f>
        <v>183.33333333333331</v>
      </c>
      <c r="I28" s="98">
        <f>IF($B$15="Culture agricole",($B$38+$B$40)*(44/12),(((#REF!+#REF!)*$B$33)+I29+I30)*(44/12))</f>
        <v>183.33333333333331</v>
      </c>
      <c r="J28" s="98">
        <f>IF($B$15="Culture agricole",($B$38+$B$40)*(44/12),(((#REF!+#REF!)*$B$33)+J29+J30)*(44/12))</f>
        <v>183.33333333333331</v>
      </c>
      <c r="K28" s="98">
        <f>IF($B$15="Culture agricole",($B$38+$B$40)*(44/12),(((#REF!+#REF!)*$B$33)+K29+K30)*(44/12))</f>
        <v>183.33333333333331</v>
      </c>
      <c r="L28" s="98">
        <f>IF($B$15="Culture agricole",($B$38+$B$40)*(44/12),(((#REF!+#REF!)*$B$33)+L29+L30)*(44/12))</f>
        <v>183.33333333333331</v>
      </c>
      <c r="M28" s="98">
        <f>IF($B$15="Culture agricole",($B$38+$B$40)*(44/12),(((#REF!+#REF!)*$B$33)+M29+M30)*(44/12))</f>
        <v>183.33333333333331</v>
      </c>
      <c r="N28" s="98">
        <f>IF($B$15="Culture agricole",($B$38+$B$40)*(44/12),(((#REF!+#REF!)*$B$33)+N29+N30)*(44/12))</f>
        <v>183.33333333333331</v>
      </c>
      <c r="O28" s="98">
        <f>IF($B$15="Culture agricole",($B$38+$B$40)*(44/12),(((#REF!+#REF!)*$B$33)+O29+O30)*(44/12))</f>
        <v>183.33333333333331</v>
      </c>
      <c r="P28" s="98">
        <f>IF($B$15="Culture agricole",($B$38+$B$40)*(44/12),(((#REF!+#REF!)*$B$33)+P29+P30)*(44/12))</f>
        <v>183.33333333333331</v>
      </c>
      <c r="Q28" s="98">
        <f>IF($B$15="Culture agricole",($B$38+$B$40)*(44/12),(((#REF!+#REF!)*$B$33)+Q29+Q30)*(44/12))</f>
        <v>183.33333333333331</v>
      </c>
      <c r="R28" s="98">
        <f>IF($B$15="Culture agricole",($B$38+$B$40)*(44/12),(((#REF!+#REF!)*$B$33)+R29+R30)*(44/12))</f>
        <v>183.33333333333331</v>
      </c>
      <c r="S28" s="98">
        <f>IF($B$15="Culture agricole",($B$38+$B$40)*(44/12),(((#REF!+#REF!)*$B$33)+S29+S30)*(44/12))</f>
        <v>183.33333333333331</v>
      </c>
      <c r="T28" s="98">
        <f>IF($B$15="Culture agricole",($B$38+$B$40)*(44/12),(((#REF!+#REF!)*$B$33)+T29+T30)*(44/12))</f>
        <v>183.33333333333331</v>
      </c>
      <c r="U28" s="98">
        <f>IF($B$15="Culture agricole",($B$38+$B$40)*(44/12),(((#REF!+#REF!)*$B$33)+U29+U30)*(44/12))</f>
        <v>183.33333333333331</v>
      </c>
      <c r="V28" s="98">
        <f>IF($B$15="Culture agricole",($B$38+$B$40)*(44/12),(((#REF!+#REF!)*$B$33)+V29+V30)*(44/12))</f>
        <v>183.33333333333331</v>
      </c>
      <c r="W28" s="98">
        <f>IF($B$15="Culture agricole",($B$38+$B$40)*(44/12),(((#REF!+#REF!)*$B$33)+W29+W30)*(44/12))</f>
        <v>183.33333333333331</v>
      </c>
      <c r="X28" s="98">
        <f>IF($B$15="Culture agricole",($B$38+$B$40)*(44/12),(((#REF!+#REF!)*$B$33)+X29+X30)*(44/12))</f>
        <v>183.33333333333331</v>
      </c>
      <c r="Y28" s="98">
        <f>IF($B$15="Culture agricole",($B$38+$B$40)*(44/12),(((#REF!+#REF!)*$B$33)+Y29+Y30)*(44/12))</f>
        <v>183.33333333333331</v>
      </c>
      <c r="Z28" s="98">
        <f>IF($B$15="Culture agricole",($B$38+$B$40)*(44/12),(((#REF!+#REF!)*$B$33)+Z29+Z30)*(44/12))</f>
        <v>183.33333333333331</v>
      </c>
      <c r="AA28" s="98">
        <f>IF($B$15="Culture agricole",($B$38+$B$40)*(44/12),(((#REF!+#REF!)*$B$33)+AA29+AA30)*(44/12))</f>
        <v>183.33333333333331</v>
      </c>
      <c r="AB28" s="98">
        <f>IF($B$15="Culture agricole",($B$38+$B$40)*(44/12),(((#REF!+#REF!)*$B$33)+AB29+AB30)*(44/12))</f>
        <v>183.33333333333331</v>
      </c>
      <c r="AC28" s="98">
        <f>IF($B$15="Culture agricole",($B$38+$B$40)*(44/12),(((#REF!+#REF!)*$B$33)+AC29+AC30)*(44/12))</f>
        <v>183.33333333333331</v>
      </c>
      <c r="AD28" s="98">
        <f>IF($B$15="Culture agricole",($B$38+$B$40)*(44/12),(((#REF!+#REF!)*$B$33)+AD29+AD30)*(44/12))</f>
        <v>183.33333333333331</v>
      </c>
      <c r="AE28" s="98">
        <f>IF($B$15="Culture agricole",($B$38+$B$40)*(44/12),(((#REF!+#REF!)*$B$33)+AE29+AE30)*(44/12))</f>
        <v>183.33333333333331</v>
      </c>
      <c r="AF28" s="98">
        <f>IF($B$15="Culture agricole",($B$38+$B$40)*(44/12),(((#REF!+#REF!)*$B$33)+AF29+AF30)*(44/12))</f>
        <v>183.33333333333331</v>
      </c>
      <c r="AG28" s="129">
        <f>IF($B$15="Culture agricole",($B$38+$B$40)*(44/12),(((#REF!+#REF!)*$B$33)+AG29+AG30)*(44/12))</f>
        <v>183.33333333333331</v>
      </c>
      <c r="AH28" s="131"/>
    </row>
    <row r="29" spans="1:177" ht="29" x14ac:dyDescent="0.35">
      <c r="A29" s="3" t="s">
        <v>11</v>
      </c>
      <c r="B29" s="12">
        <f>IF($B$15="Culture agricole",$B$40,$B$41)</f>
        <v>45</v>
      </c>
      <c r="C29" s="12">
        <f>IF($B$15="Culture agricole",$B$40,$B$41)</f>
        <v>45</v>
      </c>
      <c r="D29" s="12">
        <f>IF($B$15="Culture agricole",$B$40,$B$41)</f>
        <v>45</v>
      </c>
      <c r="E29" s="12">
        <f>IF($B$15="Culture agricole",$B$40,$B$41)</f>
        <v>45</v>
      </c>
      <c r="F29" s="12">
        <f>IF($B$15="Culture agricole",$B$40,$B$41)</f>
        <v>45</v>
      </c>
      <c r="G29" s="12">
        <f>IF($B$15="Culture agricole",$B$40,$B$41)</f>
        <v>45</v>
      </c>
      <c r="H29" s="12">
        <f>IF($B$15="Culture agricole",$B$40,$B$41)</f>
        <v>45</v>
      </c>
      <c r="I29" s="12">
        <f>IF($B$15="Culture agricole",$B$40,$B$41)</f>
        <v>45</v>
      </c>
      <c r="J29" s="12">
        <f>IF($B$15="Culture agricole",$B$40,$B$41)</f>
        <v>45</v>
      </c>
      <c r="K29" s="12">
        <f>IF($B$15="Culture agricole",$B$40,$B$41)</f>
        <v>45</v>
      </c>
      <c r="L29" s="12">
        <f>IF($B$15="Culture agricole",$B$40,$B$41)</f>
        <v>45</v>
      </c>
      <c r="M29" s="12">
        <f>IF($B$15="Culture agricole",$B$40,$B$41)</f>
        <v>45</v>
      </c>
      <c r="N29" s="12">
        <f>IF($B$15="Culture agricole",$B$40,$B$41)</f>
        <v>45</v>
      </c>
      <c r="O29" s="12">
        <f>IF($B$15="Culture agricole",$B$40,$B$41)</f>
        <v>45</v>
      </c>
      <c r="P29" s="12">
        <f>IF($B$15="Culture agricole",$B$40,$B$41)</f>
        <v>45</v>
      </c>
      <c r="Q29" s="12">
        <f>IF($B$15="Culture agricole",$B$40,$B$41)</f>
        <v>45</v>
      </c>
      <c r="R29" s="12">
        <f>IF($B$15="Culture agricole",$B$40,$B$41)</f>
        <v>45</v>
      </c>
      <c r="S29" s="12">
        <f>IF($B$15="Culture agricole",$B$40,$B$41)</f>
        <v>45</v>
      </c>
      <c r="T29" s="12">
        <f>IF($B$15="Culture agricole",$B$40,$B$41)</f>
        <v>45</v>
      </c>
      <c r="U29" s="12">
        <f>IF($B$15="Culture agricole",$B$40,$B$41)</f>
        <v>45</v>
      </c>
      <c r="V29" s="12">
        <f>IF($B$15="Culture agricole",$B$40,$B$41)</f>
        <v>45</v>
      </c>
      <c r="W29" s="12">
        <f>IF($B$15="Culture agricole",$B$40,$B$41)</f>
        <v>45</v>
      </c>
      <c r="X29" s="12">
        <f>IF($B$15="Culture agricole",$B$40,$B$41)</f>
        <v>45</v>
      </c>
      <c r="Y29" s="12">
        <f>IF($B$15="Culture agricole",$B$40,$B$41)</f>
        <v>45</v>
      </c>
      <c r="Z29" s="12">
        <f>IF($B$15="Culture agricole",$B$40,$B$41)</f>
        <v>45</v>
      </c>
      <c r="AA29" s="12">
        <f>IF($B$15="Culture agricole",$B$40,$B$41)</f>
        <v>45</v>
      </c>
      <c r="AB29" s="12">
        <f>IF($B$15="Culture agricole",$B$40,$B$41)</f>
        <v>45</v>
      </c>
      <c r="AC29" s="12">
        <f>IF($B$15="Culture agricole",$B$40,$B$41)</f>
        <v>45</v>
      </c>
      <c r="AD29" s="12">
        <f>IF($B$15="Culture agricole",$B$40,$B$41)</f>
        <v>45</v>
      </c>
      <c r="AE29" s="12">
        <f>IF($B$15="Culture agricole",$B$40,$B$41)</f>
        <v>45</v>
      </c>
      <c r="AF29" s="12">
        <f>IF($B$15="Culture agricole",$B$40,$B$41)</f>
        <v>45</v>
      </c>
      <c r="AG29" s="13">
        <f>IF($B$15="Culture agricole",$B$40,$B$41)</f>
        <v>45</v>
      </c>
      <c r="AH29" s="131"/>
    </row>
    <row r="30" spans="1:177" x14ac:dyDescent="0.35">
      <c r="A30" s="3" t="s">
        <v>192</v>
      </c>
      <c r="B30" s="12">
        <f>$B$36</f>
        <v>0</v>
      </c>
      <c r="C30" s="12">
        <f t="shared" ref="C30:AE30" si="3">$B$36</f>
        <v>0</v>
      </c>
      <c r="D30" s="12">
        <f t="shared" si="3"/>
        <v>0</v>
      </c>
      <c r="E30" s="12">
        <f t="shared" si="3"/>
        <v>0</v>
      </c>
      <c r="F30" s="12">
        <f t="shared" si="3"/>
        <v>0</v>
      </c>
      <c r="G30" s="12">
        <f t="shared" si="3"/>
        <v>0</v>
      </c>
      <c r="H30" s="12">
        <f t="shared" si="3"/>
        <v>0</v>
      </c>
      <c r="I30" s="12">
        <f t="shared" si="3"/>
        <v>0</v>
      </c>
      <c r="J30" s="12">
        <f t="shared" si="3"/>
        <v>0</v>
      </c>
      <c r="K30" s="12">
        <f t="shared" si="3"/>
        <v>0</v>
      </c>
      <c r="L30" s="12">
        <f t="shared" si="3"/>
        <v>0</v>
      </c>
      <c r="M30" s="12">
        <f t="shared" si="3"/>
        <v>0</v>
      </c>
      <c r="N30" s="12">
        <f t="shared" si="3"/>
        <v>0</v>
      </c>
      <c r="O30" s="12">
        <f t="shared" si="3"/>
        <v>0</v>
      </c>
      <c r="P30" s="12">
        <f>$B$36</f>
        <v>0</v>
      </c>
      <c r="Q30" s="12">
        <f t="shared" si="3"/>
        <v>0</v>
      </c>
      <c r="R30" s="12">
        <f t="shared" si="3"/>
        <v>0</v>
      </c>
      <c r="S30" s="12">
        <f t="shared" si="3"/>
        <v>0</v>
      </c>
      <c r="T30" s="12">
        <f t="shared" si="3"/>
        <v>0</v>
      </c>
      <c r="U30" s="12">
        <f t="shared" si="3"/>
        <v>0</v>
      </c>
      <c r="V30" s="12">
        <f t="shared" si="3"/>
        <v>0</v>
      </c>
      <c r="W30" s="12">
        <f t="shared" si="3"/>
        <v>0</v>
      </c>
      <c r="X30" s="12">
        <f t="shared" si="3"/>
        <v>0</v>
      </c>
      <c r="Y30" s="12">
        <f t="shared" si="3"/>
        <v>0</v>
      </c>
      <c r="Z30" s="12">
        <f t="shared" si="3"/>
        <v>0</v>
      </c>
      <c r="AA30" s="12">
        <f t="shared" si="3"/>
        <v>0</v>
      </c>
      <c r="AB30" s="12">
        <f t="shared" si="3"/>
        <v>0</v>
      </c>
      <c r="AC30" s="12">
        <f t="shared" si="3"/>
        <v>0</v>
      </c>
      <c r="AD30" s="12">
        <f t="shared" si="3"/>
        <v>0</v>
      </c>
      <c r="AE30" s="12">
        <f t="shared" si="3"/>
        <v>0</v>
      </c>
      <c r="AF30" s="12">
        <f>$B$36</f>
        <v>0</v>
      </c>
      <c r="AG30" s="13">
        <f>$B$36</f>
        <v>0</v>
      </c>
      <c r="AH30" s="131"/>
    </row>
    <row r="31" spans="1:177" ht="15" thickBot="1" x14ac:dyDescent="0.4">
      <c r="A31" s="101" t="s">
        <v>198</v>
      </c>
      <c r="B31" s="98">
        <f>B21-B28</f>
        <v>-18.333333333333314</v>
      </c>
      <c r="C31" s="128">
        <f t="shared" ref="B31:AG31" si="4">C21-C28</f>
        <v>-6.5962436293315534</v>
      </c>
      <c r="D31" s="128">
        <f t="shared" si="4"/>
        <v>4.7207074761353454</v>
      </c>
      <c r="E31" s="128">
        <f t="shared" si="4"/>
        <v>15.883775944685311</v>
      </c>
      <c r="F31" s="128">
        <f t="shared" si="4"/>
        <v>26.94205982140025</v>
      </c>
      <c r="G31" s="128">
        <f t="shared" si="4"/>
        <v>37.918060916815051</v>
      </c>
      <c r="H31" s="128">
        <f t="shared" si="4"/>
        <v>48.824805688102686</v>
      </c>
      <c r="I31" s="128">
        <f t="shared" si="4"/>
        <v>59.670845266667925</v>
      </c>
      <c r="J31" s="128">
        <f t="shared" si="4"/>
        <v>70.462263520113197</v>
      </c>
      <c r="K31" s="128">
        <f t="shared" si="4"/>
        <v>81.203640751349383</v>
      </c>
      <c r="L31" s="128">
        <f t="shared" si="4"/>
        <v>111.10851364169457</v>
      </c>
      <c r="M31" s="128">
        <f t="shared" si="4"/>
        <v>144.02664315489</v>
      </c>
      <c r="N31" s="128">
        <f t="shared" si="4"/>
        <v>179.1246717190661</v>
      </c>
      <c r="O31" s="128">
        <f t="shared" si="4"/>
        <v>216.17270325341934</v>
      </c>
      <c r="P31" s="128">
        <f t="shared" si="4"/>
        <v>199.51970594244449</v>
      </c>
      <c r="Q31" s="128">
        <f t="shared" si="4"/>
        <v>233.39438127572288</v>
      </c>
      <c r="R31" s="128">
        <f t="shared" si="4"/>
        <v>268.08008219428945</v>
      </c>
      <c r="S31" s="128">
        <f t="shared" si="4"/>
        <v>303.11645409154386</v>
      </c>
      <c r="T31" s="128">
        <f t="shared" si="4"/>
        <v>338.27948696313155</v>
      </c>
      <c r="U31" s="128">
        <f t="shared" si="4"/>
        <v>373.34511953565328</v>
      </c>
      <c r="V31" s="128">
        <f t="shared" si="4"/>
        <v>408.08933735043473</v>
      </c>
      <c r="W31" s="128">
        <f t="shared" si="4"/>
        <v>345.71822699831483</v>
      </c>
      <c r="X31" s="128">
        <f t="shared" si="4"/>
        <v>375.5926939788132</v>
      </c>
      <c r="Y31" s="128">
        <f t="shared" si="4"/>
        <v>405.28216224164322</v>
      </c>
      <c r="Z31" s="128">
        <f t="shared" si="4"/>
        <v>434.7917560044836</v>
      </c>
      <c r="AA31" s="128">
        <f t="shared" si="4"/>
        <v>463.31325498687505</v>
      </c>
      <c r="AB31" s="128">
        <f t="shared" si="4"/>
        <v>491.43334201342594</v>
      </c>
      <c r="AC31" s="128">
        <f t="shared" si="4"/>
        <v>518.57695364406231</v>
      </c>
      <c r="AD31" s="128">
        <f t="shared" si="4"/>
        <v>544.98082773459009</v>
      </c>
      <c r="AE31" s="128">
        <f t="shared" si="4"/>
        <v>570.1867091897966</v>
      </c>
      <c r="AF31" s="128">
        <f>AF21-AF28</f>
        <v>594.661279160699</v>
      </c>
      <c r="AG31" s="130">
        <f t="shared" si="4"/>
        <v>617.07004906705197</v>
      </c>
      <c r="AH31" s="131"/>
    </row>
    <row r="32" spans="1:177" x14ac:dyDescent="0.35">
      <c r="A32" s="155" t="s">
        <v>10</v>
      </c>
      <c r="B32" s="156"/>
      <c r="C32" s="5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row>
    <row r="33" spans="1:32" ht="29" x14ac:dyDescent="0.35">
      <c r="A33" s="3" t="s">
        <v>4</v>
      </c>
      <c r="B33" s="13">
        <v>0.47499999999999998</v>
      </c>
      <c r="C33" s="55"/>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ht="15" thickBot="1" x14ac:dyDescent="0.4">
      <c r="A34" s="3" t="s">
        <v>5</v>
      </c>
      <c r="B34" s="14">
        <f>IF(B12="Conifères",1.3,1.56)</f>
        <v>1.3</v>
      </c>
      <c r="C34" s="57"/>
      <c r="D34" s="15"/>
      <c r="E34" s="15"/>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ht="29.5" thickBot="1" x14ac:dyDescent="0.4">
      <c r="A35" s="11" t="s">
        <v>152</v>
      </c>
      <c r="B35" s="17" t="s">
        <v>75</v>
      </c>
      <c r="C35" s="58">
        <f>IF(B35="Alisier torminal",0.62,IF(B35="Arbousier",0.64,IF(B35="Aulne vert",0.42,IF(B35="Grands aulnes",0.42,IF(B35="Bouleaux",0.52,IF(B35="Cèdre de l’Atlas",0.36,IF(B35="Charme",0.61,IF(B35="Charme-houblon",0.66,IF(B35="Châtaignier",0.47,IF(B35="Chêne chevelu",0.67,IF(B35="Chêne-liège",0.7,IF(B35="Chêne pédonculé",0.54,IF(B35="Chêne pubescent",0.65,IF(B35="Chêne rouge d’Amérique",0.56,IF(B35="Chêne rouvre (sessile)",0.58,IF(B35="Chêne tauzin",0.64,IF(B35="Chêne vert",0.73,IF(B35="Chênes indifférenciés",0.56,IF(B35="Cornouiller mâle",0.74,IF(B35="Cyprès",0.4,IF(B35="Cytise aubour",0.6,IF(B35="Douglas",0.43,IF(B35="Epicéa commun",0.37,IF(B35="Epicéa de Sitka",0.36,IF(B35="Grands érables",0.51,IF(B35="Petits érables",0.56,IF(B35="Eucalyptus",0.56,IF(B35="Genévrier thurifère",0.48,IF(B35="Hêtre",0.55,IF(B35="Frênes",0.56,IF(B35="Fruitiers",0.58,IF(B35="If",0.58,IF(B35="Mélèze d’Europe",0.48,IF(B35="Mélèze du Japon",0.42,IF(B35="Merisier",0.5,IF(B35="Micocoulier",0.55,IF(B35="Mûrier",0.53,IF(B35="Noisetier",0.52,IF(B35="Noyer",0.52,IF(B35="Olivier",0.75,IF(B35="Ormes",0.52,IF(B35="Peupliers cultivés",0.35,IF(B35="Peupliers non cultivés",0.37,IF(B35="Pin d'Alep",0.45,IF(B35="Pin cembro",0.39,IF(B35="Pin à crochets",0.44,IF(B35="Pin laricio",0.46,IF(B35="Pin maritime",0.46,IF(B35="Pin mugho",0.44,IF(B35="Pin noir d'Autriche",0.46,IF(B35="Pin pignon",0.48,IF(B35="Pin sylvestre",0.44,IF(B35="Pin Weymouth",0.34,IF(B35="Platanes",0.5,IF(B35="Robinier faux acacia",0.58,IF(B35="Sapin méditerranéen",0.37,IF(B35="Sapin de Nordmann",0.37,IF(B35="Sapin pectiné",0.38,IF(B35="Sapin de Vancouver",0.36,IF(B35="Saules",0.37,IF(B35="Tamaris",0.53,IF(B35="Tilleuls",0.43,IF(B35="Tremble",0.38,IF(B35="Conifères (moyenne)",0.42,IF(B35="Feuillus (moyenne)",0.57,"")))))))))))))))))))))))))))))))))))))))))))))))))))))))))))))))))</f>
        <v>0.42</v>
      </c>
      <c r="D35" s="57"/>
      <c r="E35" s="15" t="str">
        <f>IF(D35="Conifères (moyenne)",0.42,IF(D35="Feuillus (moyenne)",0.57,IF(D35="Moyenne",0.54,"")))</f>
        <v/>
      </c>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ht="29" x14ac:dyDescent="0.35">
      <c r="A36" s="3" t="s">
        <v>182</v>
      </c>
      <c r="B36" s="24">
        <v>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x14ac:dyDescent="0.35">
      <c r="A37" s="3" t="s">
        <v>8</v>
      </c>
      <c r="B37" s="24">
        <v>10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ht="56.5" x14ac:dyDescent="0.35">
      <c r="A38" s="3" t="s">
        <v>149</v>
      </c>
      <c r="B38" s="24">
        <v>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ht="43.5" x14ac:dyDescent="0.35">
      <c r="A39" s="3" t="s">
        <v>150</v>
      </c>
      <c r="B39" s="24">
        <v>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ht="29" x14ac:dyDescent="0.35">
      <c r="A40" s="3" t="s">
        <v>213</v>
      </c>
      <c r="B40" s="24">
        <v>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ht="58" x14ac:dyDescent="0.35">
      <c r="A41" s="3" t="s">
        <v>151</v>
      </c>
      <c r="B41" s="24">
        <v>70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ht="15" thickBot="1" x14ac:dyDescent="0.4">
      <c r="A42" s="151"/>
      <c r="B42" s="152"/>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row>
    <row r="43" spans="1:32" ht="43.5" x14ac:dyDescent="0.35">
      <c r="A43" s="2" t="s">
        <v>188</v>
      </c>
      <c r="B43" s="132">
        <f>AF21-AF28</f>
        <v>594.661279160699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ht="44" thickBot="1" x14ac:dyDescent="0.4">
      <c r="A44" s="4" t="s">
        <v>144</v>
      </c>
      <c r="B44" s="133">
        <f>B43*B10</f>
        <v>5602.6012416125259</v>
      </c>
      <c r="C44" s="7"/>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row>
    <row r="45" spans="1:32" ht="43.5" x14ac:dyDescent="0.35">
      <c r="A45" s="2" t="s">
        <v>195</v>
      </c>
      <c r="B45" s="134">
        <f>(1/B11)*(SUM(B21:AG21))</f>
        <v>462.039600104236</v>
      </c>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row>
    <row r="46" spans="1:32" ht="44" thickBot="1" x14ac:dyDescent="0.4">
      <c r="A46" s="4" t="s">
        <v>184</v>
      </c>
      <c r="B46" s="135">
        <f>B45*B10</f>
        <v>4353.1060923820596</v>
      </c>
      <c r="C46" s="100"/>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row>
    <row r="47" spans="1:32" ht="43.5" x14ac:dyDescent="0.35">
      <c r="A47" s="2" t="s">
        <v>196</v>
      </c>
      <c r="B47" s="134">
        <f>((1/B13)*(SUM(B28:AG28)))</f>
        <v>189.24731182795693</v>
      </c>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row>
    <row r="48" spans="1:32" ht="44" thickBot="1" x14ac:dyDescent="0.4">
      <c r="A48" s="4" t="s">
        <v>185</v>
      </c>
      <c r="B48" s="135">
        <f>B47*B10</f>
        <v>1782.9935483870963</v>
      </c>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row>
    <row r="49" spans="1:32" ht="58" x14ac:dyDescent="0.35">
      <c r="A49" s="2" t="s">
        <v>197</v>
      </c>
      <c r="B49" s="132">
        <f>B45-B47</f>
        <v>272.79228827627907</v>
      </c>
      <c r="C49" s="100"/>
      <c r="D49" s="100"/>
      <c r="E49" s="100"/>
      <c r="F49" s="100"/>
      <c r="G49" s="100"/>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row>
    <row r="50" spans="1:32" ht="58.5" thickBot="1" x14ac:dyDescent="0.4">
      <c r="A50" s="4" t="s">
        <v>186</v>
      </c>
      <c r="B50" s="133">
        <f>B46-B48</f>
        <v>2570.1125439949633</v>
      </c>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row>
  </sheetData>
  <sheetProtection algorithmName="SHA-512" hashValue="uwcWNyJT0la0VKt71r3DGi1KGDfSK+Z3U4BHJZFA9jixHb3TnN3Up+rRp1eP0XgovRlHRihgZ8o702TCN4omMw==" saltValue="nRQScMpHio+fxQg9xGfxlA==" spinCount="100000" sheet="1" objects="1" scenarios="1"/>
  <mergeCells count="4">
    <mergeCell ref="A42:B42"/>
    <mergeCell ref="A9:B9"/>
    <mergeCell ref="A32:B32"/>
    <mergeCell ref="A1:B1"/>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D35</xm:sqref>
        </x14:dataValidation>
        <x14:dataValidation type="list" showInputMessage="1" showErrorMessage="1" prompt="Choisir l'essence pour avoir la di pour le scénario de projet">
          <x14:formula1>
            <xm:f>'Listes choix'!$C$2:$C$66</xm:f>
          </x14:formula1>
          <xm:sqref>B35</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2"/>
  <sheetViews>
    <sheetView zoomScale="57" workbookViewId="0">
      <selection activeCell="V30" sqref="V30"/>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09"/>
    </row>
    <row r="4" spans="1:177" ht="16" thickBot="1" x14ac:dyDescent="0.4">
      <c r="A4" s="19"/>
      <c r="B4" s="7"/>
    </row>
    <row r="5" spans="1:177" ht="31.5" thickBot="1" x14ac:dyDescent="0.4">
      <c r="A5" s="20" t="s">
        <v>187</v>
      </c>
      <c r="B5" s="103">
        <f>(SUM(B29:AF29)/30)*(44/12)</f>
        <v>8.7337542433952766</v>
      </c>
    </row>
    <row r="6" spans="1:177" ht="31.5" thickBot="1" x14ac:dyDescent="0.4">
      <c r="A6" s="20" t="s">
        <v>88</v>
      </c>
      <c r="B6" s="103">
        <f>B5*B10</f>
        <v>82.285065604148599</v>
      </c>
    </row>
    <row r="8" spans="1:177" ht="15" thickBot="1" x14ac:dyDescent="0.4"/>
    <row r="9" spans="1:177" ht="15" thickBot="1" x14ac:dyDescent="0.4">
      <c r="A9" s="153" t="s">
        <v>13</v>
      </c>
      <c r="B9" s="154"/>
    </row>
    <row r="10" spans="1:177" x14ac:dyDescent="0.35">
      <c r="A10" s="2" t="s">
        <v>7</v>
      </c>
      <c r="B10" s="96">
        <v>9.4215</v>
      </c>
    </row>
    <row r="11" spans="1:177" ht="15" thickBot="1" x14ac:dyDescent="0.4">
      <c r="A11" s="4" t="s">
        <v>16</v>
      </c>
      <c r="B11" s="21">
        <v>30</v>
      </c>
    </row>
    <row r="12" spans="1:177" ht="15" thickBot="1" x14ac:dyDescent="0.4"/>
    <row r="13" spans="1:177" s="5" customFormat="1" ht="15.5" x14ac:dyDescent="0.35">
      <c r="A13" s="161" t="s">
        <v>1</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3"/>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164</v>
      </c>
      <c r="B14" s="12">
        <v>0</v>
      </c>
      <c r="C14" s="12">
        <v>1</v>
      </c>
      <c r="D14" s="12">
        <v>2</v>
      </c>
      <c r="E14" s="12">
        <v>3</v>
      </c>
      <c r="F14" s="12">
        <v>4</v>
      </c>
      <c r="G14" s="12">
        <v>5</v>
      </c>
      <c r="H14" s="12">
        <v>6</v>
      </c>
      <c r="I14" s="12">
        <v>7</v>
      </c>
      <c r="J14" s="12">
        <v>8</v>
      </c>
      <c r="K14" s="12">
        <v>9</v>
      </c>
      <c r="L14" s="12">
        <v>10</v>
      </c>
      <c r="M14" s="12">
        <v>11</v>
      </c>
      <c r="N14" s="12">
        <v>12</v>
      </c>
      <c r="O14" s="137">
        <v>13</v>
      </c>
      <c r="P14" s="12">
        <v>14</v>
      </c>
      <c r="Q14" s="12">
        <v>15</v>
      </c>
      <c r="R14" s="12">
        <v>16</v>
      </c>
      <c r="S14" s="12">
        <v>17</v>
      </c>
      <c r="T14" s="12">
        <v>18</v>
      </c>
      <c r="U14" s="12">
        <v>19</v>
      </c>
      <c r="V14" s="137">
        <v>20</v>
      </c>
      <c r="W14" s="12">
        <v>21</v>
      </c>
      <c r="X14" s="12">
        <v>22</v>
      </c>
      <c r="Y14" s="12">
        <v>23</v>
      </c>
      <c r="Z14" s="12">
        <v>24</v>
      </c>
      <c r="AA14" s="12">
        <v>25</v>
      </c>
      <c r="AB14" s="12">
        <v>26</v>
      </c>
      <c r="AC14" s="12">
        <v>27</v>
      </c>
      <c r="AD14" s="12">
        <v>28</v>
      </c>
      <c r="AE14" s="12">
        <v>29</v>
      </c>
      <c r="AF14" s="24">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64" t="s">
        <v>3</v>
      </c>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208</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0</v>
      </c>
      <c r="P16" s="12">
        <f t="shared" si="0"/>
        <v>6.339348047808909</v>
      </c>
      <c r="Q16" s="12">
        <f t="shared" si="0"/>
        <v>4.482595992907382</v>
      </c>
      <c r="R16" s="12">
        <f t="shared" si="0"/>
        <v>3.169674023904455</v>
      </c>
      <c r="S16" s="12">
        <f t="shared" si="0"/>
        <v>2.241297996453691</v>
      </c>
      <c r="T16" s="12">
        <f t="shared" si="0"/>
        <v>1.5848370119522275</v>
      </c>
      <c r="U16" s="12">
        <f t="shared" si="0"/>
        <v>1.1206489982268455</v>
      </c>
      <c r="V16" s="12">
        <f t="shared" si="0"/>
        <v>0.79241850597611374</v>
      </c>
      <c r="W16" s="12">
        <f t="shared" si="0"/>
        <v>10.632103944654137</v>
      </c>
      <c r="X16" s="12">
        <f t="shared" si="0"/>
        <v>8.2910809031943788</v>
      </c>
      <c r="Y16" s="12">
        <f t="shared" si="0"/>
        <v>6.6205686338252336</v>
      </c>
      <c r="Z16" s="12">
        <f t="shared" si="0"/>
        <v>5.4244763370399722</v>
      </c>
      <c r="AA16" s="12">
        <f t="shared" si="0"/>
        <v>4.5641410497157304</v>
      </c>
      <c r="AB16" s="12">
        <f t="shared" si="0"/>
        <v>3.9415075355699223</v>
      </c>
      <c r="AC16" s="12">
        <f t="shared" si="0"/>
        <v>3.4872346694002312</v>
      </c>
      <c r="AD16" s="12">
        <f t="shared" si="0"/>
        <v>3.1522853785303964</v>
      </c>
      <c r="AE16" s="12">
        <f t="shared" si="0"/>
        <v>2.901979831221956</v>
      </c>
      <c r="AF16" s="142">
        <f>SUM(AF17,AF20,AF23)</f>
        <v>2.7117904037616043</v>
      </c>
      <c r="AG16" s="55"/>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65" t="s">
        <v>201</v>
      </c>
      <c r="B17" s="12">
        <v>0</v>
      </c>
      <c r="C17" s="28">
        <f>C18+B19</f>
        <v>0</v>
      </c>
      <c r="D17" s="28">
        <f>D18+C19</f>
        <v>0</v>
      </c>
      <c r="E17" s="28">
        <f>E18+D19</f>
        <v>0</v>
      </c>
      <c r="F17" s="28">
        <f>F18+E19</f>
        <v>0</v>
      </c>
      <c r="G17" s="28">
        <f t="shared" ref="G17:AE17" si="1">G18+F19</f>
        <v>0</v>
      </c>
      <c r="H17" s="28">
        <f t="shared" si="1"/>
        <v>0</v>
      </c>
      <c r="I17" s="28">
        <f t="shared" si="1"/>
        <v>0</v>
      </c>
      <c r="J17" s="28">
        <f t="shared" si="1"/>
        <v>0</v>
      </c>
      <c r="K17" s="28">
        <f t="shared" si="1"/>
        <v>0</v>
      </c>
      <c r="L17" s="28">
        <f t="shared" si="1"/>
        <v>0</v>
      </c>
      <c r="M17" s="28">
        <f t="shared" si="1"/>
        <v>0</v>
      </c>
      <c r="N17" s="28">
        <f t="shared" si="1"/>
        <v>0</v>
      </c>
      <c r="O17" s="28">
        <f t="shared" si="1"/>
        <v>0</v>
      </c>
      <c r="P17" s="28">
        <f t="shared" si="1"/>
        <v>0</v>
      </c>
      <c r="Q17" s="28">
        <f t="shared" si="1"/>
        <v>0</v>
      </c>
      <c r="R17" s="28">
        <f t="shared" si="1"/>
        <v>0</v>
      </c>
      <c r="S17" s="28">
        <f t="shared" si="1"/>
        <v>0</v>
      </c>
      <c r="T17" s="28">
        <f t="shared" si="1"/>
        <v>0</v>
      </c>
      <c r="U17" s="28">
        <f t="shared" si="1"/>
        <v>0</v>
      </c>
      <c r="V17" s="28">
        <f t="shared" si="1"/>
        <v>0</v>
      </c>
      <c r="W17" s="28">
        <f t="shared" si="1"/>
        <v>2.8287371015547933</v>
      </c>
      <c r="X17" s="28">
        <f t="shared" si="1"/>
        <v>2.7732672923525707</v>
      </c>
      <c r="Y17" s="28">
        <f t="shared" si="1"/>
        <v>2.7188852122755609</v>
      </c>
      <c r="Z17" s="28">
        <f t="shared" si="1"/>
        <v>2.6655695316190675</v>
      </c>
      <c r="AA17" s="28">
        <f t="shared" si="1"/>
        <v>2.6132993389408936</v>
      </c>
      <c r="AB17" s="28">
        <f t="shared" si="1"/>
        <v>2.5620541328594695</v>
      </c>
      <c r="AC17" s="28">
        <f t="shared" si="1"/>
        <v>2.5118138140128128</v>
      </c>
      <c r="AD17" s="28">
        <f>AD18+AC19</f>
        <v>2.4625586771751702</v>
      </c>
      <c r="AE17" s="28">
        <f t="shared" si="1"/>
        <v>2.4142694035282468</v>
      </c>
      <c r="AF17" s="106">
        <f>AF18+AE19</f>
        <v>2.366927053083991</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65" t="s">
        <v>200</v>
      </c>
      <c r="B18" s="12">
        <v>0</v>
      </c>
      <c r="C18" s="28">
        <f t="shared" ref="C18:AF18" si="2">(EXP(-$C$37))*B17</f>
        <v>0</v>
      </c>
      <c r="D18" s="28">
        <f t="shared" si="2"/>
        <v>0</v>
      </c>
      <c r="E18" s="28">
        <f t="shared" si="2"/>
        <v>0</v>
      </c>
      <c r="F18" s="28">
        <f t="shared" si="2"/>
        <v>0</v>
      </c>
      <c r="G18" s="28">
        <f t="shared" si="2"/>
        <v>0</v>
      </c>
      <c r="H18" s="28">
        <f t="shared" si="2"/>
        <v>0</v>
      </c>
      <c r="I18" s="28">
        <f t="shared" si="2"/>
        <v>0</v>
      </c>
      <c r="J18" s="28">
        <f t="shared" si="2"/>
        <v>0</v>
      </c>
      <c r="K18" s="28">
        <f t="shared" si="2"/>
        <v>0</v>
      </c>
      <c r="L18" s="28">
        <f t="shared" si="2"/>
        <v>0</v>
      </c>
      <c r="M18" s="28">
        <f t="shared" si="2"/>
        <v>0</v>
      </c>
      <c r="N18" s="28">
        <f t="shared" si="2"/>
        <v>0</v>
      </c>
      <c r="O18" s="28">
        <f t="shared" si="2"/>
        <v>0</v>
      </c>
      <c r="P18" s="28">
        <f t="shared" si="2"/>
        <v>0</v>
      </c>
      <c r="Q18" s="28">
        <f t="shared" si="2"/>
        <v>0</v>
      </c>
      <c r="R18" s="28">
        <f t="shared" si="2"/>
        <v>0</v>
      </c>
      <c r="S18" s="28">
        <f t="shared" si="2"/>
        <v>0</v>
      </c>
      <c r="T18" s="28">
        <f t="shared" si="2"/>
        <v>0</v>
      </c>
      <c r="U18" s="28">
        <f t="shared" si="2"/>
        <v>0</v>
      </c>
      <c r="V18" s="28">
        <f t="shared" si="2"/>
        <v>0</v>
      </c>
      <c r="W18" s="28">
        <f t="shared" si="2"/>
        <v>0</v>
      </c>
      <c r="X18" s="28">
        <f t="shared" si="2"/>
        <v>2.7732672923525707</v>
      </c>
      <c r="Y18" s="28">
        <f t="shared" si="2"/>
        <v>2.7188852122755609</v>
      </c>
      <c r="Z18" s="28">
        <f t="shared" si="2"/>
        <v>2.6655695316190675</v>
      </c>
      <c r="AA18" s="28">
        <f t="shared" si="2"/>
        <v>2.6132993389408936</v>
      </c>
      <c r="AB18" s="28">
        <f t="shared" si="2"/>
        <v>2.5620541328594695</v>
      </c>
      <c r="AC18" s="28">
        <f t="shared" si="2"/>
        <v>2.5118138140128128</v>
      </c>
      <c r="AD18" s="28">
        <f t="shared" si="2"/>
        <v>2.4625586771751702</v>
      </c>
      <c r="AE18" s="28">
        <f t="shared" si="2"/>
        <v>2.4142694035282468</v>
      </c>
      <c r="AF18" s="106">
        <f t="shared" si="2"/>
        <v>2.366927053083991</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65" t="s">
        <v>199</v>
      </c>
      <c r="B19" s="12">
        <f t="shared" ref="B19:AF19" si="3">((1-EXP(-$C$37))/$C$37)*(B26*$C$32*$B$31)</f>
        <v>0</v>
      </c>
      <c r="C19" s="12">
        <f t="shared" si="3"/>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v>
      </c>
      <c r="T19" s="12">
        <f t="shared" si="3"/>
        <v>0</v>
      </c>
      <c r="U19" s="12">
        <f t="shared" si="3"/>
        <v>0</v>
      </c>
      <c r="V19" s="12">
        <f t="shared" si="3"/>
        <v>2.8287371015547933</v>
      </c>
      <c r="W19" s="12">
        <f t="shared" si="3"/>
        <v>0</v>
      </c>
      <c r="X19" s="12">
        <f t="shared" si="3"/>
        <v>0</v>
      </c>
      <c r="Y19" s="12">
        <f t="shared" si="3"/>
        <v>0</v>
      </c>
      <c r="Z19" s="12">
        <f t="shared" si="3"/>
        <v>0</v>
      </c>
      <c r="AA19" s="12">
        <f t="shared" si="3"/>
        <v>0</v>
      </c>
      <c r="AB19" s="12">
        <f t="shared" si="3"/>
        <v>0</v>
      </c>
      <c r="AC19" s="12">
        <f t="shared" si="3"/>
        <v>0</v>
      </c>
      <c r="AD19" s="12">
        <f t="shared" si="3"/>
        <v>0</v>
      </c>
      <c r="AE19" s="12">
        <f t="shared" si="3"/>
        <v>0</v>
      </c>
      <c r="AF19" s="24">
        <f t="shared" si="3"/>
        <v>0</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66" t="s">
        <v>202</v>
      </c>
      <c r="B20" s="12">
        <v>0</v>
      </c>
      <c r="C20" s="28">
        <f>C21+B22</f>
        <v>0</v>
      </c>
      <c r="D20" s="28">
        <f>D21+C22</f>
        <v>0</v>
      </c>
      <c r="E20" s="28">
        <f>E21+D22</f>
        <v>0</v>
      </c>
      <c r="F20" s="28">
        <f t="shared" ref="F20:AF20" si="4">F21+E22</f>
        <v>0</v>
      </c>
      <c r="G20" s="28">
        <f t="shared" si="4"/>
        <v>0</v>
      </c>
      <c r="H20" s="28">
        <f t="shared" si="4"/>
        <v>0</v>
      </c>
      <c r="I20" s="28">
        <f t="shared" si="4"/>
        <v>0</v>
      </c>
      <c r="J20" s="28">
        <f t="shared" si="4"/>
        <v>0</v>
      </c>
      <c r="K20" s="28">
        <f t="shared" si="4"/>
        <v>0</v>
      </c>
      <c r="L20" s="28">
        <f t="shared" si="4"/>
        <v>0</v>
      </c>
      <c r="M20" s="28">
        <f t="shared" si="4"/>
        <v>0</v>
      </c>
      <c r="N20" s="28">
        <f t="shared" si="4"/>
        <v>0</v>
      </c>
      <c r="O20" s="28">
        <f t="shared" si="4"/>
        <v>0</v>
      </c>
      <c r="P20" s="28">
        <f t="shared" si="4"/>
        <v>0</v>
      </c>
      <c r="Q20" s="28">
        <f t="shared" si="4"/>
        <v>0</v>
      </c>
      <c r="R20" s="28">
        <f t="shared" si="4"/>
        <v>0</v>
      </c>
      <c r="S20" s="28">
        <f t="shared" si="4"/>
        <v>0</v>
      </c>
      <c r="T20" s="28">
        <f t="shared" si="4"/>
        <v>0</v>
      </c>
      <c r="U20" s="28">
        <f t="shared" si="4"/>
        <v>0</v>
      </c>
      <c r="V20" s="28">
        <f t="shared" si="4"/>
        <v>0</v>
      </c>
      <c r="W20" s="28">
        <f t="shared" si="4"/>
        <v>0</v>
      </c>
      <c r="X20" s="28">
        <f t="shared" si="4"/>
        <v>0</v>
      </c>
      <c r="Y20" s="28">
        <f t="shared" si="4"/>
        <v>0</v>
      </c>
      <c r="Z20" s="28">
        <f t="shared" si="4"/>
        <v>0</v>
      </c>
      <c r="AA20" s="28">
        <f t="shared" si="4"/>
        <v>0</v>
      </c>
      <c r="AB20" s="28">
        <f t="shared" si="4"/>
        <v>0</v>
      </c>
      <c r="AC20" s="28">
        <f t="shared" si="4"/>
        <v>0</v>
      </c>
      <c r="AD20" s="28">
        <f t="shared" si="4"/>
        <v>0</v>
      </c>
      <c r="AE20" s="28">
        <f>AE21+AD22</f>
        <v>0</v>
      </c>
      <c r="AF20" s="106">
        <f t="shared" si="4"/>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66" t="s">
        <v>203</v>
      </c>
      <c r="B21" s="12">
        <v>0</v>
      </c>
      <c r="C21" s="28">
        <f t="shared" ref="C21:AF21" si="5">(EXP(-$C$38))*B20</f>
        <v>0</v>
      </c>
      <c r="D21" s="28">
        <f t="shared" si="5"/>
        <v>0</v>
      </c>
      <c r="E21" s="28">
        <f t="shared" si="5"/>
        <v>0</v>
      </c>
      <c r="F21" s="28">
        <f t="shared" si="5"/>
        <v>0</v>
      </c>
      <c r="G21" s="28">
        <f t="shared" si="5"/>
        <v>0</v>
      </c>
      <c r="H21" s="28">
        <f t="shared" si="5"/>
        <v>0</v>
      </c>
      <c r="I21" s="28">
        <f t="shared" si="5"/>
        <v>0</v>
      </c>
      <c r="J21" s="28">
        <f t="shared" si="5"/>
        <v>0</v>
      </c>
      <c r="K21" s="28">
        <f t="shared" si="5"/>
        <v>0</v>
      </c>
      <c r="L21" s="28">
        <f t="shared" si="5"/>
        <v>0</v>
      </c>
      <c r="M21" s="28">
        <f t="shared" si="5"/>
        <v>0</v>
      </c>
      <c r="N21" s="28">
        <f t="shared" si="5"/>
        <v>0</v>
      </c>
      <c r="O21" s="28">
        <f t="shared" si="5"/>
        <v>0</v>
      </c>
      <c r="P21" s="28">
        <f t="shared" si="5"/>
        <v>0</v>
      </c>
      <c r="Q21" s="28">
        <f t="shared" si="5"/>
        <v>0</v>
      </c>
      <c r="R21" s="28">
        <f t="shared" si="5"/>
        <v>0</v>
      </c>
      <c r="S21" s="28">
        <f t="shared" si="5"/>
        <v>0</v>
      </c>
      <c r="T21" s="28">
        <f t="shared" si="5"/>
        <v>0</v>
      </c>
      <c r="U21" s="28">
        <f t="shared" si="5"/>
        <v>0</v>
      </c>
      <c r="V21" s="28">
        <f t="shared" si="5"/>
        <v>0</v>
      </c>
      <c r="W21" s="28">
        <f t="shared" si="5"/>
        <v>0</v>
      </c>
      <c r="X21" s="28">
        <f t="shared" si="5"/>
        <v>0</v>
      </c>
      <c r="Y21" s="28">
        <f t="shared" si="5"/>
        <v>0</v>
      </c>
      <c r="Z21" s="28">
        <f t="shared" si="5"/>
        <v>0</v>
      </c>
      <c r="AA21" s="28">
        <f t="shared" si="5"/>
        <v>0</v>
      </c>
      <c r="AB21" s="28">
        <f t="shared" si="5"/>
        <v>0</v>
      </c>
      <c r="AC21" s="28">
        <f t="shared" si="5"/>
        <v>0</v>
      </c>
      <c r="AD21" s="28">
        <f t="shared" si="5"/>
        <v>0</v>
      </c>
      <c r="AE21" s="28">
        <f t="shared" si="5"/>
        <v>0</v>
      </c>
      <c r="AF21" s="106">
        <f t="shared" si="5"/>
        <v>0</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66" t="s">
        <v>204</v>
      </c>
      <c r="B22" s="12">
        <f t="shared" ref="B22:AF22" si="6">((1-EXP(-$C$38))/$C$38)*(B27*$C$32*$B$31)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0</v>
      </c>
      <c r="Y22" s="12">
        <f t="shared" si="6"/>
        <v>0</v>
      </c>
      <c r="Z22" s="12">
        <f t="shared" si="6"/>
        <v>0</v>
      </c>
      <c r="AA22" s="12">
        <f t="shared" si="6"/>
        <v>0</v>
      </c>
      <c r="AB22" s="12">
        <f t="shared" si="6"/>
        <v>0</v>
      </c>
      <c r="AC22" s="12">
        <f t="shared" si="6"/>
        <v>0</v>
      </c>
      <c r="AD22" s="12">
        <f t="shared" si="6"/>
        <v>0</v>
      </c>
      <c r="AE22" s="12">
        <f t="shared" si="6"/>
        <v>0</v>
      </c>
      <c r="AF22" s="24">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67" t="s">
        <v>205</v>
      </c>
      <c r="B23" s="12">
        <v>0</v>
      </c>
      <c r="C23" s="28">
        <f>C24+B25</f>
        <v>0</v>
      </c>
      <c r="D23" s="28">
        <f>D24+C25</f>
        <v>0</v>
      </c>
      <c r="E23" s="28">
        <f t="shared" ref="E23:AF23" si="7">E24+D25</f>
        <v>0</v>
      </c>
      <c r="F23" s="28">
        <f>F24+E25</f>
        <v>0</v>
      </c>
      <c r="G23" s="28">
        <f t="shared" si="7"/>
        <v>0</v>
      </c>
      <c r="H23" s="28">
        <f t="shared" si="7"/>
        <v>0</v>
      </c>
      <c r="I23" s="28">
        <f t="shared" si="7"/>
        <v>0</v>
      </c>
      <c r="J23" s="28">
        <f t="shared" si="7"/>
        <v>0</v>
      </c>
      <c r="K23" s="28">
        <f t="shared" si="7"/>
        <v>0</v>
      </c>
      <c r="L23" s="28">
        <f t="shared" si="7"/>
        <v>0</v>
      </c>
      <c r="M23" s="28">
        <f>M24+L25</f>
        <v>0</v>
      </c>
      <c r="N23" s="28">
        <f t="shared" si="7"/>
        <v>0</v>
      </c>
      <c r="O23" s="28">
        <f t="shared" si="7"/>
        <v>0</v>
      </c>
      <c r="P23" s="28">
        <f t="shared" si="7"/>
        <v>6.339348047808909</v>
      </c>
      <c r="Q23" s="28">
        <f t="shared" si="7"/>
        <v>4.482595992907382</v>
      </c>
      <c r="R23" s="28">
        <f t="shared" si="7"/>
        <v>3.169674023904455</v>
      </c>
      <c r="S23" s="28">
        <f t="shared" si="7"/>
        <v>2.241297996453691</v>
      </c>
      <c r="T23" s="28">
        <f t="shared" si="7"/>
        <v>1.5848370119522275</v>
      </c>
      <c r="U23" s="28">
        <f t="shared" si="7"/>
        <v>1.1206489982268455</v>
      </c>
      <c r="V23" s="28">
        <f t="shared" si="7"/>
        <v>0.79241850597611374</v>
      </c>
      <c r="W23" s="28">
        <f t="shared" si="7"/>
        <v>7.8033668430993446</v>
      </c>
      <c r="X23" s="28">
        <f t="shared" si="7"/>
        <v>5.5178136108418085</v>
      </c>
      <c r="Y23" s="28">
        <f t="shared" si="7"/>
        <v>3.9016834215496727</v>
      </c>
      <c r="Z23" s="28">
        <f t="shared" si="7"/>
        <v>2.7589068054209047</v>
      </c>
      <c r="AA23" s="28">
        <f t="shared" si="7"/>
        <v>1.9508417107748366</v>
      </c>
      <c r="AB23" s="28">
        <f t="shared" si="7"/>
        <v>1.3794534027104526</v>
      </c>
      <c r="AC23" s="28">
        <f t="shared" si="7"/>
        <v>0.97542085538741852</v>
      </c>
      <c r="AD23" s="28">
        <f t="shared" si="7"/>
        <v>0.6897267013552264</v>
      </c>
      <c r="AE23" s="28">
        <f t="shared" si="7"/>
        <v>0.48771042769370931</v>
      </c>
      <c r="AF23" s="106">
        <f t="shared" si="7"/>
        <v>0.34486335067761326</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67" t="s">
        <v>206</v>
      </c>
      <c r="B24" s="12">
        <v>0</v>
      </c>
      <c r="C24" s="28">
        <f t="shared" ref="C24:AF24" si="8">(EXP(-$C$39))*B23</f>
        <v>0</v>
      </c>
      <c r="D24" s="28">
        <f t="shared" si="8"/>
        <v>0</v>
      </c>
      <c r="E24" s="28">
        <f t="shared" si="8"/>
        <v>0</v>
      </c>
      <c r="F24" s="28">
        <f t="shared" si="8"/>
        <v>0</v>
      </c>
      <c r="G24" s="28">
        <f t="shared" si="8"/>
        <v>0</v>
      </c>
      <c r="H24" s="28">
        <f t="shared" si="8"/>
        <v>0</v>
      </c>
      <c r="I24" s="28">
        <f t="shared" si="8"/>
        <v>0</v>
      </c>
      <c r="J24" s="28">
        <f t="shared" si="8"/>
        <v>0</v>
      </c>
      <c r="K24" s="28">
        <f t="shared" si="8"/>
        <v>0</v>
      </c>
      <c r="L24" s="28">
        <f t="shared" si="8"/>
        <v>0</v>
      </c>
      <c r="M24" s="28">
        <f t="shared" si="8"/>
        <v>0</v>
      </c>
      <c r="N24" s="28">
        <f t="shared" si="8"/>
        <v>0</v>
      </c>
      <c r="O24" s="28">
        <f t="shared" si="8"/>
        <v>0</v>
      </c>
      <c r="P24" s="28">
        <f t="shared" si="8"/>
        <v>0</v>
      </c>
      <c r="Q24" s="28">
        <f t="shared" si="8"/>
        <v>4.482595992907382</v>
      </c>
      <c r="R24" s="28">
        <f t="shared" si="8"/>
        <v>3.169674023904455</v>
      </c>
      <c r="S24" s="28">
        <f t="shared" si="8"/>
        <v>2.241297996453691</v>
      </c>
      <c r="T24" s="28">
        <f t="shared" si="8"/>
        <v>1.5848370119522275</v>
      </c>
      <c r="U24" s="28">
        <f t="shared" si="8"/>
        <v>1.1206489982268455</v>
      </c>
      <c r="V24" s="28">
        <f t="shared" si="8"/>
        <v>0.79241850597611374</v>
      </c>
      <c r="W24" s="28">
        <f t="shared" si="8"/>
        <v>0.56032449911342275</v>
      </c>
      <c r="X24" s="28">
        <f t="shared" si="8"/>
        <v>5.5178136108418085</v>
      </c>
      <c r="Y24" s="28">
        <f t="shared" si="8"/>
        <v>3.9016834215496727</v>
      </c>
      <c r="Z24" s="28">
        <f t="shared" si="8"/>
        <v>2.7589068054209047</v>
      </c>
      <c r="AA24" s="28">
        <f t="shared" si="8"/>
        <v>1.9508417107748366</v>
      </c>
      <c r="AB24" s="28">
        <f t="shared" si="8"/>
        <v>1.3794534027104526</v>
      </c>
      <c r="AC24" s="28">
        <f t="shared" si="8"/>
        <v>0.97542085538741852</v>
      </c>
      <c r="AD24" s="28">
        <f t="shared" si="8"/>
        <v>0.6897267013552264</v>
      </c>
      <c r="AE24" s="28">
        <f t="shared" si="8"/>
        <v>0.48771042769370931</v>
      </c>
      <c r="AF24" s="106">
        <f t="shared" si="8"/>
        <v>0.34486335067761326</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67" t="s">
        <v>207</v>
      </c>
      <c r="B25" s="12">
        <f t="shared" ref="B25:AF25" si="9">((1-EXP(-$C$39))/$C$39)*(B28*$C$32*$B$31)</f>
        <v>0</v>
      </c>
      <c r="C25" s="12">
        <f t="shared" si="9"/>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 t="shared" si="9"/>
        <v>0</v>
      </c>
      <c r="N25" s="12">
        <f t="shared" si="9"/>
        <v>0</v>
      </c>
      <c r="O25" s="12">
        <f>((1-EXP(-$C$39))/$C$39)*(O28*$C$32*$B$31)</f>
        <v>6.339348047808909</v>
      </c>
      <c r="P25" s="12">
        <f t="shared" si="9"/>
        <v>0</v>
      </c>
      <c r="Q25" s="12">
        <f t="shared" si="9"/>
        <v>0</v>
      </c>
      <c r="R25" s="12">
        <f t="shared" si="9"/>
        <v>0</v>
      </c>
      <c r="S25" s="12">
        <f t="shared" si="9"/>
        <v>0</v>
      </c>
      <c r="T25" s="12">
        <f t="shared" si="9"/>
        <v>0</v>
      </c>
      <c r="U25" s="12">
        <f t="shared" si="9"/>
        <v>0</v>
      </c>
      <c r="V25" s="12">
        <f t="shared" si="9"/>
        <v>7.2430423439859215</v>
      </c>
      <c r="W25" s="12">
        <f t="shared" si="9"/>
        <v>0</v>
      </c>
      <c r="X25" s="12">
        <f t="shared" si="9"/>
        <v>0</v>
      </c>
      <c r="Y25" s="12">
        <f t="shared" si="9"/>
        <v>0</v>
      </c>
      <c r="Z25" s="12">
        <f t="shared" si="9"/>
        <v>0</v>
      </c>
      <c r="AA25" s="12">
        <f t="shared" si="9"/>
        <v>0</v>
      </c>
      <c r="AB25" s="12">
        <f t="shared" si="9"/>
        <v>0</v>
      </c>
      <c r="AC25" s="12">
        <f t="shared" si="9"/>
        <v>0</v>
      </c>
      <c r="AD25" s="12">
        <f t="shared" si="9"/>
        <v>0</v>
      </c>
      <c r="AE25" s="12">
        <f t="shared" si="9"/>
        <v>0</v>
      </c>
      <c r="AF25" s="24">
        <f t="shared" si="9"/>
        <v>0</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8" t="s">
        <v>215</v>
      </c>
      <c r="B26" s="17"/>
      <c r="C26" s="17"/>
      <c r="D26" s="17"/>
      <c r="E26" s="17"/>
      <c r="F26" s="17"/>
      <c r="G26" s="17"/>
      <c r="H26" s="17"/>
      <c r="I26" s="17"/>
      <c r="J26" s="17"/>
      <c r="K26" s="17"/>
      <c r="L26" s="17"/>
      <c r="M26" s="17"/>
      <c r="N26" s="17"/>
      <c r="O26" s="17"/>
      <c r="P26" s="17"/>
      <c r="Q26" s="17"/>
      <c r="R26" s="17"/>
      <c r="S26" s="17"/>
      <c r="T26" s="17"/>
      <c r="U26" s="17"/>
      <c r="V26" s="17">
        <f>28.64/2</f>
        <v>14.32</v>
      </c>
      <c r="W26" s="17"/>
      <c r="X26" s="17"/>
      <c r="Y26" s="17"/>
      <c r="Z26" s="17"/>
      <c r="AA26" s="17"/>
      <c r="AB26" s="17"/>
      <c r="AC26" s="17"/>
      <c r="AD26" s="17"/>
      <c r="AE26" s="17"/>
      <c r="AF26" s="107"/>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07"/>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217</v>
      </c>
      <c r="B28" s="17"/>
      <c r="C28" s="17"/>
      <c r="D28" s="17"/>
      <c r="E28" s="17"/>
      <c r="F28" s="17"/>
      <c r="G28" s="17"/>
      <c r="H28" s="17"/>
      <c r="I28" s="17"/>
      <c r="J28" s="17"/>
      <c r="K28" s="17"/>
      <c r="L28" s="17"/>
      <c r="M28" s="17"/>
      <c r="N28" s="17"/>
      <c r="O28" s="17">
        <v>37.6</v>
      </c>
      <c r="P28" s="17"/>
      <c r="Q28" s="17"/>
      <c r="R28" s="17"/>
      <c r="S28" s="17"/>
      <c r="T28" s="17"/>
      <c r="U28" s="17"/>
      <c r="V28" s="17">
        <f>0.6*71.6</f>
        <v>42.959999999999994</v>
      </c>
      <c r="W28" s="17"/>
      <c r="X28" s="17"/>
      <c r="Y28" s="17"/>
      <c r="Z28" s="17"/>
      <c r="AA28" s="17"/>
      <c r="AB28" s="17"/>
      <c r="AC28" s="17"/>
      <c r="AD28" s="17"/>
      <c r="AE28" s="17"/>
      <c r="AF28" s="107"/>
    </row>
    <row r="29" spans="1:177" ht="15" thickBot="1" x14ac:dyDescent="0.4">
      <c r="A29" s="29" t="s">
        <v>209</v>
      </c>
      <c r="B29" s="12">
        <f>B16</f>
        <v>0</v>
      </c>
      <c r="C29" s="23">
        <f t="shared" ref="C29:AF29" si="10">C16</f>
        <v>0</v>
      </c>
      <c r="D29" s="23">
        <f t="shared" si="10"/>
        <v>0</v>
      </c>
      <c r="E29" s="23">
        <f t="shared" si="10"/>
        <v>0</v>
      </c>
      <c r="F29" s="23">
        <f t="shared" si="10"/>
        <v>0</v>
      </c>
      <c r="G29" s="23">
        <f t="shared" si="10"/>
        <v>0</v>
      </c>
      <c r="H29" s="23">
        <f t="shared" si="10"/>
        <v>0</v>
      </c>
      <c r="I29" s="23">
        <f t="shared" si="10"/>
        <v>0</v>
      </c>
      <c r="J29" s="23">
        <f t="shared" si="10"/>
        <v>0</v>
      </c>
      <c r="K29" s="23">
        <f t="shared" si="10"/>
        <v>0</v>
      </c>
      <c r="L29" s="23">
        <f t="shared" si="10"/>
        <v>0</v>
      </c>
      <c r="M29" s="23">
        <f t="shared" si="10"/>
        <v>0</v>
      </c>
      <c r="N29" s="23">
        <f t="shared" si="10"/>
        <v>0</v>
      </c>
      <c r="O29" s="23">
        <f t="shared" si="10"/>
        <v>0</v>
      </c>
      <c r="P29" s="23">
        <f t="shared" si="10"/>
        <v>6.339348047808909</v>
      </c>
      <c r="Q29" s="23">
        <f t="shared" si="10"/>
        <v>4.482595992907382</v>
      </c>
      <c r="R29" s="23">
        <f t="shared" si="10"/>
        <v>3.169674023904455</v>
      </c>
      <c r="S29" s="23">
        <f t="shared" si="10"/>
        <v>2.241297996453691</v>
      </c>
      <c r="T29" s="23">
        <f t="shared" si="10"/>
        <v>1.5848370119522275</v>
      </c>
      <c r="U29" s="23">
        <f t="shared" si="10"/>
        <v>1.1206489982268455</v>
      </c>
      <c r="V29" s="23">
        <f>V16</f>
        <v>0.79241850597611374</v>
      </c>
      <c r="W29" s="23">
        <f t="shared" si="10"/>
        <v>10.632103944654137</v>
      </c>
      <c r="X29" s="23">
        <f t="shared" si="10"/>
        <v>8.2910809031943788</v>
      </c>
      <c r="Y29" s="23">
        <f t="shared" si="10"/>
        <v>6.6205686338252336</v>
      </c>
      <c r="Z29" s="23">
        <f t="shared" si="10"/>
        <v>5.4244763370399722</v>
      </c>
      <c r="AA29" s="23">
        <f t="shared" si="10"/>
        <v>4.5641410497157304</v>
      </c>
      <c r="AB29" s="23">
        <f t="shared" si="10"/>
        <v>3.9415075355699223</v>
      </c>
      <c r="AC29" s="23">
        <f t="shared" si="10"/>
        <v>3.4872346694002312</v>
      </c>
      <c r="AD29" s="23">
        <f t="shared" si="10"/>
        <v>3.1522853785303964</v>
      </c>
      <c r="AE29" s="23">
        <f t="shared" si="10"/>
        <v>2.901979831221956</v>
      </c>
      <c r="AF29" s="39">
        <f t="shared" si="10"/>
        <v>2.7117904037616043</v>
      </c>
    </row>
    <row r="30" spans="1:177" x14ac:dyDescent="0.35">
      <c r="A30" s="167" t="s">
        <v>10</v>
      </c>
      <c r="B30" s="168"/>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1:177" ht="29.5" thickBot="1" x14ac:dyDescent="0.4">
      <c r="A31" s="3" t="s">
        <v>4</v>
      </c>
      <c r="B31" s="24">
        <v>0.47499999999999998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177" ht="29" x14ac:dyDescent="0.35">
      <c r="A32" s="3" t="s">
        <v>6</v>
      </c>
      <c r="B32" s="22" t="s">
        <v>75</v>
      </c>
      <c r="C32" s="141">
        <f>IF(B32="Alisier torminal",0.62,IF(B32="Arbousier",0.64,IF(B32="Aulne vert",0.42,IF(B32="Grands aulnes",0.42,IF(B32="Bouleaux",0.52,IF(B32="Cèdre de l’Atlas",0.36,IF(B32="Charme",0.61,IF(B32="Charme-houblon",0.66,IF(B32="Châtaignier",0.47,IF(B32="Chêne chevelu",0.67,IF(B32="Chêne-liège",0.7,IF(B32="Chêne pédonculé",0.54,IF(B32="Chêne pubescent",0.65,IF(B32="Chêne rouge d’Amérique",0.56,IF(B32="Chêne rouvre (sessile)",0.58,IF(B32="Chêne tauzin",0.64,IF(B32="Chêne vert",0.73,IF(B32="Chênes indifférenciés",0.56,IF(B32="Cornouiller mâle",0.74,IF(B32="Cyprès",0.4,IF(B32="Cytise aubour",0.6,IF(B32="Douglas",0.43,IF(B32="Epicéa commun",0.37,IF(B32="Epicéa de Sitka",0.36,IF(B32="Grands érables",0.51,IF(B32="Petits érables",0.56,IF(B32="Eucalyptus",0.56,IF(B32="Genévrier thurifère",0.48,IF(B32="Hêtre",0.55,IF(B32="Frênes",0.56,IF(B32="Fruitiers",0.58,IF(B32="If",0.58,IF(B32="Mélèze d’Europe",0.48,IF(B32="Mélèze du Japon",0.42,IF(B32="Merisier",0.5,IF(B32="Micocoulier",0.55,IF(B32="Mûrier",0.53,IF(B32="Noisetier",0.52,IF(B32="Noyer",0.52,IF(B32="Olivier",0.75,IF(B32="Ormes",0.52,IF(B32="Peupliers cultivés",0.35,IF(B32="Peupliers non cultivés",0.37,IF(B32="Pin d'Alep",0.45,IF(B32="Pin cembro",0.39,IF(B32="Pin à crochets",0.44,IF(B32="Pin laricio",0.46,IF(B32="Pin maritime",0.46,IF(B32="Pin mugho",0.44,IF(B32="Pin noir d'Autriche",0.46,IF(B32="Pin pignon",0.48,IF(B32="Pin sylvestre",0.44,IF(B32="Pin Weymouth",0.34,IF(B32="Platanes",0.5,IF(B32="Robinier faux acacia",0.58,IF(B32="Sapin méditerranéen",0.37,IF(B32="Sapin de Nordmann",0.37,IF(B32="Sapin pectiné",0.38,IF(B32="Sapin de Vancouver",0.36,IF(B32="Saules",0.37,IF(B32="Tamaris",0.53,IF(B32="Tilleuls",0.43,IF(B32="Tremble",0.38,IF(B32="Conifères (moyenne)",0.42,IF(B32="Feuillus (moyenne)",0.57,0)))))))))))))))))))))))))))))))))))))))))))))))))))))))))))))))))</f>
        <v>0.42</v>
      </c>
      <c r="D32" s="57"/>
      <c r="E32" s="15"/>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ht="14.5" customHeight="1" x14ac:dyDescent="0.35">
      <c r="A33" s="157" t="s">
        <v>89</v>
      </c>
      <c r="B33" s="12" t="s">
        <v>92</v>
      </c>
      <c r="C33" s="24">
        <v>35</v>
      </c>
      <c r="D33" s="15"/>
      <c r="E33" s="15"/>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5">
      <c r="A34" s="158"/>
      <c r="B34" s="12" t="s">
        <v>93</v>
      </c>
      <c r="C34" s="24">
        <v>25</v>
      </c>
      <c r="D34" s="15"/>
      <c r="E34" s="15"/>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x14ac:dyDescent="0.35">
      <c r="A35" s="158"/>
      <c r="B35" s="12" t="s">
        <v>94</v>
      </c>
      <c r="C35" s="24">
        <v>2</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35">
      <c r="A36" s="160"/>
      <c r="B36" s="25" t="s">
        <v>153</v>
      </c>
      <c r="C36" s="60">
        <v>5</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customHeight="1" x14ac:dyDescent="0.35">
      <c r="A37" s="157" t="s">
        <v>95</v>
      </c>
      <c r="B37" s="25" t="s">
        <v>92</v>
      </c>
      <c r="C37" s="26">
        <f>LN(2)/C33</f>
        <v>1.980420515885558E-2</v>
      </c>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row>
    <row r="38" spans="1:32" x14ac:dyDescent="0.35">
      <c r="A38" s="158"/>
      <c r="B38" s="12" t="s">
        <v>93</v>
      </c>
      <c r="C38" s="26">
        <f>LN(2)/C34</f>
        <v>2.7725887222397813E-2</v>
      </c>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row>
    <row r="39" spans="1:32" x14ac:dyDescent="0.35">
      <c r="A39" s="158"/>
      <c r="B39" s="61" t="s">
        <v>94</v>
      </c>
      <c r="C39" s="62">
        <f>LN(2)/C35</f>
        <v>0.34657359027997264</v>
      </c>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row>
    <row r="40" spans="1:32" ht="15" thickBot="1" x14ac:dyDescent="0.4">
      <c r="A40" s="159"/>
      <c r="B40" s="23" t="s">
        <v>153</v>
      </c>
      <c r="C40" s="27">
        <f>LN(2)/C36</f>
        <v>0.13862943611198905</v>
      </c>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row>
    <row r="41" spans="1:32" x14ac:dyDescent="0.35">
      <c r="A41" s="8"/>
      <c r="B41" s="108"/>
      <c r="C41" s="100"/>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row>
    <row r="42" spans="1:32" x14ac:dyDescent="0.35">
      <c r="A42" s="8"/>
      <c r="B42" s="108"/>
      <c r="C42" s="100"/>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row>
  </sheetData>
  <sheetProtection algorithmName="SHA-512" hashValue="TSP+VGHX14UFFrxSnHIGildjlGxl/VigYgnOjEkV66dWbFFiBTLW7/X1+iPGkvlD7EVudoSM+0O8hXkQ2T5ZZA==" saltValue="PfnWvliBtUWTFHhdVD0/uA==" spinCount="100000" sheet="1" objects="1" scenarios="1"/>
  <mergeCells count="6">
    <mergeCell ref="A37:A40"/>
    <mergeCell ref="A33:A36"/>
    <mergeCell ref="A9:B9"/>
    <mergeCell ref="A13:AF13"/>
    <mergeCell ref="A15:AF15"/>
    <mergeCell ref="A30:B30"/>
  </mergeCells>
  <conditionalFormatting sqref="B16:AF2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D32:D34</xm:sqref>
        </x14:dataValidation>
        <x14:dataValidation type="list" showInputMessage="1" showErrorMessage="1" prompt="Choisir l'essence pour avoir la di pour le scénario de projet">
          <x14:formula1>
            <xm:f>'Listes choix'!$C$2:$C$66</xm:f>
          </x14:formula1>
          <xm:sqref>B32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0"/>
  <sheetViews>
    <sheetView zoomScale="68" workbookViewId="0">
      <selection activeCell="U20" sqref="U20"/>
    </sheetView>
  </sheetViews>
  <sheetFormatPr baseColWidth="10" defaultRowHeight="14.5" x14ac:dyDescent="0.35"/>
  <cols>
    <col min="1" max="1" width="38.08984375" style="1" customWidth="1"/>
    <col min="2" max="2" width="27.08984375" customWidth="1"/>
    <col min="4" max="4" width="13.1796875" customWidth="1"/>
  </cols>
  <sheetData>
    <row r="4" spans="1:177" ht="16" thickBot="1" x14ac:dyDescent="0.4">
      <c r="A4" s="19"/>
      <c r="B4" s="7"/>
    </row>
    <row r="5" spans="1:177" ht="16" thickBot="1" x14ac:dyDescent="0.4">
      <c r="A5" s="20" t="s">
        <v>189</v>
      </c>
      <c r="B5" s="103">
        <f>SUM(B21:AE21)</f>
        <v>46.955999999999996</v>
      </c>
    </row>
    <row r="6" spans="1:177" ht="16" thickBot="1" x14ac:dyDescent="0.4">
      <c r="A6" s="20" t="s">
        <v>96</v>
      </c>
      <c r="B6" s="103">
        <f>B5*B10</f>
        <v>442.39595399999996</v>
      </c>
    </row>
    <row r="8" spans="1:177" ht="15" thickBot="1" x14ac:dyDescent="0.4"/>
    <row r="9" spans="1:177" ht="15" thickBot="1" x14ac:dyDescent="0.4">
      <c r="A9" s="153" t="s">
        <v>13</v>
      </c>
      <c r="B9" s="154"/>
    </row>
    <row r="10" spans="1:177" x14ac:dyDescent="0.35">
      <c r="A10" s="2" t="s">
        <v>7</v>
      </c>
      <c r="B10" s="96">
        <v>9.4215</v>
      </c>
    </row>
    <row r="11" spans="1:177" x14ac:dyDescent="0.35">
      <c r="A11" s="99" t="s">
        <v>16</v>
      </c>
      <c r="B11" s="102">
        <v>30</v>
      </c>
    </row>
    <row r="12" spans="1:177" x14ac:dyDescent="0.35">
      <c r="A12" s="3" t="s">
        <v>109</v>
      </c>
      <c r="B12" s="35" t="s">
        <v>108</v>
      </c>
    </row>
    <row r="13" spans="1:177" ht="36" customHeight="1" x14ac:dyDescent="0.35">
      <c r="A13" s="3" t="s">
        <v>165</v>
      </c>
      <c r="B13" s="24">
        <f>IF(B12="Feuillus",C27,IF(B12="Peuplier",C28,IF(B12="Résineux",C30,IF(B12="Pin maritime en gestion dynamique (3 éclaircies durant les 30 1ères années)",C29,0))))</f>
        <v>0.43</v>
      </c>
    </row>
    <row r="14" spans="1:177" ht="29.5" thickBot="1" x14ac:dyDescent="0.4">
      <c r="A14" s="4" t="s">
        <v>112</v>
      </c>
      <c r="B14" s="39">
        <v>0</v>
      </c>
    </row>
    <row r="15" spans="1:177" ht="15" thickBot="1" x14ac:dyDescent="0.4">
      <c r="AF15" s="7"/>
    </row>
    <row r="16" spans="1:177" s="5" customFormat="1" ht="15.5" x14ac:dyDescent="0.35">
      <c r="A16" s="161" t="s">
        <v>97</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3"/>
      <c r="AF16" s="19"/>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3" t="s">
        <v>17</v>
      </c>
      <c r="B17" s="12">
        <v>1</v>
      </c>
      <c r="C17" s="12">
        <v>2</v>
      </c>
      <c r="D17" s="12">
        <v>3</v>
      </c>
      <c r="E17" s="12">
        <v>4</v>
      </c>
      <c r="F17" s="12">
        <v>5</v>
      </c>
      <c r="G17" s="12">
        <v>6</v>
      </c>
      <c r="H17" s="12">
        <v>7</v>
      </c>
      <c r="I17" s="12">
        <v>8</v>
      </c>
      <c r="J17" s="12">
        <v>9</v>
      </c>
      <c r="K17" s="12">
        <v>10</v>
      </c>
      <c r="L17" s="12">
        <v>11</v>
      </c>
      <c r="M17" s="12">
        <v>12</v>
      </c>
      <c r="N17" s="137">
        <v>13</v>
      </c>
      <c r="O17" s="12">
        <v>14</v>
      </c>
      <c r="P17" s="12">
        <v>15</v>
      </c>
      <c r="Q17" s="12">
        <v>16</v>
      </c>
      <c r="R17" s="12">
        <v>17</v>
      </c>
      <c r="S17" s="12">
        <v>18</v>
      </c>
      <c r="T17" s="12">
        <v>19</v>
      </c>
      <c r="U17" s="137">
        <v>20</v>
      </c>
      <c r="V17" s="12">
        <v>21</v>
      </c>
      <c r="W17" s="12">
        <v>22</v>
      </c>
      <c r="X17" s="12">
        <v>23</v>
      </c>
      <c r="Y17" s="12">
        <v>24</v>
      </c>
      <c r="Z17" s="12">
        <v>25</v>
      </c>
      <c r="AA17" s="12">
        <v>26</v>
      </c>
      <c r="AB17" s="12">
        <v>27</v>
      </c>
      <c r="AC17" s="12">
        <v>28</v>
      </c>
      <c r="AD17" s="12">
        <v>29</v>
      </c>
      <c r="AE17" s="24">
        <v>30</v>
      </c>
      <c r="AF17" s="15"/>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s="5" customFormat="1" x14ac:dyDescent="0.35">
      <c r="A18" s="171" t="s">
        <v>3</v>
      </c>
      <c r="B18" s="172"/>
      <c r="C18" s="172"/>
      <c r="D18" s="172"/>
      <c r="E18" s="172"/>
      <c r="F18" s="172"/>
      <c r="G18" s="172"/>
      <c r="H18" s="172"/>
      <c r="I18" s="172"/>
      <c r="J18" s="172"/>
      <c r="K18" s="172"/>
      <c r="L18" s="172"/>
      <c r="M18" s="172"/>
      <c r="N18" s="172"/>
      <c r="O18" s="172"/>
      <c r="P18" s="172"/>
      <c r="Q18" s="172"/>
      <c r="R18" s="172"/>
      <c r="S18" s="172"/>
      <c r="T18" s="172"/>
      <c r="U18" s="172"/>
      <c r="V18" s="172"/>
      <c r="W18" s="172"/>
      <c r="X18" s="172"/>
      <c r="Y18" s="172"/>
      <c r="Z18" s="172"/>
      <c r="AA18" s="172"/>
      <c r="AB18" s="172"/>
      <c r="AC18" s="172"/>
      <c r="AD18" s="172"/>
      <c r="AE18" s="173"/>
      <c r="AF18" s="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69" t="s">
        <v>210</v>
      </c>
      <c r="B19" s="68">
        <f t="shared" ref="B19:AE19" si="0">$B$13*B20</f>
        <v>0</v>
      </c>
      <c r="C19" s="68">
        <f t="shared" si="0"/>
        <v>0</v>
      </c>
      <c r="D19" s="68">
        <f t="shared" si="0"/>
        <v>0</v>
      </c>
      <c r="E19" s="68">
        <f t="shared" si="0"/>
        <v>0</v>
      </c>
      <c r="F19" s="68">
        <f t="shared" si="0"/>
        <v>0</v>
      </c>
      <c r="G19" s="68">
        <f t="shared" si="0"/>
        <v>0</v>
      </c>
      <c r="H19" s="68">
        <f t="shared" si="0"/>
        <v>0</v>
      </c>
      <c r="I19" s="68">
        <f t="shared" si="0"/>
        <v>0</v>
      </c>
      <c r="J19" s="68">
        <f t="shared" si="0"/>
        <v>0</v>
      </c>
      <c r="K19" s="68">
        <f t="shared" si="0"/>
        <v>0</v>
      </c>
      <c r="L19" s="68">
        <f t="shared" si="0"/>
        <v>0</v>
      </c>
      <c r="M19" s="68">
        <f t="shared" si="0"/>
        <v>0</v>
      </c>
      <c r="N19" s="68">
        <f>$B$13*N20</f>
        <v>16.167999999999999</v>
      </c>
      <c r="O19" s="68">
        <f t="shared" si="0"/>
        <v>0</v>
      </c>
      <c r="P19" s="68">
        <f t="shared" si="0"/>
        <v>0</v>
      </c>
      <c r="Q19" s="68">
        <f t="shared" si="0"/>
        <v>0</v>
      </c>
      <c r="R19" s="68">
        <f t="shared" si="0"/>
        <v>0</v>
      </c>
      <c r="S19" s="68">
        <f t="shared" si="0"/>
        <v>0</v>
      </c>
      <c r="T19" s="68">
        <f t="shared" si="0"/>
        <v>0</v>
      </c>
      <c r="U19" s="139">
        <f>$B$13*U20</f>
        <v>30.787999999999997</v>
      </c>
      <c r="V19" s="68">
        <f t="shared" si="0"/>
        <v>0</v>
      </c>
      <c r="W19" s="68">
        <f t="shared" si="0"/>
        <v>0</v>
      </c>
      <c r="X19" s="68">
        <f t="shared" si="0"/>
        <v>0</v>
      </c>
      <c r="Y19" s="68">
        <f t="shared" si="0"/>
        <v>0</v>
      </c>
      <c r="Z19" s="68">
        <f t="shared" si="0"/>
        <v>0</v>
      </c>
      <c r="AA19" s="68">
        <f t="shared" si="0"/>
        <v>0</v>
      </c>
      <c r="AB19" s="68">
        <f t="shared" si="0"/>
        <v>0</v>
      </c>
      <c r="AC19" s="68">
        <f t="shared" si="0"/>
        <v>0</v>
      </c>
      <c r="AD19" s="68">
        <f t="shared" si="0"/>
        <v>0</v>
      </c>
      <c r="AE19" s="70">
        <f t="shared" si="0"/>
        <v>0</v>
      </c>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3" t="s">
        <v>211</v>
      </c>
      <c r="B20" s="17"/>
      <c r="C20" s="17"/>
      <c r="D20" s="34"/>
      <c r="E20" s="34"/>
      <c r="F20" s="34"/>
      <c r="G20" s="34"/>
      <c r="H20" s="34"/>
      <c r="I20" s="34"/>
      <c r="J20" s="34"/>
      <c r="K20" s="34"/>
      <c r="L20" s="34"/>
      <c r="M20" s="34"/>
      <c r="N20" s="138">
        <v>37.6</v>
      </c>
      <c r="O20" s="34"/>
      <c r="P20" s="34"/>
      <c r="Q20" s="34"/>
      <c r="R20" s="34"/>
      <c r="S20" s="34"/>
      <c r="T20" s="34"/>
      <c r="U20" s="138">
        <v>71.599999999999994</v>
      </c>
      <c r="V20" s="34"/>
      <c r="W20" s="34"/>
      <c r="X20" s="34"/>
      <c r="Y20" s="34"/>
      <c r="Z20" s="34"/>
      <c r="AA20" s="34"/>
      <c r="AB20" s="34"/>
      <c r="AC20" s="34"/>
      <c r="AD20" s="34"/>
      <c r="AE20" s="59"/>
      <c r="AF20" s="38"/>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5" thickBot="1" x14ac:dyDescent="0.4">
      <c r="A21" s="40" t="s">
        <v>212</v>
      </c>
      <c r="B21" s="12">
        <f>B19-0</f>
        <v>0</v>
      </c>
      <c r="C21" s="23">
        <f>C19-0</f>
        <v>0</v>
      </c>
      <c r="D21" s="23">
        <f t="shared" ref="D21:AE21" si="1">D19-0</f>
        <v>0</v>
      </c>
      <c r="E21" s="23">
        <f t="shared" si="1"/>
        <v>0</v>
      </c>
      <c r="F21" s="23">
        <f t="shared" si="1"/>
        <v>0</v>
      </c>
      <c r="G21" s="23">
        <f t="shared" si="1"/>
        <v>0</v>
      </c>
      <c r="H21" s="23">
        <f t="shared" si="1"/>
        <v>0</v>
      </c>
      <c r="I21" s="23">
        <f t="shared" si="1"/>
        <v>0</v>
      </c>
      <c r="J21" s="23">
        <f t="shared" si="1"/>
        <v>0</v>
      </c>
      <c r="K21" s="23">
        <f t="shared" si="1"/>
        <v>0</v>
      </c>
      <c r="L21" s="23">
        <f t="shared" si="1"/>
        <v>0</v>
      </c>
      <c r="M21" s="23">
        <f t="shared" si="1"/>
        <v>0</v>
      </c>
      <c r="N21" s="23">
        <f t="shared" si="1"/>
        <v>16.167999999999999</v>
      </c>
      <c r="O21" s="23">
        <f t="shared" si="1"/>
        <v>0</v>
      </c>
      <c r="P21" s="23">
        <f t="shared" si="1"/>
        <v>0</v>
      </c>
      <c r="Q21" s="23">
        <f t="shared" si="1"/>
        <v>0</v>
      </c>
      <c r="R21" s="23">
        <f t="shared" si="1"/>
        <v>0</v>
      </c>
      <c r="S21" s="23">
        <f t="shared" si="1"/>
        <v>0</v>
      </c>
      <c r="T21" s="23">
        <f t="shared" si="1"/>
        <v>0</v>
      </c>
      <c r="U21" s="128">
        <f>U19-0</f>
        <v>30.787999999999997</v>
      </c>
      <c r="V21" s="23">
        <f t="shared" si="1"/>
        <v>0</v>
      </c>
      <c r="W21" s="23">
        <f t="shared" si="1"/>
        <v>0</v>
      </c>
      <c r="X21" s="23">
        <f t="shared" si="1"/>
        <v>0</v>
      </c>
      <c r="Y21" s="23">
        <f t="shared" si="1"/>
        <v>0</v>
      </c>
      <c r="Z21" s="23">
        <f t="shared" si="1"/>
        <v>0</v>
      </c>
      <c r="AA21" s="23">
        <f t="shared" si="1"/>
        <v>0</v>
      </c>
      <c r="AB21" s="23">
        <f t="shared" si="1"/>
        <v>0</v>
      </c>
      <c r="AC21" s="23">
        <f t="shared" si="1"/>
        <v>0</v>
      </c>
      <c r="AD21" s="23">
        <f t="shared" si="1"/>
        <v>0</v>
      </c>
      <c r="AE21" s="140">
        <f t="shared" si="1"/>
        <v>0</v>
      </c>
      <c r="AF21" s="57"/>
    </row>
    <row r="22" spans="1:177" ht="15" thickBot="1" x14ac:dyDescent="0.4">
      <c r="A22" s="167" t="s">
        <v>10</v>
      </c>
      <c r="B22" s="168"/>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row>
    <row r="23" spans="1:177" x14ac:dyDescent="0.35">
      <c r="A23" s="157" t="s">
        <v>99</v>
      </c>
      <c r="B23" s="12" t="s">
        <v>100</v>
      </c>
      <c r="C23" s="32">
        <v>1.52</v>
      </c>
      <c r="D23" s="15"/>
      <c r="E23" s="15"/>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177" x14ac:dyDescent="0.35">
      <c r="A24" s="158"/>
      <c r="B24" s="12" t="s">
        <v>102</v>
      </c>
      <c r="C24" s="24">
        <v>0</v>
      </c>
      <c r="D24" s="15"/>
      <c r="E24" s="15"/>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177" x14ac:dyDescent="0.35">
      <c r="A25" s="158"/>
      <c r="B25" s="12" t="s">
        <v>103</v>
      </c>
      <c r="C25" s="24">
        <v>0.77</v>
      </c>
      <c r="D25" s="15"/>
      <c r="E25" s="15"/>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177" x14ac:dyDescent="0.35">
      <c r="A26" s="158"/>
      <c r="B26" s="12" t="s">
        <v>101</v>
      </c>
      <c r="C26" s="24">
        <v>0.25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177" x14ac:dyDescent="0.35">
      <c r="A27" s="169" t="s">
        <v>104</v>
      </c>
      <c r="B27" s="25" t="s">
        <v>105</v>
      </c>
      <c r="C27" s="36">
        <v>0.25</v>
      </c>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row>
    <row r="28" spans="1:177" x14ac:dyDescent="0.35">
      <c r="A28" s="169"/>
      <c r="B28" s="25" t="s">
        <v>106</v>
      </c>
      <c r="C28" s="36">
        <v>1.03</v>
      </c>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row>
    <row r="29" spans="1:177" ht="29" x14ac:dyDescent="0.35">
      <c r="A29" s="169"/>
      <c r="B29" s="33" t="s">
        <v>107</v>
      </c>
      <c r="C29" s="36">
        <v>0.59</v>
      </c>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row>
    <row r="30" spans="1:177" ht="15" thickBot="1" x14ac:dyDescent="0.4">
      <c r="A30" s="170"/>
      <c r="B30" s="23" t="s">
        <v>108</v>
      </c>
      <c r="C30" s="37">
        <v>0.43</v>
      </c>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row>
  </sheetData>
  <sheetProtection algorithmName="SHA-512" hashValue="ntk03MVSzMERwScJhWUUd7M8+lkBtA1fVCv6Z8WUBEqV4n613rKttfXOvwVIEhZWlI2TuuF5hMahtld3Oz3SVg==" saltValue="cjYdWhk3HhnPGewUyk9/Dw==" spinCount="100000" sheet="1" objects="1" scenarios="1"/>
  <mergeCells count="6">
    <mergeCell ref="A27:A30"/>
    <mergeCell ref="A9:B9"/>
    <mergeCell ref="A22:B22"/>
    <mergeCell ref="A23:A26"/>
    <mergeCell ref="A16:AE16"/>
    <mergeCell ref="A18:AE18"/>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D23:D25</xm:sqref>
        </x14:dataValidation>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76" workbookViewId="0">
      <selection activeCell="B4" sqref="B4"/>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c r="C1" s="7"/>
      <c r="D1" s="7"/>
    </row>
    <row r="2" spans="1:4" ht="16" thickBot="1" x14ac:dyDescent="0.4">
      <c r="A2" s="41" t="s">
        <v>116</v>
      </c>
      <c r="B2" s="143" t="s">
        <v>115</v>
      </c>
      <c r="C2" s="145"/>
      <c r="D2" s="144"/>
    </row>
    <row r="3" spans="1:4" ht="15.5" x14ac:dyDescent="0.35">
      <c r="A3" s="30" t="s">
        <v>117</v>
      </c>
      <c r="B3" s="146">
        <f>SUM(B4,B6)</f>
        <v>2652.397609599112</v>
      </c>
      <c r="C3" s="145"/>
      <c r="D3" s="144"/>
    </row>
    <row r="4" spans="1:4" ht="15.5" x14ac:dyDescent="0.35">
      <c r="A4" s="42" t="s">
        <v>118</v>
      </c>
      <c r="B4" s="147">
        <f>REAforêtMBoisement!B6</f>
        <v>2570.1125439949633</v>
      </c>
      <c r="C4" s="145"/>
      <c r="D4" s="144"/>
    </row>
    <row r="5" spans="1:4" ht="15.5" x14ac:dyDescent="0.35">
      <c r="A5" s="104" t="s">
        <v>122</v>
      </c>
      <c r="B5" s="147">
        <f>B4*(1-C15)*(1-C16)*(1-C17)*(1-C18)</f>
        <v>1572.9088769249176</v>
      </c>
      <c r="C5" s="145"/>
      <c r="D5" s="144"/>
    </row>
    <row r="6" spans="1:4" ht="15.5" x14ac:dyDescent="0.35">
      <c r="A6" s="42" t="s">
        <v>119</v>
      </c>
      <c r="B6" s="147">
        <f>REAproduitsMBoisement!B6</f>
        <v>82.285065604148599</v>
      </c>
      <c r="C6" s="145"/>
      <c r="D6" s="144"/>
    </row>
    <row r="7" spans="1:4" ht="15.5" x14ac:dyDescent="0.35">
      <c r="A7" s="104" t="s">
        <v>123</v>
      </c>
      <c r="B7" s="147">
        <f>B6*(1-C15)*(1-C16)*(1-C17)*(1-C18)</f>
        <v>50.358460149738946</v>
      </c>
      <c r="C7" s="145"/>
      <c r="D7" s="144"/>
    </row>
    <row r="8" spans="1:4" ht="15.5" x14ac:dyDescent="0.35">
      <c r="A8" s="42" t="s">
        <v>120</v>
      </c>
      <c r="B8" s="147">
        <f>REEsubsMBoisement!B6</f>
        <v>442.39595399999996</v>
      </c>
      <c r="C8" s="145"/>
      <c r="D8" s="144"/>
    </row>
    <row r="9" spans="1:4" ht="16" thickBot="1" x14ac:dyDescent="0.4">
      <c r="A9" s="105" t="s">
        <v>124</v>
      </c>
      <c r="B9" s="148">
        <f>B8*(1-C15)*(1-C16)*(1-C17)*(1-C18)</f>
        <v>270.74632384799997</v>
      </c>
      <c r="C9" s="145"/>
      <c r="D9" s="144"/>
    </row>
    <row r="10" spans="1:4" ht="15.5" x14ac:dyDescent="0.35">
      <c r="A10" s="43" t="s">
        <v>121</v>
      </c>
      <c r="B10" s="149">
        <f>SUM(B3,B8)</f>
        <v>3094.7935635991121</v>
      </c>
      <c r="C10" s="57"/>
      <c r="D10" s="15"/>
    </row>
    <row r="11" spans="1:4" ht="16" thickBot="1" x14ac:dyDescent="0.4">
      <c r="A11" s="44" t="s">
        <v>125</v>
      </c>
      <c r="B11" s="150">
        <f>SUM(B5,B7,B9)</f>
        <v>1894.0136609226565</v>
      </c>
      <c r="C11" s="57"/>
      <c r="D11" s="15"/>
    </row>
    <row r="13" spans="1:4" ht="15" thickBot="1" x14ac:dyDescent="0.4"/>
    <row r="14" spans="1:4" ht="16" thickBot="1" x14ac:dyDescent="0.4">
      <c r="A14" s="46" t="s">
        <v>126</v>
      </c>
      <c r="B14" s="71" t="s">
        <v>127</v>
      </c>
      <c r="C14" s="95" t="s">
        <v>134</v>
      </c>
    </row>
    <row r="15" spans="1:4" x14ac:dyDescent="0.35">
      <c r="A15" s="127" t="s">
        <v>223</v>
      </c>
      <c r="B15" s="49" t="s">
        <v>181</v>
      </c>
      <c r="C15" s="51">
        <f>IF(B15="Réalisée",0,IF(B15="Pas réalisée",0.2,""))</f>
        <v>0.2</v>
      </c>
    </row>
    <row r="16" spans="1:4" x14ac:dyDescent="0.35">
      <c r="A16" s="125" t="s">
        <v>222</v>
      </c>
      <c r="B16" s="48" t="s">
        <v>131</v>
      </c>
      <c r="C16" s="52">
        <v>0.1</v>
      </c>
      <c r="D16" s="45"/>
    </row>
    <row r="17" spans="1:5" ht="29" x14ac:dyDescent="0.35">
      <c r="A17" s="124" t="s">
        <v>157</v>
      </c>
      <c r="B17" s="50" t="s">
        <v>138</v>
      </c>
      <c r="C17" s="52">
        <f>IF(B17="Départements sans risque ou risque négligeable",0,IF(B17="Départements avec risque très faible ou faible",0.05,IF(B17="Départements avec risque moyen",0.1,IF(B17="Départements avec risque fort ou très fort", 0.15,""))))</f>
        <v>0.15</v>
      </c>
      <c r="D17" s="45"/>
    </row>
    <row r="18" spans="1:5" ht="15" thickBot="1" x14ac:dyDescent="0.4">
      <c r="A18" s="126" t="s">
        <v>133</v>
      </c>
      <c r="B18" s="181" t="s">
        <v>140</v>
      </c>
      <c r="C18" s="182">
        <f>IF(B18="Démontrée",0,IF(B18="Non démontrée",0.1,""))</f>
        <v>0</v>
      </c>
    </row>
    <row r="19" spans="1:5" x14ac:dyDescent="0.35">
      <c r="A19" s="53"/>
      <c r="B19" s="15"/>
      <c r="C19" s="15"/>
      <c r="D19" s="53"/>
      <c r="E19" s="93"/>
    </row>
    <row r="20" spans="1:5" x14ac:dyDescent="0.35">
      <c r="A20" s="53"/>
      <c r="B20" s="15"/>
      <c r="C20" s="15"/>
      <c r="D20" s="53"/>
      <c r="E20" s="93"/>
    </row>
    <row r="21" spans="1:5" x14ac:dyDescent="0.35">
      <c r="A21" s="53"/>
      <c r="B21" s="15"/>
      <c r="C21" s="15"/>
      <c r="D21" s="53"/>
      <c r="E21" s="93"/>
    </row>
    <row r="22" spans="1:5" x14ac:dyDescent="0.35">
      <c r="A22" s="53"/>
      <c r="B22" s="15"/>
      <c r="C22" s="54"/>
      <c r="D22" s="53"/>
    </row>
    <row r="23" spans="1:5" x14ac:dyDescent="0.35">
      <c r="A23" s="53"/>
      <c r="B23" s="53"/>
      <c r="C23" s="53"/>
      <c r="D23" s="53"/>
    </row>
    <row r="24" spans="1:5" x14ac:dyDescent="0.35">
      <c r="A24" s="53"/>
      <c r="B24" s="53"/>
      <c r="C24" s="53"/>
      <c r="D24" s="53"/>
    </row>
    <row r="25" spans="1:5" x14ac:dyDescent="0.35">
      <c r="A25" s="53"/>
      <c r="B25" s="53"/>
      <c r="C25" s="53"/>
      <c r="D25" s="53"/>
    </row>
    <row r="26" spans="1:5" x14ac:dyDescent="0.35">
      <c r="A26" s="53"/>
      <c r="B26" s="53"/>
      <c r="C26" s="53"/>
      <c r="D26" s="53"/>
    </row>
  </sheetData>
  <sheetProtection algorithmName="SHA-512" hashValue="ofEuK0tnNsBixcpUG3NEg3uzzCSUrFd/n/T4oyAHCrJn6osoW4UR48d/ukGqXXVVYW895DfB36VOgtWflzMq/g==" saltValue="QMUsFgs+q//8sJpp3AF7Lg==" spinCount="100000" sheet="1" objects="1" scenarios="1"/>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5" customWidth="1"/>
    <col min="2" max="2" width="10.90625" style="45"/>
    <col min="3" max="3" width="22.08984375" style="45" customWidth="1"/>
    <col min="4" max="6" width="10.90625" style="45"/>
    <col min="7" max="7" width="14.90625" style="45" customWidth="1"/>
    <col min="8" max="8" width="16.7265625" style="45" customWidth="1"/>
    <col min="9" max="9" width="22.26953125" style="45" customWidth="1"/>
    <col min="10" max="10" width="25" style="45" customWidth="1"/>
    <col min="11" max="11" width="26.90625" style="45" customWidth="1"/>
    <col min="12" max="15" width="10.90625" style="45"/>
    <col min="16" max="16" width="13.6328125" style="45" customWidth="1"/>
    <col min="17" max="16384" width="10.90625" style="45"/>
  </cols>
  <sheetData>
    <row r="1" spans="1:20" ht="44" thickBot="1" x14ac:dyDescent="0.4">
      <c r="A1" s="75" t="s">
        <v>9</v>
      </c>
      <c r="B1" s="75" t="s">
        <v>18</v>
      </c>
      <c r="C1" s="79" t="s">
        <v>56</v>
      </c>
      <c r="D1" s="80" t="s">
        <v>21</v>
      </c>
      <c r="E1" s="79" t="s">
        <v>90</v>
      </c>
      <c r="F1" s="79" t="s">
        <v>91</v>
      </c>
      <c r="G1" s="79" t="s">
        <v>110</v>
      </c>
      <c r="H1" s="79" t="s">
        <v>113</v>
      </c>
      <c r="I1" s="88" t="s">
        <v>126</v>
      </c>
      <c r="J1" s="174" t="s">
        <v>127</v>
      </c>
      <c r="K1" s="175"/>
      <c r="L1" s="10"/>
      <c r="M1" s="10"/>
      <c r="N1" s="79" t="s">
        <v>56</v>
      </c>
      <c r="O1" s="79" t="s">
        <v>154</v>
      </c>
      <c r="P1" s="80" t="s">
        <v>157</v>
      </c>
      <c r="Q1" s="176" t="s">
        <v>167</v>
      </c>
      <c r="R1" s="177"/>
      <c r="S1" s="178"/>
      <c r="T1" s="79" t="s">
        <v>219</v>
      </c>
    </row>
    <row r="2" spans="1:20" ht="87.5" thickBot="1" x14ac:dyDescent="0.4">
      <c r="A2" s="72" t="s">
        <v>160</v>
      </c>
      <c r="B2" s="77" t="s">
        <v>20</v>
      </c>
      <c r="C2" s="81" t="s">
        <v>22</v>
      </c>
      <c r="D2" s="84">
        <v>0.62</v>
      </c>
      <c r="E2" s="81" t="s">
        <v>92</v>
      </c>
      <c r="F2" s="84">
        <v>35</v>
      </c>
      <c r="G2" s="77" t="s">
        <v>19</v>
      </c>
      <c r="H2" s="77" t="s">
        <v>19</v>
      </c>
      <c r="I2" s="81" t="s">
        <v>128</v>
      </c>
      <c r="J2" s="89" t="s">
        <v>135</v>
      </c>
      <c r="K2" s="89" t="s">
        <v>181</v>
      </c>
      <c r="L2" s="92" t="s">
        <v>135</v>
      </c>
      <c r="M2" s="91" t="s">
        <v>181</v>
      </c>
      <c r="N2" s="77" t="s">
        <v>22</v>
      </c>
      <c r="O2" s="77" t="s">
        <v>155</v>
      </c>
      <c r="P2" s="76" t="s">
        <v>158</v>
      </c>
      <c r="Q2" s="79" t="s">
        <v>166</v>
      </c>
      <c r="R2" s="79" t="s">
        <v>168</v>
      </c>
      <c r="S2" s="111" t="s">
        <v>169</v>
      </c>
      <c r="T2" s="47" t="s">
        <v>220</v>
      </c>
    </row>
    <row r="3" spans="1:20" ht="102" thickBot="1" x14ac:dyDescent="0.4">
      <c r="A3" s="73" t="s">
        <v>161</v>
      </c>
      <c r="B3" s="78" t="s">
        <v>19</v>
      </c>
      <c r="C3" s="63" t="s">
        <v>78</v>
      </c>
      <c r="D3" s="85">
        <v>0.64</v>
      </c>
      <c r="E3" s="63" t="s">
        <v>93</v>
      </c>
      <c r="F3" s="85">
        <v>25</v>
      </c>
      <c r="G3" s="87" t="s">
        <v>106</v>
      </c>
      <c r="H3" s="78" t="s">
        <v>114</v>
      </c>
      <c r="I3" s="63" t="s">
        <v>129</v>
      </c>
      <c r="J3" s="47" t="s">
        <v>141</v>
      </c>
      <c r="K3" s="82" t="s">
        <v>143</v>
      </c>
      <c r="L3" s="10"/>
      <c r="M3" s="10"/>
      <c r="N3" s="87" t="s">
        <v>23</v>
      </c>
      <c r="O3" s="87" t="s">
        <v>27</v>
      </c>
      <c r="P3" s="78" t="s">
        <v>138</v>
      </c>
      <c r="Q3" s="77" t="s">
        <v>170</v>
      </c>
      <c r="R3" s="77" t="s">
        <v>179</v>
      </c>
      <c r="S3" s="77" t="s">
        <v>173</v>
      </c>
      <c r="T3" s="47" t="s">
        <v>221</v>
      </c>
    </row>
    <row r="4" spans="1:20" ht="87.5" thickBot="1" x14ac:dyDescent="0.4">
      <c r="A4" s="73" t="s">
        <v>162</v>
      </c>
      <c r="B4" s="10"/>
      <c r="C4" s="63" t="s">
        <v>23</v>
      </c>
      <c r="D4" s="85">
        <v>0.42</v>
      </c>
      <c r="E4" s="64" t="s">
        <v>94</v>
      </c>
      <c r="F4" s="86">
        <v>2</v>
      </c>
      <c r="G4" s="73" t="s">
        <v>108</v>
      </c>
      <c r="H4" s="10"/>
      <c r="I4" s="63" t="s">
        <v>130</v>
      </c>
      <c r="J4" s="47" t="s">
        <v>131</v>
      </c>
      <c r="K4" s="82" t="s">
        <v>131</v>
      </c>
      <c r="L4" s="10"/>
      <c r="M4" s="10"/>
      <c r="N4" s="87" t="s">
        <v>79</v>
      </c>
      <c r="O4" s="74" t="s">
        <v>156</v>
      </c>
      <c r="P4" s="10"/>
      <c r="Q4" s="87" t="s">
        <v>171</v>
      </c>
      <c r="R4" s="78" t="s">
        <v>172</v>
      </c>
      <c r="S4" s="73" t="s">
        <v>174</v>
      </c>
    </row>
    <row r="5" spans="1:20" ht="87.5" thickBot="1" x14ac:dyDescent="0.4">
      <c r="A5" s="74" t="s">
        <v>163</v>
      </c>
      <c r="B5" s="10"/>
      <c r="C5" s="63" t="s">
        <v>79</v>
      </c>
      <c r="D5" s="82">
        <v>0.42</v>
      </c>
      <c r="E5" s="10"/>
      <c r="F5" s="10"/>
      <c r="G5" s="74" t="s">
        <v>111</v>
      </c>
      <c r="H5" s="10"/>
      <c r="I5" s="157" t="s">
        <v>132</v>
      </c>
      <c r="J5" s="47"/>
      <c r="K5" s="82" t="s">
        <v>142</v>
      </c>
      <c r="L5" s="10"/>
      <c r="M5" s="10"/>
      <c r="N5" s="73" t="s">
        <v>25</v>
      </c>
      <c r="O5" s="10"/>
      <c r="P5" s="10"/>
      <c r="Q5" s="74" t="s">
        <v>178</v>
      </c>
      <c r="S5" s="73" t="s">
        <v>175</v>
      </c>
    </row>
    <row r="6" spans="1:20" ht="72.5" x14ac:dyDescent="0.35">
      <c r="A6" s="10"/>
      <c r="B6" s="10"/>
      <c r="C6" s="63" t="s">
        <v>80</v>
      </c>
      <c r="D6" s="82">
        <v>0.52</v>
      </c>
      <c r="E6" s="10"/>
      <c r="F6" s="10"/>
      <c r="G6" s="10"/>
      <c r="H6" s="10"/>
      <c r="I6" s="158"/>
      <c r="J6" s="47"/>
      <c r="K6" s="82" t="s">
        <v>136</v>
      </c>
      <c r="L6" s="10"/>
      <c r="M6" s="10"/>
      <c r="N6" s="73" t="s">
        <v>26</v>
      </c>
      <c r="O6" s="10"/>
      <c r="P6" s="10"/>
      <c r="S6" s="73" t="s">
        <v>176</v>
      </c>
    </row>
    <row r="7" spans="1:20" ht="101.5" x14ac:dyDescent="0.35">
      <c r="A7" s="10"/>
      <c r="B7" s="10"/>
      <c r="C7" s="63" t="s">
        <v>24</v>
      </c>
      <c r="D7" s="82">
        <v>0.36</v>
      </c>
      <c r="E7" s="10"/>
      <c r="F7" s="10"/>
      <c r="G7" s="10"/>
      <c r="H7" s="10"/>
      <c r="I7" s="158"/>
      <c r="J7" s="47"/>
      <c r="K7" s="82" t="s">
        <v>137</v>
      </c>
      <c r="L7" s="10"/>
      <c r="M7" s="10"/>
      <c r="N7" s="73" t="s">
        <v>27</v>
      </c>
      <c r="O7" s="10"/>
      <c r="P7" s="10"/>
      <c r="S7" s="94" t="s">
        <v>177</v>
      </c>
    </row>
    <row r="8" spans="1:20" ht="29.5" thickBot="1" x14ac:dyDescent="0.4">
      <c r="A8" s="10"/>
      <c r="B8" s="10"/>
      <c r="C8" s="63" t="s">
        <v>25</v>
      </c>
      <c r="D8" s="82">
        <v>0.61</v>
      </c>
      <c r="E8" s="10"/>
      <c r="F8" s="10"/>
      <c r="G8" s="10"/>
      <c r="H8" s="10"/>
      <c r="I8" s="160"/>
      <c r="J8" s="47"/>
      <c r="K8" s="82" t="s">
        <v>138</v>
      </c>
      <c r="L8" s="10"/>
      <c r="M8" s="10"/>
      <c r="N8" s="73" t="s">
        <v>28</v>
      </c>
      <c r="O8" s="10"/>
      <c r="P8" s="10"/>
      <c r="S8" s="74" t="s">
        <v>180</v>
      </c>
    </row>
    <row r="9" spans="1:20" ht="29.5" thickBot="1" x14ac:dyDescent="0.4">
      <c r="A9" s="10"/>
      <c r="B9" s="10"/>
      <c r="C9" s="63" t="s">
        <v>26</v>
      </c>
      <c r="D9" s="82">
        <v>0.66</v>
      </c>
      <c r="E9" s="10"/>
      <c r="F9" s="10"/>
      <c r="G9" s="10"/>
      <c r="H9" s="10"/>
      <c r="I9" s="64" t="s">
        <v>133</v>
      </c>
      <c r="J9" s="90" t="s">
        <v>140</v>
      </c>
      <c r="K9" s="83" t="s">
        <v>139</v>
      </c>
      <c r="L9" s="10"/>
      <c r="M9" s="10"/>
      <c r="N9" s="73" t="s">
        <v>29</v>
      </c>
      <c r="O9" s="10"/>
      <c r="P9" s="10"/>
    </row>
    <row r="10" spans="1:20" ht="29" x14ac:dyDescent="0.35">
      <c r="A10" s="10"/>
      <c r="B10" s="10"/>
      <c r="C10" s="63" t="s">
        <v>27</v>
      </c>
      <c r="D10" s="82">
        <v>0.47</v>
      </c>
      <c r="E10" s="10"/>
      <c r="F10" s="10"/>
      <c r="G10" s="10"/>
      <c r="H10" s="10"/>
      <c r="I10" s="10"/>
      <c r="J10" s="10"/>
      <c r="K10" s="10"/>
      <c r="L10" s="10"/>
      <c r="M10" s="10"/>
      <c r="N10" s="73" t="s">
        <v>30</v>
      </c>
      <c r="O10" s="10"/>
      <c r="P10" s="10"/>
    </row>
    <row r="11" spans="1:20" ht="29" x14ac:dyDescent="0.35">
      <c r="A11" s="10"/>
      <c r="B11" s="10"/>
      <c r="C11" s="63" t="s">
        <v>28</v>
      </c>
      <c r="D11" s="82">
        <v>0.67</v>
      </c>
      <c r="E11" s="10"/>
      <c r="F11" s="10"/>
      <c r="G11" s="10"/>
      <c r="H11" s="10"/>
      <c r="I11" s="10"/>
      <c r="J11" s="10"/>
      <c r="K11" s="10"/>
      <c r="L11" s="10"/>
      <c r="M11" s="10"/>
      <c r="N11" s="73" t="s">
        <v>31</v>
      </c>
      <c r="O11" s="10"/>
      <c r="P11" s="10"/>
    </row>
    <row r="12" spans="1:20" ht="43.5" x14ac:dyDescent="0.35">
      <c r="A12" s="10"/>
      <c r="B12" s="10"/>
      <c r="C12" s="63" t="s">
        <v>29</v>
      </c>
      <c r="D12" s="82">
        <v>0.7</v>
      </c>
      <c r="E12" s="10"/>
      <c r="F12" s="10"/>
      <c r="G12" s="10"/>
      <c r="H12" s="10"/>
      <c r="I12" s="10"/>
      <c r="J12" s="10"/>
      <c r="K12" s="10"/>
      <c r="L12" s="10"/>
      <c r="M12" s="10"/>
      <c r="N12" s="73" t="s">
        <v>32</v>
      </c>
      <c r="O12" s="10"/>
      <c r="P12" s="10"/>
    </row>
    <row r="13" spans="1:20" ht="29" x14ac:dyDescent="0.35">
      <c r="A13" s="10"/>
      <c r="B13" s="10"/>
      <c r="C13" s="63" t="s">
        <v>30</v>
      </c>
      <c r="D13" s="82">
        <v>0.54</v>
      </c>
      <c r="E13" s="10"/>
      <c r="F13" s="10"/>
      <c r="G13" s="10"/>
      <c r="H13" s="10"/>
      <c r="I13" s="10"/>
      <c r="J13" s="10"/>
      <c r="K13" s="10"/>
      <c r="L13" s="10"/>
      <c r="M13" s="10"/>
      <c r="N13" s="73" t="s">
        <v>33</v>
      </c>
      <c r="O13" s="10"/>
      <c r="P13" s="10"/>
    </row>
    <row r="14" spans="1:20" x14ac:dyDescent="0.35">
      <c r="A14" s="10"/>
      <c r="B14" s="10"/>
      <c r="C14" s="63" t="s">
        <v>31</v>
      </c>
      <c r="D14" s="82">
        <v>0.65</v>
      </c>
      <c r="E14" s="10"/>
      <c r="F14" s="10"/>
      <c r="G14" s="10"/>
      <c r="H14" s="10"/>
      <c r="I14" s="10"/>
      <c r="J14" s="10"/>
      <c r="K14" s="10"/>
      <c r="L14" s="10"/>
      <c r="M14" s="10"/>
      <c r="N14" s="73" t="s">
        <v>34</v>
      </c>
      <c r="O14" s="10"/>
      <c r="P14" s="10"/>
    </row>
    <row r="15" spans="1:20" ht="43.5" x14ac:dyDescent="0.35">
      <c r="A15" s="10"/>
      <c r="B15" s="10"/>
      <c r="C15" s="63" t="s">
        <v>81</v>
      </c>
      <c r="D15" s="82">
        <v>0.56000000000000005</v>
      </c>
      <c r="E15" s="10"/>
      <c r="F15" s="10"/>
      <c r="G15" s="10"/>
      <c r="H15" s="10"/>
      <c r="I15" s="10"/>
      <c r="J15" s="10"/>
      <c r="K15" s="10"/>
      <c r="L15" s="10"/>
      <c r="M15" s="10"/>
      <c r="N15" s="73" t="s">
        <v>35</v>
      </c>
      <c r="O15" s="10"/>
      <c r="P15" s="10"/>
    </row>
    <row r="16" spans="1:20" ht="29" x14ac:dyDescent="0.35">
      <c r="A16" s="10"/>
      <c r="B16" s="10"/>
      <c r="C16" s="63" t="s">
        <v>32</v>
      </c>
      <c r="D16" s="82">
        <v>0.57999999999999996</v>
      </c>
      <c r="E16" s="10"/>
      <c r="F16" s="10"/>
      <c r="G16" s="10"/>
      <c r="H16" s="10"/>
      <c r="I16" s="10"/>
      <c r="J16" s="10"/>
      <c r="K16" s="10"/>
      <c r="L16" s="10"/>
      <c r="M16" s="10"/>
      <c r="N16" s="73" t="s">
        <v>42</v>
      </c>
      <c r="O16" s="10"/>
      <c r="P16" s="10"/>
    </row>
    <row r="17" spans="1:16" ht="29" x14ac:dyDescent="0.35">
      <c r="A17" s="10"/>
      <c r="B17" s="10"/>
      <c r="C17" s="63" t="s">
        <v>33</v>
      </c>
      <c r="D17" s="82">
        <v>0.64</v>
      </c>
      <c r="E17" s="10"/>
      <c r="F17" s="10"/>
      <c r="G17" s="10"/>
      <c r="H17" s="10"/>
      <c r="I17" s="10"/>
      <c r="J17" s="10"/>
      <c r="K17" s="10"/>
      <c r="L17" s="10"/>
      <c r="M17" s="10"/>
      <c r="N17" s="73" t="s">
        <v>43</v>
      </c>
      <c r="O17" s="10"/>
      <c r="P17" s="10"/>
    </row>
    <row r="18" spans="1:16" x14ac:dyDescent="0.35">
      <c r="A18" s="10"/>
      <c r="B18" s="10"/>
      <c r="C18" s="63" t="s">
        <v>34</v>
      </c>
      <c r="D18" s="82">
        <v>0.73</v>
      </c>
      <c r="E18" s="10"/>
      <c r="F18" s="10"/>
      <c r="G18" s="10"/>
      <c r="H18" s="10"/>
      <c r="I18" s="10"/>
      <c r="J18" s="10"/>
      <c r="K18" s="10"/>
      <c r="L18" s="10"/>
      <c r="M18" s="10"/>
      <c r="N18" s="73" t="s">
        <v>45</v>
      </c>
      <c r="O18" s="10"/>
      <c r="P18" s="10"/>
    </row>
    <row r="19" spans="1:16" x14ac:dyDescent="0.35">
      <c r="A19" s="10"/>
      <c r="B19" s="10"/>
      <c r="C19" s="63" t="s">
        <v>35</v>
      </c>
      <c r="D19" s="82">
        <v>0.56000000000000005</v>
      </c>
      <c r="E19" s="10"/>
      <c r="F19" s="10"/>
      <c r="G19" s="10"/>
      <c r="H19" s="10"/>
      <c r="I19" s="10"/>
      <c r="J19" s="10"/>
      <c r="K19" s="10"/>
      <c r="L19" s="10"/>
      <c r="M19" s="10"/>
      <c r="N19" s="73" t="s">
        <v>83</v>
      </c>
      <c r="O19" s="10"/>
      <c r="P19" s="10"/>
    </row>
    <row r="20" spans="1:16" x14ac:dyDescent="0.35">
      <c r="A20" s="10"/>
      <c r="B20" s="10"/>
      <c r="C20" s="63" t="s">
        <v>36</v>
      </c>
      <c r="D20" s="82">
        <v>0.74</v>
      </c>
      <c r="E20" s="10"/>
      <c r="F20" s="10"/>
      <c r="G20" s="10"/>
      <c r="H20" s="10"/>
      <c r="I20" s="10"/>
      <c r="J20" s="10"/>
      <c r="K20" s="10"/>
      <c r="L20" s="10"/>
      <c r="M20" s="10"/>
      <c r="N20" s="73" t="s">
        <v>86</v>
      </c>
      <c r="O20" s="10"/>
      <c r="P20" s="10"/>
    </row>
    <row r="21" spans="1:16" x14ac:dyDescent="0.35">
      <c r="A21" s="10"/>
      <c r="B21" s="10"/>
      <c r="C21" s="63" t="s">
        <v>37</v>
      </c>
      <c r="D21" s="82">
        <v>0.4</v>
      </c>
      <c r="E21" s="10"/>
      <c r="F21" s="10"/>
      <c r="G21" s="10"/>
      <c r="H21" s="10"/>
      <c r="I21" s="10"/>
      <c r="J21" s="10"/>
      <c r="K21" s="10"/>
      <c r="L21" s="10"/>
      <c r="M21" s="10"/>
      <c r="N21" s="73" t="s">
        <v>53</v>
      </c>
      <c r="O21" s="10"/>
      <c r="P21" s="10"/>
    </row>
    <row r="22" spans="1:16" x14ac:dyDescent="0.35">
      <c r="A22" s="10"/>
      <c r="B22" s="10"/>
      <c r="C22" s="63" t="s">
        <v>38</v>
      </c>
      <c r="D22" s="82">
        <v>0.6</v>
      </c>
      <c r="E22" s="10"/>
      <c r="F22" s="10"/>
      <c r="G22" s="10"/>
      <c r="H22" s="10"/>
      <c r="I22" s="10"/>
      <c r="J22" s="10"/>
      <c r="K22" s="10"/>
      <c r="L22" s="10"/>
      <c r="M22" s="10"/>
      <c r="N22" s="73" t="s">
        <v>66</v>
      </c>
      <c r="O22" s="10"/>
      <c r="P22" s="10"/>
    </row>
    <row r="23" spans="1:16" ht="29" x14ac:dyDescent="0.35">
      <c r="A23" s="10"/>
      <c r="B23" s="10"/>
      <c r="C23" s="63" t="s">
        <v>39</v>
      </c>
      <c r="D23" s="82">
        <v>0.43</v>
      </c>
      <c r="E23" s="10"/>
      <c r="F23" s="10"/>
      <c r="G23" s="10"/>
      <c r="H23" s="10"/>
      <c r="I23" s="10"/>
      <c r="J23" s="10"/>
      <c r="K23" s="10"/>
      <c r="L23" s="10"/>
      <c r="M23" s="10"/>
      <c r="N23" s="73" t="s">
        <v>87</v>
      </c>
      <c r="O23" s="10"/>
      <c r="P23" s="10"/>
    </row>
    <row r="24" spans="1:16" x14ac:dyDescent="0.35">
      <c r="A24" s="10"/>
      <c r="B24" s="10"/>
      <c r="C24" s="63" t="s">
        <v>40</v>
      </c>
      <c r="D24" s="82">
        <v>0.37</v>
      </c>
      <c r="E24" s="10"/>
      <c r="F24" s="10"/>
      <c r="G24" s="10"/>
      <c r="H24" s="10"/>
      <c r="I24" s="10"/>
      <c r="J24" s="10"/>
      <c r="K24" s="10"/>
      <c r="L24" s="10"/>
      <c r="M24" s="10"/>
      <c r="N24" s="73" t="s">
        <v>73</v>
      </c>
      <c r="O24" s="10"/>
      <c r="P24" s="10"/>
    </row>
    <row r="25" spans="1:16" ht="29.5" thickBot="1" x14ac:dyDescent="0.4">
      <c r="A25" s="10"/>
      <c r="B25" s="10"/>
      <c r="C25" s="63" t="s">
        <v>41</v>
      </c>
      <c r="D25" s="82">
        <v>0.36</v>
      </c>
      <c r="E25" s="10"/>
      <c r="F25" s="10"/>
      <c r="G25" s="10"/>
      <c r="H25" s="10"/>
      <c r="I25" s="10"/>
      <c r="J25" s="10"/>
      <c r="K25" s="10"/>
      <c r="L25" s="10"/>
      <c r="M25" s="10"/>
      <c r="N25" s="74" t="s">
        <v>76</v>
      </c>
      <c r="O25" s="10"/>
      <c r="P25" s="10"/>
    </row>
    <row r="26" spans="1:16" x14ac:dyDescent="0.35">
      <c r="A26" s="10"/>
      <c r="B26" s="10"/>
      <c r="C26" s="63" t="s">
        <v>42</v>
      </c>
      <c r="D26" s="82">
        <v>0.51</v>
      </c>
      <c r="E26" s="10"/>
      <c r="F26" s="10"/>
      <c r="G26" s="10"/>
      <c r="H26" s="10"/>
      <c r="I26" s="10"/>
      <c r="J26" s="10"/>
      <c r="K26" s="10"/>
      <c r="L26" s="10"/>
      <c r="M26" s="10"/>
      <c r="N26" s="10"/>
      <c r="O26" s="10"/>
      <c r="P26" s="10"/>
    </row>
    <row r="27" spans="1:16" x14ac:dyDescent="0.35">
      <c r="A27" s="10"/>
      <c r="B27" s="10"/>
      <c r="C27" s="63" t="s">
        <v>43</v>
      </c>
      <c r="D27" s="82">
        <v>0.56000000000000005</v>
      </c>
      <c r="E27" s="10"/>
      <c r="F27" s="10"/>
      <c r="G27" s="10"/>
      <c r="H27" s="10"/>
      <c r="I27" s="10"/>
      <c r="J27" s="10"/>
      <c r="K27" s="10"/>
      <c r="L27" s="10"/>
      <c r="M27" s="10"/>
      <c r="N27" s="10"/>
      <c r="O27" s="10"/>
      <c r="P27" s="10"/>
    </row>
    <row r="28" spans="1:16" x14ac:dyDescent="0.35">
      <c r="A28" s="10"/>
      <c r="B28" s="10"/>
      <c r="C28" s="63" t="s">
        <v>44</v>
      </c>
      <c r="D28" s="82">
        <v>0.56000000000000005</v>
      </c>
      <c r="E28" s="10"/>
      <c r="F28" s="10"/>
      <c r="G28" s="10"/>
      <c r="H28" s="10"/>
      <c r="I28" s="10"/>
      <c r="J28" s="10"/>
      <c r="K28" s="10"/>
      <c r="L28" s="10"/>
      <c r="M28" s="10"/>
      <c r="N28" s="10"/>
      <c r="O28" s="10"/>
      <c r="P28" s="10"/>
    </row>
    <row r="29" spans="1:16" x14ac:dyDescent="0.35">
      <c r="A29" s="10"/>
      <c r="B29" s="10"/>
      <c r="C29" s="63" t="s">
        <v>82</v>
      </c>
      <c r="D29" s="82">
        <v>0.48</v>
      </c>
      <c r="E29" s="10"/>
      <c r="F29" s="10"/>
      <c r="G29" s="10"/>
      <c r="H29" s="10"/>
      <c r="I29" s="10"/>
      <c r="J29" s="10"/>
      <c r="K29" s="10"/>
      <c r="L29" s="10"/>
      <c r="M29" s="10"/>
      <c r="N29" s="10"/>
      <c r="O29" s="10"/>
      <c r="P29" s="10"/>
    </row>
    <row r="30" spans="1:16" x14ac:dyDescent="0.35">
      <c r="A30" s="10"/>
      <c r="B30" s="10"/>
      <c r="C30" s="63" t="s">
        <v>45</v>
      </c>
      <c r="D30" s="82">
        <v>0.55000000000000004</v>
      </c>
      <c r="E30" s="10"/>
      <c r="F30" s="10"/>
      <c r="G30" s="10"/>
      <c r="H30" s="10"/>
      <c r="I30" s="10"/>
      <c r="J30" s="10"/>
      <c r="K30" s="10"/>
      <c r="L30" s="10"/>
      <c r="M30" s="10"/>
      <c r="N30" s="10"/>
      <c r="O30" s="10"/>
      <c r="P30" s="10"/>
    </row>
    <row r="31" spans="1:16" x14ac:dyDescent="0.35">
      <c r="A31" s="10"/>
      <c r="B31" s="10"/>
      <c r="C31" s="63" t="s">
        <v>83</v>
      </c>
      <c r="D31" s="82">
        <v>0.56000000000000005</v>
      </c>
      <c r="E31" s="10"/>
      <c r="F31" s="10"/>
      <c r="G31" s="10"/>
      <c r="H31" s="10"/>
      <c r="I31" s="10"/>
      <c r="J31" s="10"/>
      <c r="K31" s="10"/>
      <c r="L31" s="10"/>
      <c r="M31" s="10"/>
      <c r="N31" s="10"/>
      <c r="O31" s="10"/>
      <c r="P31" s="10"/>
    </row>
    <row r="32" spans="1:16" x14ac:dyDescent="0.35">
      <c r="A32" s="10"/>
      <c r="B32" s="10"/>
      <c r="C32" s="63" t="s">
        <v>46</v>
      </c>
      <c r="D32" s="82">
        <v>0.57999999999999996</v>
      </c>
      <c r="E32" s="10"/>
      <c r="F32" s="10"/>
      <c r="G32" s="10"/>
      <c r="H32" s="10"/>
      <c r="I32" s="10"/>
      <c r="J32" s="10"/>
      <c r="K32" s="10"/>
      <c r="L32" s="10"/>
      <c r="M32" s="10"/>
      <c r="N32" s="10"/>
      <c r="O32" s="10"/>
      <c r="P32" s="10"/>
    </row>
    <row r="33" spans="1:16" x14ac:dyDescent="0.35">
      <c r="A33" s="10"/>
      <c r="B33" s="10"/>
      <c r="C33" s="63" t="s">
        <v>47</v>
      </c>
      <c r="D33" s="82">
        <v>0.57999999999999996</v>
      </c>
      <c r="E33" s="10"/>
      <c r="F33" s="10"/>
      <c r="G33" s="10"/>
      <c r="H33" s="10"/>
      <c r="I33" s="10"/>
      <c r="J33" s="10"/>
      <c r="K33" s="10"/>
      <c r="L33" s="10"/>
      <c r="M33" s="10"/>
      <c r="N33" s="10"/>
      <c r="O33" s="10"/>
      <c r="P33" s="10"/>
    </row>
    <row r="34" spans="1:16" x14ac:dyDescent="0.35">
      <c r="A34" s="10"/>
      <c r="B34" s="10"/>
      <c r="C34" s="63" t="s">
        <v>48</v>
      </c>
      <c r="D34" s="82">
        <v>0.48</v>
      </c>
      <c r="E34" s="10"/>
      <c r="F34" s="10"/>
      <c r="G34" s="10"/>
      <c r="H34" s="10"/>
      <c r="I34" s="10"/>
      <c r="J34" s="10"/>
      <c r="K34" s="10"/>
      <c r="L34" s="10"/>
      <c r="M34" s="10"/>
      <c r="N34" s="10"/>
      <c r="O34" s="10"/>
      <c r="P34" s="10"/>
    </row>
    <row r="35" spans="1:16" x14ac:dyDescent="0.35">
      <c r="A35" s="10"/>
      <c r="B35" s="10"/>
      <c r="C35" s="63" t="s">
        <v>49</v>
      </c>
      <c r="D35" s="82">
        <v>0.42</v>
      </c>
      <c r="E35" s="10"/>
      <c r="F35" s="10"/>
      <c r="G35" s="10"/>
      <c r="H35" s="10"/>
      <c r="I35" s="10"/>
      <c r="J35" s="10"/>
      <c r="K35" s="10"/>
      <c r="L35" s="10"/>
      <c r="M35" s="10"/>
      <c r="N35" s="10"/>
      <c r="O35" s="10"/>
      <c r="P35" s="10"/>
    </row>
    <row r="36" spans="1:16" x14ac:dyDescent="0.35">
      <c r="A36" s="10"/>
      <c r="B36" s="10"/>
      <c r="C36" s="63" t="s">
        <v>84</v>
      </c>
      <c r="D36" s="82">
        <v>0.5</v>
      </c>
      <c r="E36" s="10"/>
      <c r="F36" s="10"/>
      <c r="G36" s="10"/>
      <c r="H36" s="10"/>
      <c r="I36" s="10"/>
      <c r="J36" s="10"/>
      <c r="K36" s="10"/>
      <c r="L36" s="10"/>
      <c r="M36" s="10"/>
      <c r="N36" s="10"/>
      <c r="O36" s="10"/>
      <c r="P36" s="10"/>
    </row>
    <row r="37" spans="1:16" x14ac:dyDescent="0.35">
      <c r="A37" s="10"/>
      <c r="B37" s="10"/>
      <c r="C37" s="63" t="s">
        <v>50</v>
      </c>
      <c r="D37" s="82">
        <v>0.55000000000000004</v>
      </c>
      <c r="E37" s="10"/>
      <c r="F37" s="10"/>
      <c r="G37" s="10"/>
      <c r="H37" s="10"/>
      <c r="I37" s="10"/>
      <c r="J37" s="10"/>
      <c r="K37" s="10"/>
      <c r="L37" s="10"/>
      <c r="M37" s="10"/>
      <c r="N37" s="10"/>
      <c r="O37" s="10"/>
      <c r="P37" s="10"/>
    </row>
    <row r="38" spans="1:16" x14ac:dyDescent="0.35">
      <c r="A38" s="10"/>
      <c r="B38" s="10"/>
      <c r="C38" s="63" t="s">
        <v>85</v>
      </c>
      <c r="D38" s="82">
        <v>0.53</v>
      </c>
      <c r="E38" s="10"/>
      <c r="F38" s="10"/>
      <c r="G38" s="10"/>
      <c r="H38" s="10"/>
      <c r="I38" s="10"/>
      <c r="J38" s="10"/>
      <c r="K38" s="10"/>
      <c r="L38" s="10"/>
      <c r="M38" s="10"/>
      <c r="N38" s="10"/>
      <c r="O38" s="10"/>
      <c r="P38" s="10"/>
    </row>
    <row r="39" spans="1:16" x14ac:dyDescent="0.35">
      <c r="A39" s="10"/>
      <c r="B39" s="10"/>
      <c r="C39" s="63" t="s">
        <v>86</v>
      </c>
      <c r="D39" s="82">
        <v>0.52</v>
      </c>
      <c r="E39" s="10"/>
      <c r="F39" s="10"/>
      <c r="G39" s="10"/>
      <c r="H39" s="10"/>
      <c r="I39" s="10"/>
      <c r="J39" s="10"/>
      <c r="K39" s="10"/>
      <c r="L39" s="10"/>
      <c r="M39" s="10"/>
      <c r="N39" s="10"/>
      <c r="O39" s="10"/>
      <c r="P39" s="10"/>
    </row>
    <row r="40" spans="1:16" x14ac:dyDescent="0.35">
      <c r="A40" s="10"/>
      <c r="B40" s="10"/>
      <c r="C40" s="63" t="s">
        <v>51</v>
      </c>
      <c r="D40" s="82">
        <v>0.52</v>
      </c>
      <c r="E40" s="10"/>
      <c r="F40" s="10"/>
      <c r="G40" s="10"/>
      <c r="H40" s="10"/>
      <c r="I40" s="10"/>
      <c r="J40" s="10"/>
      <c r="K40" s="10"/>
      <c r="L40" s="10"/>
      <c r="M40" s="10"/>
      <c r="N40" s="10"/>
      <c r="O40" s="10"/>
      <c r="P40" s="10"/>
    </row>
    <row r="41" spans="1:16" x14ac:dyDescent="0.35">
      <c r="A41" s="10"/>
      <c r="B41" s="10"/>
      <c r="C41" s="63" t="s">
        <v>52</v>
      </c>
      <c r="D41" s="82">
        <v>0.75</v>
      </c>
      <c r="E41" s="10"/>
      <c r="F41" s="10"/>
      <c r="G41" s="10"/>
      <c r="H41" s="10"/>
      <c r="I41" s="10"/>
      <c r="J41" s="10"/>
      <c r="K41" s="10"/>
      <c r="L41" s="10"/>
      <c r="M41" s="10"/>
      <c r="N41" s="10"/>
      <c r="O41" s="10"/>
      <c r="P41" s="10"/>
    </row>
    <row r="42" spans="1:16" x14ac:dyDescent="0.35">
      <c r="A42" s="10"/>
      <c r="B42" s="10"/>
      <c r="C42" s="63" t="s">
        <v>53</v>
      </c>
      <c r="D42" s="82">
        <v>0.52</v>
      </c>
      <c r="E42" s="10"/>
      <c r="F42" s="10"/>
      <c r="G42" s="10"/>
      <c r="H42" s="10"/>
      <c r="I42" s="10"/>
      <c r="J42" s="10"/>
      <c r="K42" s="10"/>
      <c r="L42" s="10"/>
      <c r="M42" s="10"/>
      <c r="N42" s="10"/>
      <c r="O42" s="10"/>
      <c r="P42" s="10"/>
    </row>
    <row r="43" spans="1:16" x14ac:dyDescent="0.35">
      <c r="A43" s="10"/>
      <c r="B43" s="10"/>
      <c r="C43" s="63" t="s">
        <v>54</v>
      </c>
      <c r="D43" s="82">
        <v>0.35</v>
      </c>
      <c r="E43" s="10"/>
      <c r="F43" s="10"/>
      <c r="G43" s="10"/>
      <c r="H43" s="10"/>
      <c r="I43" s="10"/>
      <c r="J43" s="10"/>
      <c r="K43" s="10"/>
      <c r="L43" s="10"/>
      <c r="M43" s="10"/>
      <c r="N43" s="10"/>
      <c r="O43" s="10"/>
      <c r="P43" s="10"/>
    </row>
    <row r="44" spans="1:16" x14ac:dyDescent="0.35">
      <c r="A44" s="10"/>
      <c r="B44" s="10"/>
      <c r="C44" s="63" t="s">
        <v>55</v>
      </c>
      <c r="D44" s="82">
        <v>0.37</v>
      </c>
      <c r="E44" s="10"/>
      <c r="F44" s="10"/>
      <c r="G44" s="10"/>
      <c r="H44" s="10"/>
      <c r="I44" s="10"/>
      <c r="J44" s="10"/>
      <c r="K44" s="10"/>
      <c r="L44" s="10"/>
      <c r="M44" s="10"/>
      <c r="N44" s="10"/>
      <c r="O44" s="10"/>
      <c r="P44" s="10"/>
    </row>
    <row r="45" spans="1:16" x14ac:dyDescent="0.35">
      <c r="A45" s="10"/>
      <c r="B45" s="10"/>
      <c r="C45" s="63" t="s">
        <v>57</v>
      </c>
      <c r="D45" s="82">
        <v>0.45</v>
      </c>
      <c r="E45" s="10"/>
      <c r="F45" s="10"/>
      <c r="G45" s="10"/>
      <c r="H45" s="10"/>
      <c r="I45" s="10"/>
      <c r="J45" s="10"/>
      <c r="K45" s="10"/>
      <c r="L45" s="10"/>
      <c r="M45" s="10"/>
      <c r="N45" s="10"/>
      <c r="O45" s="10"/>
      <c r="P45" s="10"/>
    </row>
    <row r="46" spans="1:16" x14ac:dyDescent="0.35">
      <c r="A46" s="10"/>
      <c r="B46" s="10"/>
      <c r="C46" s="63" t="s">
        <v>58</v>
      </c>
      <c r="D46" s="82">
        <v>0.39</v>
      </c>
      <c r="E46" s="10"/>
      <c r="F46" s="10"/>
      <c r="G46" s="10"/>
      <c r="H46" s="10"/>
      <c r="I46" s="10"/>
      <c r="J46" s="10"/>
      <c r="K46" s="10"/>
      <c r="L46" s="10"/>
      <c r="M46" s="10"/>
      <c r="N46" s="10"/>
      <c r="O46" s="10"/>
      <c r="P46" s="10"/>
    </row>
    <row r="47" spans="1:16" x14ac:dyDescent="0.35">
      <c r="A47" s="10"/>
      <c r="B47" s="10"/>
      <c r="C47" s="63" t="s">
        <v>59</v>
      </c>
      <c r="D47" s="82">
        <v>0.44</v>
      </c>
      <c r="E47" s="10"/>
      <c r="F47" s="10"/>
      <c r="G47" s="10"/>
      <c r="H47" s="10"/>
      <c r="I47" s="10"/>
      <c r="J47" s="10"/>
      <c r="K47" s="10"/>
      <c r="L47" s="10"/>
      <c r="M47" s="10"/>
      <c r="N47" s="10"/>
      <c r="O47" s="10"/>
      <c r="P47" s="10"/>
    </row>
    <row r="48" spans="1:16" x14ac:dyDescent="0.35">
      <c r="A48" s="10"/>
      <c r="B48" s="10"/>
      <c r="C48" s="63" t="s">
        <v>60</v>
      </c>
      <c r="D48" s="82">
        <v>0.46</v>
      </c>
      <c r="E48" s="10"/>
      <c r="F48" s="10"/>
      <c r="G48" s="10"/>
      <c r="H48" s="10"/>
      <c r="I48" s="10"/>
      <c r="J48" s="10"/>
      <c r="K48" s="10"/>
      <c r="L48" s="10"/>
      <c r="M48" s="10"/>
      <c r="N48" s="10"/>
      <c r="O48" s="10"/>
      <c r="P48" s="10"/>
    </row>
    <row r="49" spans="1:16" x14ac:dyDescent="0.35">
      <c r="A49" s="10"/>
      <c r="B49" s="10"/>
      <c r="C49" s="63" t="s">
        <v>61</v>
      </c>
      <c r="D49" s="82">
        <v>0.46</v>
      </c>
      <c r="E49" s="10"/>
      <c r="F49" s="10"/>
      <c r="G49" s="10"/>
      <c r="H49" s="10"/>
      <c r="I49" s="10"/>
      <c r="J49" s="10"/>
      <c r="K49" s="10"/>
      <c r="L49" s="10"/>
      <c r="M49" s="10"/>
      <c r="N49" s="10"/>
      <c r="O49" s="10"/>
      <c r="P49" s="10"/>
    </row>
    <row r="50" spans="1:16" x14ac:dyDescent="0.35">
      <c r="A50" s="10"/>
      <c r="B50" s="10"/>
      <c r="C50" s="63" t="s">
        <v>62</v>
      </c>
      <c r="D50" s="82">
        <v>0.44</v>
      </c>
      <c r="E50" s="10"/>
      <c r="F50" s="10"/>
      <c r="G50" s="10"/>
      <c r="H50" s="10"/>
      <c r="I50" s="10"/>
      <c r="J50" s="10"/>
      <c r="K50" s="10"/>
      <c r="L50" s="10"/>
      <c r="M50" s="10"/>
      <c r="N50" s="10"/>
      <c r="O50" s="10"/>
      <c r="P50" s="10"/>
    </row>
    <row r="51" spans="1:16" x14ac:dyDescent="0.35">
      <c r="A51" s="10"/>
      <c r="B51" s="10"/>
      <c r="C51" s="63" t="s">
        <v>63</v>
      </c>
      <c r="D51" s="82">
        <v>0.46</v>
      </c>
      <c r="E51" s="10"/>
      <c r="F51" s="10"/>
      <c r="G51" s="10"/>
      <c r="H51" s="10"/>
      <c r="I51" s="10"/>
      <c r="J51" s="10"/>
      <c r="K51" s="10"/>
      <c r="L51" s="10"/>
      <c r="M51" s="10"/>
      <c r="N51" s="10"/>
      <c r="O51" s="10"/>
      <c r="P51" s="10"/>
    </row>
    <row r="52" spans="1:16" x14ac:dyDescent="0.35">
      <c r="A52" s="10"/>
      <c r="B52" s="10"/>
      <c r="C52" s="63" t="s">
        <v>77</v>
      </c>
      <c r="D52" s="82">
        <v>0.48</v>
      </c>
      <c r="E52" s="10"/>
      <c r="F52" s="10"/>
      <c r="G52" s="10"/>
      <c r="H52" s="10"/>
      <c r="I52" s="10"/>
      <c r="J52" s="10"/>
      <c r="K52" s="10"/>
      <c r="L52" s="10"/>
      <c r="M52" s="10"/>
      <c r="N52" s="10"/>
      <c r="O52" s="10"/>
      <c r="P52" s="10"/>
    </row>
    <row r="53" spans="1:16" x14ac:dyDescent="0.35">
      <c r="A53" s="10"/>
      <c r="B53" s="10"/>
      <c r="C53" s="63" t="s">
        <v>64</v>
      </c>
      <c r="D53" s="82">
        <v>0.44</v>
      </c>
      <c r="E53" s="10"/>
      <c r="F53" s="10"/>
      <c r="G53" s="10"/>
      <c r="H53" s="10"/>
      <c r="I53" s="10"/>
      <c r="J53" s="10"/>
      <c r="K53" s="10"/>
      <c r="L53" s="10"/>
      <c r="M53" s="10"/>
      <c r="N53" s="10"/>
      <c r="O53" s="10"/>
      <c r="P53" s="10"/>
    </row>
    <row r="54" spans="1:16" x14ac:dyDescent="0.35">
      <c r="A54" s="10"/>
      <c r="B54" s="10"/>
      <c r="C54" s="63" t="s">
        <v>65</v>
      </c>
      <c r="D54" s="82">
        <v>0.34</v>
      </c>
      <c r="E54" s="10"/>
      <c r="F54" s="10"/>
      <c r="G54" s="10"/>
      <c r="H54" s="10"/>
      <c r="I54" s="10"/>
      <c r="J54" s="10"/>
      <c r="K54" s="10"/>
      <c r="L54" s="10"/>
      <c r="M54" s="10"/>
      <c r="N54" s="10"/>
      <c r="O54" s="10"/>
      <c r="P54" s="10"/>
    </row>
    <row r="55" spans="1:16" x14ac:dyDescent="0.35">
      <c r="A55" s="10"/>
      <c r="B55" s="10"/>
      <c r="C55" s="63" t="s">
        <v>66</v>
      </c>
      <c r="D55" s="82">
        <v>0.5</v>
      </c>
      <c r="E55" s="10"/>
      <c r="F55" s="10"/>
      <c r="G55" s="10"/>
      <c r="H55" s="10"/>
      <c r="I55" s="10"/>
      <c r="J55" s="10"/>
      <c r="K55" s="10"/>
      <c r="L55" s="10"/>
      <c r="M55" s="10"/>
      <c r="N55" s="10"/>
      <c r="O55" s="10"/>
      <c r="P55" s="10"/>
    </row>
    <row r="56" spans="1:16" x14ac:dyDescent="0.35">
      <c r="A56" s="10"/>
      <c r="B56" s="10"/>
      <c r="C56" s="63" t="s">
        <v>87</v>
      </c>
      <c r="D56" s="82">
        <v>0.57999999999999996</v>
      </c>
      <c r="E56" s="10"/>
      <c r="F56" s="10"/>
      <c r="G56" s="10"/>
      <c r="H56" s="10"/>
      <c r="I56" s="10"/>
      <c r="J56" s="10"/>
      <c r="K56" s="10"/>
      <c r="L56" s="10"/>
      <c r="M56" s="10"/>
      <c r="N56" s="10"/>
      <c r="O56" s="10"/>
      <c r="P56" s="10"/>
    </row>
    <row r="57" spans="1:16" x14ac:dyDescent="0.35">
      <c r="A57" s="10"/>
      <c r="B57" s="10"/>
      <c r="C57" s="63" t="s">
        <v>67</v>
      </c>
      <c r="D57" s="82">
        <v>0.37</v>
      </c>
      <c r="E57" s="10"/>
      <c r="F57" s="10"/>
      <c r="G57" s="10"/>
      <c r="H57" s="10"/>
      <c r="I57" s="10"/>
      <c r="J57" s="10"/>
      <c r="K57" s="10"/>
      <c r="L57" s="10"/>
      <c r="M57" s="10"/>
      <c r="N57" s="10"/>
      <c r="O57" s="10"/>
      <c r="P57" s="10"/>
    </row>
    <row r="58" spans="1:16" x14ac:dyDescent="0.35">
      <c r="A58" s="10"/>
      <c r="B58" s="10"/>
      <c r="C58" s="63" t="s">
        <v>68</v>
      </c>
      <c r="D58" s="82">
        <v>0.37</v>
      </c>
      <c r="E58" s="10"/>
      <c r="F58" s="10"/>
      <c r="G58" s="10"/>
      <c r="H58" s="10"/>
      <c r="I58" s="10"/>
      <c r="J58" s="10"/>
      <c r="K58" s="10"/>
      <c r="L58" s="10"/>
      <c r="M58" s="10"/>
      <c r="N58" s="10"/>
      <c r="O58" s="10"/>
      <c r="P58" s="10"/>
    </row>
    <row r="59" spans="1:16" x14ac:dyDescent="0.35">
      <c r="A59" s="10"/>
      <c r="B59" s="10"/>
      <c r="C59" s="63" t="s">
        <v>69</v>
      </c>
      <c r="D59" s="82">
        <v>0.38</v>
      </c>
      <c r="E59" s="10"/>
      <c r="F59" s="10"/>
      <c r="G59" s="10"/>
      <c r="H59" s="10"/>
      <c r="I59" s="10"/>
      <c r="J59" s="10"/>
      <c r="K59" s="10"/>
      <c r="L59" s="10"/>
      <c r="M59" s="10"/>
      <c r="N59" s="10"/>
      <c r="O59" s="10"/>
      <c r="P59" s="10"/>
    </row>
    <row r="60" spans="1:16" x14ac:dyDescent="0.35">
      <c r="A60" s="10"/>
      <c r="B60" s="10"/>
      <c r="C60" s="63" t="s">
        <v>70</v>
      </c>
      <c r="D60" s="82">
        <v>0.36</v>
      </c>
      <c r="E60" s="10"/>
      <c r="F60" s="10"/>
      <c r="G60" s="10"/>
      <c r="H60" s="10"/>
      <c r="I60" s="10"/>
      <c r="J60" s="10"/>
      <c r="K60" s="10"/>
      <c r="L60" s="10"/>
      <c r="M60" s="10"/>
      <c r="N60" s="10"/>
      <c r="O60" s="10"/>
      <c r="P60" s="10"/>
    </row>
    <row r="61" spans="1:16" x14ac:dyDescent="0.35">
      <c r="A61" s="10"/>
      <c r="B61" s="10"/>
      <c r="C61" s="63" t="s">
        <v>71</v>
      </c>
      <c r="D61" s="82">
        <v>0.37</v>
      </c>
      <c r="E61" s="10"/>
      <c r="F61" s="10"/>
      <c r="G61" s="10"/>
      <c r="H61" s="10"/>
      <c r="I61" s="10"/>
      <c r="J61" s="10"/>
      <c r="K61" s="10"/>
      <c r="L61" s="10"/>
      <c r="M61" s="10"/>
      <c r="N61" s="10"/>
      <c r="O61" s="10"/>
      <c r="P61" s="10"/>
    </row>
    <row r="62" spans="1:16" x14ac:dyDescent="0.35">
      <c r="A62" s="10"/>
      <c r="B62" s="10"/>
      <c r="C62" s="63" t="s">
        <v>72</v>
      </c>
      <c r="D62" s="82">
        <v>0.53</v>
      </c>
      <c r="E62" s="10"/>
      <c r="F62" s="10"/>
      <c r="G62" s="10"/>
      <c r="H62" s="10"/>
      <c r="I62" s="10"/>
      <c r="J62" s="10"/>
      <c r="K62" s="10"/>
      <c r="L62" s="10"/>
      <c r="M62" s="10"/>
      <c r="N62" s="10"/>
      <c r="O62" s="10"/>
      <c r="P62" s="10"/>
    </row>
    <row r="63" spans="1:16" x14ac:dyDescent="0.35">
      <c r="A63" s="10"/>
      <c r="B63" s="10"/>
      <c r="C63" s="63" t="s">
        <v>73</v>
      </c>
      <c r="D63" s="82">
        <v>0.43</v>
      </c>
      <c r="E63" s="10"/>
      <c r="F63" s="10"/>
      <c r="G63" s="10"/>
      <c r="H63" s="10"/>
      <c r="I63" s="10"/>
      <c r="J63" s="10"/>
      <c r="K63" s="10"/>
      <c r="L63" s="10"/>
      <c r="M63" s="10"/>
      <c r="N63" s="10"/>
      <c r="O63" s="10"/>
      <c r="P63" s="10"/>
    </row>
    <row r="64" spans="1:16" x14ac:dyDescent="0.35">
      <c r="A64" s="10"/>
      <c r="B64" s="10"/>
      <c r="C64" s="63" t="s">
        <v>74</v>
      </c>
      <c r="D64" s="82">
        <v>0.38</v>
      </c>
      <c r="E64" s="10"/>
      <c r="F64" s="10"/>
      <c r="G64" s="10"/>
      <c r="H64" s="10"/>
      <c r="I64" s="10"/>
      <c r="J64" s="10"/>
      <c r="K64" s="10"/>
      <c r="L64" s="10"/>
      <c r="M64" s="10"/>
      <c r="N64" s="10"/>
      <c r="O64" s="10"/>
      <c r="P64" s="10"/>
    </row>
    <row r="65" spans="1:16" x14ac:dyDescent="0.35">
      <c r="A65" s="10"/>
      <c r="B65" s="10"/>
      <c r="C65" s="63" t="s">
        <v>75</v>
      </c>
      <c r="D65" s="82">
        <v>0.42</v>
      </c>
      <c r="E65" s="10"/>
      <c r="F65" s="10"/>
      <c r="G65" s="10"/>
      <c r="H65" s="10"/>
      <c r="I65" s="10"/>
      <c r="J65" s="10"/>
      <c r="K65" s="10"/>
      <c r="L65" s="10"/>
      <c r="M65" s="10"/>
      <c r="N65" s="10"/>
      <c r="O65" s="10"/>
      <c r="P65" s="10"/>
    </row>
    <row r="66" spans="1:16" ht="15" thickBot="1" x14ac:dyDescent="0.4">
      <c r="A66" s="10"/>
      <c r="B66" s="10"/>
      <c r="C66" s="64" t="s">
        <v>76</v>
      </c>
      <c r="D66" s="83">
        <v>0.56999999999999995</v>
      </c>
      <c r="E66" s="10"/>
      <c r="F66" s="10"/>
      <c r="G66" s="10"/>
      <c r="H66" s="10"/>
      <c r="I66" s="10"/>
      <c r="J66" s="10"/>
      <c r="K66" s="10"/>
      <c r="L66" s="10"/>
      <c r="M66" s="10"/>
      <c r="N66" s="10"/>
      <c r="O66" s="10"/>
      <c r="P66" s="10"/>
    </row>
    <row r="67" spans="1:16" ht="15" thickBot="1" x14ac:dyDescent="0.4">
      <c r="A67" s="10"/>
      <c r="B67" s="10"/>
      <c r="C67" s="110" t="s">
        <v>214</v>
      </c>
      <c r="D67" s="83">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79" t="s">
        <v>145</v>
      </c>
      <c r="B70" s="10"/>
      <c r="C70" s="10"/>
      <c r="D70" s="10"/>
      <c r="E70" s="10"/>
      <c r="F70" s="10"/>
      <c r="G70" s="10"/>
      <c r="H70" s="10"/>
      <c r="I70" s="10"/>
      <c r="J70" s="10"/>
      <c r="K70" s="10"/>
      <c r="L70" s="10"/>
      <c r="M70" s="10"/>
      <c r="N70" s="10"/>
      <c r="O70" s="10"/>
      <c r="P70" s="10"/>
    </row>
    <row r="71" spans="1:16" x14ac:dyDescent="0.35">
      <c r="A71" s="76" t="s">
        <v>146</v>
      </c>
      <c r="B71" s="10"/>
      <c r="C71" s="10"/>
      <c r="D71" s="10"/>
      <c r="E71" s="10"/>
      <c r="F71" s="10"/>
      <c r="G71" s="10"/>
      <c r="H71" s="10"/>
      <c r="I71" s="10"/>
      <c r="J71" s="10"/>
      <c r="K71" s="10"/>
      <c r="L71" s="10"/>
      <c r="M71" s="10"/>
      <c r="N71" s="10"/>
      <c r="O71" s="10"/>
      <c r="P71" s="10"/>
    </row>
    <row r="72" spans="1:16" x14ac:dyDescent="0.35">
      <c r="A72" s="73" t="s">
        <v>147</v>
      </c>
      <c r="B72" s="10"/>
      <c r="C72" s="10"/>
      <c r="D72" s="10"/>
      <c r="E72" s="10"/>
      <c r="F72" s="10"/>
      <c r="G72" s="10"/>
      <c r="H72" s="10"/>
      <c r="I72" s="10"/>
      <c r="J72" s="10"/>
      <c r="K72" s="10"/>
      <c r="L72" s="10"/>
      <c r="M72" s="10"/>
      <c r="N72" s="10"/>
      <c r="O72" s="10"/>
      <c r="P72" s="10"/>
    </row>
    <row r="73" spans="1:16" ht="29.5" thickBot="1" x14ac:dyDescent="0.4">
      <c r="A73" s="74" t="s">
        <v>148</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2021-07-30T09:53:54Z</dcterms:modified>
</cp:coreProperties>
</file>