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6_Marchés carbone\61_National\619_Label bas-carbone\2. Projets\1. Forêt\4. En Instruction\2021OCCBOI004 Labarthe-Bleys (81)\"/>
    </mc:Choice>
  </mc:AlternateContent>
  <bookViews>
    <workbookView xWindow="0" yWindow="0" windowWidth="20430" windowHeight="7260"/>
  </bookViews>
  <sheets>
    <sheet name="REAforêtMBoisement" sheetId="6" r:id="rId1"/>
    <sheet name="REAproduitsMBoisement" sheetId="3" r:id="rId2"/>
    <sheet name="REEsubsMBoisement" sheetId="5" r:id="rId3"/>
    <sheet name="REG&amp;Rabais" sheetId="4" r:id="rId4"/>
    <sheet name="Listes choix" sheetId="2" state="hidden"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6" l="1"/>
  <c r="V29" i="3" l="1"/>
  <c r="V20" i="5"/>
  <c r="W20" i="5"/>
  <c r="X20" i="5"/>
  <c r="Y20" i="5"/>
  <c r="Z20" i="5"/>
  <c r="AA20" i="5"/>
  <c r="AB20" i="5"/>
  <c r="AD20" i="5"/>
  <c r="AE20" i="5"/>
  <c r="AC22" i="5"/>
  <c r="AC20" i="5" s="1"/>
  <c r="U22" i="5"/>
  <c r="U21" i="5"/>
  <c r="AD31" i="3"/>
  <c r="AD29" i="3"/>
  <c r="V31" i="3"/>
  <c r="V30" i="3"/>
  <c r="U20" i="5" l="1"/>
  <c r="AZ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E39" i="6"/>
  <c r="B27" i="6" s="1"/>
  <c r="C28" i="6"/>
  <c r="AG30" i="6"/>
  <c r="AH30" i="6"/>
  <c r="AI30" i="6"/>
  <c r="AJ30" i="6"/>
  <c r="AK30" i="6"/>
  <c r="AL30" i="6"/>
  <c r="AM30" i="6"/>
  <c r="AN30" i="6"/>
  <c r="AO30" i="6"/>
  <c r="AP30" i="6"/>
  <c r="AQ30" i="6"/>
  <c r="AR30" i="6"/>
  <c r="AS30" i="6"/>
  <c r="AT30" i="6"/>
  <c r="AU30" i="6"/>
  <c r="AV30" i="6"/>
  <c r="AW30" i="6"/>
  <c r="AX30" i="6"/>
  <c r="AY30" i="6"/>
  <c r="AZ30" i="6"/>
  <c r="AG31" i="6"/>
  <c r="C33" i="6"/>
  <c r="D33" i="6"/>
  <c r="E33" i="6"/>
  <c r="F33" i="6"/>
  <c r="G33" i="6"/>
  <c r="H33" i="6"/>
  <c r="I33" i="6"/>
  <c r="J33" i="6"/>
  <c r="K33" i="6"/>
  <c r="L33" i="6"/>
  <c r="M33" i="6"/>
  <c r="N33" i="6"/>
  <c r="O33" i="6"/>
  <c r="P33" i="6"/>
  <c r="Q33" i="6"/>
  <c r="R33" i="6"/>
  <c r="S33" i="6"/>
  <c r="T33" i="6"/>
  <c r="U33" i="6"/>
  <c r="V33" i="6"/>
  <c r="B33" i="6"/>
  <c r="V31" i="6"/>
  <c r="B31" i="6"/>
  <c r="V30" i="6"/>
  <c r="C30" i="6"/>
  <c r="D30" i="6"/>
  <c r="E30" i="6"/>
  <c r="F30" i="6"/>
  <c r="G30" i="6"/>
  <c r="H30" i="6"/>
  <c r="I30" i="6"/>
  <c r="J30" i="6"/>
  <c r="K30" i="6"/>
  <c r="L30" i="6"/>
  <c r="M30" i="6"/>
  <c r="N30" i="6"/>
  <c r="O30" i="6"/>
  <c r="P30" i="6"/>
  <c r="Q30" i="6"/>
  <c r="R30" i="6"/>
  <c r="S30" i="6"/>
  <c r="T30" i="6"/>
  <c r="U30" i="6"/>
  <c r="C24" i="6"/>
  <c r="D24" i="6" s="1"/>
  <c r="E24" i="6" s="1"/>
  <c r="F24" i="6" s="1"/>
  <c r="G24" i="6" s="1"/>
  <c r="B49" i="6" l="1"/>
  <c r="B26" i="6"/>
  <c r="B35" i="6" s="1"/>
  <c r="C27" i="6"/>
  <c r="C29" i="6" s="1"/>
  <c r="D28" i="6"/>
  <c r="E28" i="6" s="1"/>
  <c r="F28" i="6" s="1"/>
  <c r="G28" i="6" s="1"/>
  <c r="H28" i="6" s="1"/>
  <c r="I28" i="6" s="1"/>
  <c r="J28" i="6" s="1"/>
  <c r="K28" i="6" s="1"/>
  <c r="L28" i="6" s="1"/>
  <c r="M28" i="6" s="1"/>
  <c r="N28" i="6" s="1"/>
  <c r="O28" i="6" s="1"/>
  <c r="P28" i="6" s="1"/>
  <c r="D27" i="6"/>
  <c r="G27" i="6" l="1"/>
  <c r="E27" i="6"/>
  <c r="H27" i="6"/>
  <c r="H29" i="6" s="1"/>
  <c r="L27" i="6"/>
  <c r="L29" i="6" s="1"/>
  <c r="J27" i="6"/>
  <c r="M27" i="6"/>
  <c r="K27" i="6"/>
  <c r="K29" i="6" s="1"/>
  <c r="F27" i="6"/>
  <c r="F29" i="6" s="1"/>
  <c r="O27" i="6"/>
  <c r="O29" i="6" s="1"/>
  <c r="N27" i="6"/>
  <c r="N29" i="6" s="1"/>
  <c r="I27" i="6"/>
  <c r="I29" i="6" s="1"/>
  <c r="Q28" i="6"/>
  <c r="P27" i="6"/>
  <c r="P29" i="6" s="1"/>
  <c r="G29" i="6"/>
  <c r="J29" i="6"/>
  <c r="E29" i="6"/>
  <c r="M29" i="6"/>
  <c r="D29" i="6"/>
  <c r="R28" i="6" l="1"/>
  <c r="Q27" i="6"/>
  <c r="Q29" i="6" s="1"/>
  <c r="B15" i="5"/>
  <c r="B14" i="5"/>
  <c r="C55" i="3"/>
  <c r="B34" i="3"/>
  <c r="B16" i="3"/>
  <c r="C18" i="3" l="1"/>
  <c r="B20" i="5"/>
  <c r="S28" i="6"/>
  <c r="R27" i="6"/>
  <c r="R29" i="6" s="1"/>
  <c r="E20" i="5"/>
  <c r="B47" i="3"/>
  <c r="T28" i="6" l="1"/>
  <c r="S27" i="6"/>
  <c r="S29" i="6" s="1"/>
  <c r="B24" i="5"/>
  <c r="C20" i="5"/>
  <c r="U28" i="6" l="1"/>
  <c r="T27" i="6"/>
  <c r="T29" i="6" s="1"/>
  <c r="C15" i="4"/>
  <c r="U27" i="6" l="1"/>
  <c r="U29" i="6" s="1"/>
  <c r="V28" i="6"/>
  <c r="F31" i="6"/>
  <c r="F26" i="6" s="1"/>
  <c r="F35" i="6" s="1"/>
  <c r="W28" i="6" l="1"/>
  <c r="V27" i="6"/>
  <c r="V29" i="6" s="1"/>
  <c r="V26" i="6" s="1"/>
  <c r="V35" i="6" s="1"/>
  <c r="B26" i="5"/>
  <c r="X28" i="6" l="1"/>
  <c r="W27" i="6"/>
  <c r="W29" i="6" s="1"/>
  <c r="AF31" i="6"/>
  <c r="C31" i="6"/>
  <c r="C26" i="6" s="1"/>
  <c r="C35" i="6" s="1"/>
  <c r="D31" i="6"/>
  <c r="D26" i="6" s="1"/>
  <c r="D35" i="6" s="1"/>
  <c r="E31" i="6"/>
  <c r="E26" i="6" s="1"/>
  <c r="E35" i="6" s="1"/>
  <c r="G31" i="6"/>
  <c r="G26" i="6" s="1"/>
  <c r="G35" i="6" s="1"/>
  <c r="H31" i="6"/>
  <c r="H26" i="6" s="1"/>
  <c r="H35" i="6" s="1"/>
  <c r="I31" i="6"/>
  <c r="I26" i="6" s="1"/>
  <c r="I35" i="6" s="1"/>
  <c r="J31" i="6"/>
  <c r="J26" i="6" s="1"/>
  <c r="J35" i="6" s="1"/>
  <c r="K31" i="6"/>
  <c r="K26" i="6" s="1"/>
  <c r="K35" i="6" s="1"/>
  <c r="L31" i="6"/>
  <c r="L26" i="6" s="1"/>
  <c r="L35" i="6" s="1"/>
  <c r="M31" i="6"/>
  <c r="M26" i="6" s="1"/>
  <c r="M35" i="6" s="1"/>
  <c r="N31" i="6"/>
  <c r="N26" i="6" s="1"/>
  <c r="N35" i="6" s="1"/>
  <c r="O31" i="6"/>
  <c r="O26" i="6" s="1"/>
  <c r="O35" i="6" s="1"/>
  <c r="P31" i="6"/>
  <c r="P26" i="6" s="1"/>
  <c r="P35" i="6" s="1"/>
  <c r="Q31" i="6"/>
  <c r="Q26" i="6" s="1"/>
  <c r="Q35" i="6" s="1"/>
  <c r="R31" i="6"/>
  <c r="R26" i="6" s="1"/>
  <c r="R35" i="6" s="1"/>
  <c r="S31" i="6"/>
  <c r="S26" i="6" s="1"/>
  <c r="S35" i="6" s="1"/>
  <c r="T31" i="6"/>
  <c r="T26" i="6" s="1"/>
  <c r="T35" i="6" s="1"/>
  <c r="U31" i="6"/>
  <c r="U26" i="6" s="1"/>
  <c r="U35" i="6" s="1"/>
  <c r="W31" i="6"/>
  <c r="X31" i="6"/>
  <c r="Y31" i="6"/>
  <c r="Z31" i="6"/>
  <c r="AA31" i="6"/>
  <c r="AB31" i="6"/>
  <c r="AC31" i="6"/>
  <c r="AD31" i="6"/>
  <c r="AE31" i="6"/>
  <c r="AF30" i="6"/>
  <c r="W30" i="6"/>
  <c r="X30" i="6"/>
  <c r="Y30" i="6"/>
  <c r="Z30" i="6"/>
  <c r="AA30" i="6"/>
  <c r="AB30" i="6"/>
  <c r="AC30" i="6"/>
  <c r="AD30" i="6"/>
  <c r="AE30" i="6"/>
  <c r="Y28" i="6" l="1"/>
  <c r="X27" i="6"/>
  <c r="X29" i="6" s="1"/>
  <c r="W26" i="6"/>
  <c r="X26" i="6" l="1"/>
  <c r="Y27" i="6"/>
  <c r="Z28" i="6"/>
  <c r="W21" i="6"/>
  <c r="W35" i="6"/>
  <c r="AA28" i="6" l="1"/>
  <c r="Z27" i="6"/>
  <c r="Y29" i="6"/>
  <c r="Y26" i="6" s="1"/>
  <c r="X21" i="6"/>
  <c r="X35" i="6"/>
  <c r="Y21" i="6" l="1"/>
  <c r="Y35" i="6"/>
  <c r="AB28" i="6"/>
  <c r="AA27" i="6"/>
  <c r="Z29" i="6"/>
  <c r="Z26" i="6" s="1"/>
  <c r="C56" i="3"/>
  <c r="C36" i="3" l="1"/>
  <c r="Z21" i="6"/>
  <c r="Z35" i="6"/>
  <c r="AA29" i="6"/>
  <c r="AA26" i="6" s="1"/>
  <c r="AC28" i="6"/>
  <c r="AB27" i="6"/>
  <c r="C21" i="3"/>
  <c r="C17" i="4"/>
  <c r="C58" i="3"/>
  <c r="AB29" i="6" l="1"/>
  <c r="AB26" i="6" s="1"/>
  <c r="AD28" i="6"/>
  <c r="AC27" i="6"/>
  <c r="AA21" i="6"/>
  <c r="AA35" i="6"/>
  <c r="C27" i="3"/>
  <c r="C42" i="3"/>
  <c r="AB21" i="6" l="1"/>
  <c r="AB35" i="6"/>
  <c r="AD27" i="6"/>
  <c r="AD29" i="6" s="1"/>
  <c r="AD26" i="6" s="1"/>
  <c r="AE28" i="6"/>
  <c r="AC29" i="6"/>
  <c r="AC26" i="6" s="1"/>
  <c r="C39" i="6"/>
  <c r="B23" i="6" s="1"/>
  <c r="C24" i="5"/>
  <c r="C26" i="5" s="1"/>
  <c r="C57" i="3"/>
  <c r="AC21" i="6" l="1"/>
  <c r="AC35" i="6"/>
  <c r="AF28" i="6"/>
  <c r="AE27" i="6"/>
  <c r="AE29" i="6" s="1"/>
  <c r="AE26" i="6" s="1"/>
  <c r="AD21" i="6"/>
  <c r="AD35" i="6"/>
  <c r="O23" i="6"/>
  <c r="H23" i="6"/>
  <c r="P23" i="6"/>
  <c r="B22" i="6"/>
  <c r="B34" i="6" s="1"/>
  <c r="I23" i="6"/>
  <c r="Q23" i="6"/>
  <c r="V23" i="6"/>
  <c r="J23" i="6"/>
  <c r="R23" i="6"/>
  <c r="K23" i="6"/>
  <c r="S23" i="6"/>
  <c r="T23" i="6"/>
  <c r="U23" i="6"/>
  <c r="L23" i="6"/>
  <c r="M23" i="6"/>
  <c r="N23" i="6"/>
  <c r="G23" i="6"/>
  <c r="F23" i="6"/>
  <c r="D23" i="6"/>
  <c r="E23" i="6"/>
  <c r="C23" i="6"/>
  <c r="D20" i="5"/>
  <c r="C24" i="3"/>
  <c r="C39" i="3"/>
  <c r="J24" i="5"/>
  <c r="R24" i="5"/>
  <c r="Z24" i="5"/>
  <c r="AE24" i="5"/>
  <c r="K24" i="5"/>
  <c r="S24" i="5"/>
  <c r="AA24" i="5"/>
  <c r="Q24" i="5"/>
  <c r="D24" i="5"/>
  <c r="L24" i="5"/>
  <c r="T24" i="5"/>
  <c r="AB24" i="5"/>
  <c r="V24" i="5"/>
  <c r="Y24" i="5"/>
  <c r="E24" i="5"/>
  <c r="M24" i="5"/>
  <c r="U24" i="5"/>
  <c r="AC24" i="5"/>
  <c r="F24" i="5"/>
  <c r="N24" i="5"/>
  <c r="AD24" i="5"/>
  <c r="I24" i="5"/>
  <c r="G24" i="5"/>
  <c r="O24" i="5"/>
  <c r="W24" i="5"/>
  <c r="H24" i="5"/>
  <c r="P24" i="5"/>
  <c r="X24" i="5"/>
  <c r="M20" i="5"/>
  <c r="O20" i="5"/>
  <c r="L20" i="5"/>
  <c r="F20" i="5"/>
  <c r="F26" i="5" s="1"/>
  <c r="N20" i="5"/>
  <c r="G20" i="5"/>
  <c r="H20" i="5"/>
  <c r="P20" i="5"/>
  <c r="R20" i="5"/>
  <c r="T20" i="5"/>
  <c r="I20" i="5"/>
  <c r="Q20" i="5"/>
  <c r="J20" i="5"/>
  <c r="K20" i="5"/>
  <c r="S20" i="5"/>
  <c r="AB26" i="5"/>
  <c r="C18" i="4"/>
  <c r="AE21" i="6" l="1"/>
  <c r="AE35" i="6"/>
  <c r="B21" i="6"/>
  <c r="AG28" i="6"/>
  <c r="AF27" i="6"/>
  <c r="C25" i="6"/>
  <c r="C22" i="6" s="1"/>
  <c r="V25" i="6"/>
  <c r="V22" i="6" s="1"/>
  <c r="Q25" i="6"/>
  <c r="Q22" i="6" s="1"/>
  <c r="L26" i="5"/>
  <c r="AD26" i="5"/>
  <c r="V26" i="5"/>
  <c r="K26" i="5"/>
  <c r="AC26" i="5"/>
  <c r="T26" i="5"/>
  <c r="U26" i="5"/>
  <c r="G26" i="5"/>
  <c r="R26" i="5"/>
  <c r="H26" i="5"/>
  <c r="I26" i="5"/>
  <c r="AA26" i="5"/>
  <c r="E26" i="5"/>
  <c r="S26" i="5"/>
  <c r="Y26" i="5"/>
  <c r="P26" i="5"/>
  <c r="M26" i="5"/>
  <c r="AE26" i="5"/>
  <c r="Z26" i="5"/>
  <c r="N26" i="5"/>
  <c r="D26" i="5"/>
  <c r="J26" i="5"/>
  <c r="X26" i="5"/>
  <c r="Q26" i="5"/>
  <c r="O26" i="5"/>
  <c r="W26" i="5"/>
  <c r="I25" i="6"/>
  <c r="I22" i="6" s="1"/>
  <c r="E25" i="6"/>
  <c r="E22" i="6" s="1"/>
  <c r="M25" i="6"/>
  <c r="M22" i="6" s="1"/>
  <c r="U25" i="6"/>
  <c r="U22" i="6" s="1"/>
  <c r="F25" i="6"/>
  <c r="F22" i="6" s="1"/>
  <c r="J25" i="6"/>
  <c r="J22" i="6" s="1"/>
  <c r="O25" i="6"/>
  <c r="O22" i="6" s="1"/>
  <c r="G25" i="6"/>
  <c r="G22" i="6" s="1"/>
  <c r="T25" i="6"/>
  <c r="T22" i="6" s="1"/>
  <c r="P25" i="6"/>
  <c r="P22" i="6" s="1"/>
  <c r="L25" i="6"/>
  <c r="L22" i="6" s="1"/>
  <c r="H25" i="6"/>
  <c r="H22" i="6" s="1"/>
  <c r="D25" i="6"/>
  <c r="D22" i="6" s="1"/>
  <c r="S25" i="6"/>
  <c r="S22" i="6" s="1"/>
  <c r="N25" i="6"/>
  <c r="N22" i="6" s="1"/>
  <c r="R25" i="6"/>
  <c r="R22" i="6" s="1"/>
  <c r="K25" i="6"/>
  <c r="K22" i="6" s="1"/>
  <c r="E50" i="3"/>
  <c r="C50" i="3"/>
  <c r="AD19" i="3" l="1"/>
  <c r="AD25" i="3"/>
  <c r="V19" i="3"/>
  <c r="W19" i="3"/>
  <c r="AB19" i="3"/>
  <c r="Z19" i="3"/>
  <c r="Y19" i="3"/>
  <c r="AE19" i="3"/>
  <c r="AC19" i="3"/>
  <c r="AF19" i="3"/>
  <c r="AA19" i="3"/>
  <c r="X19" i="3"/>
  <c r="V22" i="3"/>
  <c r="Z25" i="3"/>
  <c r="AA25" i="3"/>
  <c r="V25" i="3"/>
  <c r="Y25" i="3"/>
  <c r="AE25" i="3"/>
  <c r="AF25" i="3"/>
  <c r="W25" i="3"/>
  <c r="AC25" i="3"/>
  <c r="X25" i="3"/>
  <c r="AB25" i="3"/>
  <c r="B6" i="5"/>
  <c r="AF29" i="6"/>
  <c r="AF26" i="6" s="1"/>
  <c r="E43" i="3"/>
  <c r="M43" i="3"/>
  <c r="U43" i="3"/>
  <c r="AC43" i="3"/>
  <c r="F40" i="3"/>
  <c r="N40" i="3"/>
  <c r="V40" i="3"/>
  <c r="AD40" i="3"/>
  <c r="G37" i="3"/>
  <c r="O37" i="3"/>
  <c r="W37" i="3"/>
  <c r="D37" i="3"/>
  <c r="F43" i="3"/>
  <c r="N43" i="3"/>
  <c r="V43" i="3"/>
  <c r="AD43" i="3"/>
  <c r="W40" i="3"/>
  <c r="P37" i="3"/>
  <c r="G43" i="3"/>
  <c r="H40" i="3"/>
  <c r="I37" i="3"/>
  <c r="H43" i="3"/>
  <c r="P43" i="3"/>
  <c r="X43" i="3"/>
  <c r="B43" i="3"/>
  <c r="I40" i="3"/>
  <c r="Q40" i="3"/>
  <c r="Y40" i="3"/>
  <c r="B37" i="3"/>
  <c r="C35" i="3" s="1"/>
  <c r="J37" i="3"/>
  <c r="R37" i="3"/>
  <c r="Z37" i="3"/>
  <c r="AB37" i="3"/>
  <c r="T43" i="3"/>
  <c r="E40" i="3"/>
  <c r="AC40" i="3"/>
  <c r="V37" i="3"/>
  <c r="O40" i="3"/>
  <c r="H37" i="3"/>
  <c r="C37" i="3"/>
  <c r="C43" i="3"/>
  <c r="B40" i="3"/>
  <c r="C38" i="3" s="1"/>
  <c r="I43" i="3"/>
  <c r="Q43" i="3"/>
  <c r="Y43" i="3"/>
  <c r="C40" i="3"/>
  <c r="J40" i="3"/>
  <c r="R40" i="3"/>
  <c r="Z40" i="3"/>
  <c r="AF37" i="3"/>
  <c r="K37" i="3"/>
  <c r="S37" i="3"/>
  <c r="AA37" i="3"/>
  <c r="L43" i="3"/>
  <c r="U40" i="3"/>
  <c r="N37" i="3"/>
  <c r="G40" i="3"/>
  <c r="X37" i="3"/>
  <c r="O43" i="3"/>
  <c r="P40" i="3"/>
  <c r="Q37" i="3"/>
  <c r="AF43" i="3"/>
  <c r="J43" i="3"/>
  <c r="R43" i="3"/>
  <c r="Z43" i="3"/>
  <c r="AF40" i="3"/>
  <c r="K40" i="3"/>
  <c r="S40" i="3"/>
  <c r="AA40" i="3"/>
  <c r="AE37" i="3"/>
  <c r="L37" i="3"/>
  <c r="T37" i="3"/>
  <c r="AB43" i="3"/>
  <c r="M40" i="3"/>
  <c r="F37" i="3"/>
  <c r="AD37" i="3"/>
  <c r="AE40" i="3"/>
  <c r="W43" i="3"/>
  <c r="X40" i="3"/>
  <c r="Y37" i="3"/>
  <c r="AE43" i="3"/>
  <c r="K43" i="3"/>
  <c r="S43" i="3"/>
  <c r="AA43" i="3"/>
  <c r="D40" i="3"/>
  <c r="L40" i="3"/>
  <c r="T40" i="3"/>
  <c r="AB40" i="3"/>
  <c r="E37" i="3"/>
  <c r="M37" i="3"/>
  <c r="U37" i="3"/>
  <c r="AC37" i="3"/>
  <c r="D43" i="3"/>
  <c r="O21" i="6"/>
  <c r="O34" i="6"/>
  <c r="S21" i="6"/>
  <c r="S34" i="6"/>
  <c r="J21" i="6"/>
  <c r="J34" i="6"/>
  <c r="D21" i="6"/>
  <c r="D34" i="6"/>
  <c r="F21" i="6"/>
  <c r="F34" i="6"/>
  <c r="E21" i="6"/>
  <c r="E34" i="6"/>
  <c r="Q21" i="6"/>
  <c r="Q34" i="6"/>
  <c r="H21" i="6"/>
  <c r="H34" i="6"/>
  <c r="M21" i="6"/>
  <c r="M34" i="6"/>
  <c r="P21" i="6"/>
  <c r="P34" i="6"/>
  <c r="T21" i="6"/>
  <c r="T34" i="6"/>
  <c r="I21" i="6"/>
  <c r="I34" i="6"/>
  <c r="V21" i="6"/>
  <c r="V34" i="6"/>
  <c r="U21" i="6"/>
  <c r="U34" i="6"/>
  <c r="L21" i="6"/>
  <c r="L34" i="6"/>
  <c r="AH28" i="6"/>
  <c r="AG27" i="6"/>
  <c r="AG29" i="6" s="1"/>
  <c r="AG26" i="6" s="1"/>
  <c r="K21" i="6"/>
  <c r="K34" i="6"/>
  <c r="R21" i="6"/>
  <c r="R34" i="6"/>
  <c r="G21" i="6"/>
  <c r="G34" i="6"/>
  <c r="C21" i="6"/>
  <c r="C34" i="6"/>
  <c r="N21" i="6"/>
  <c r="N34" i="6"/>
  <c r="C19" i="3"/>
  <c r="C22" i="3"/>
  <c r="C28" i="3"/>
  <c r="C41" i="3"/>
  <c r="D42" i="3" s="1"/>
  <c r="C25" i="3"/>
  <c r="E19" i="3"/>
  <c r="B19" i="3"/>
  <c r="C17" i="3" s="1"/>
  <c r="AD22" i="3"/>
  <c r="L22" i="3"/>
  <c r="Y22" i="3"/>
  <c r="M22" i="3"/>
  <c r="AE22" i="3"/>
  <c r="J22" i="3"/>
  <c r="U22" i="3"/>
  <c r="I22" i="3"/>
  <c r="Z22" i="3"/>
  <c r="X22" i="3"/>
  <c r="O22" i="3"/>
  <c r="S22" i="3"/>
  <c r="F22" i="3"/>
  <c r="T22" i="3"/>
  <c r="AF22" i="3"/>
  <c r="N22" i="3"/>
  <c r="R22" i="3"/>
  <c r="AC22" i="3"/>
  <c r="Q22" i="3"/>
  <c r="G22" i="3"/>
  <c r="H22" i="3"/>
  <c r="D36" i="3"/>
  <c r="D35" i="3" s="1"/>
  <c r="P22" i="3"/>
  <c r="E22" i="3"/>
  <c r="K22" i="3"/>
  <c r="W22" i="3"/>
  <c r="D22" i="3"/>
  <c r="AA22" i="3"/>
  <c r="B22" i="3"/>
  <c r="AB22" i="3"/>
  <c r="F28" i="3"/>
  <c r="P28" i="3"/>
  <c r="X28" i="3"/>
  <c r="AB28" i="3"/>
  <c r="K28" i="3"/>
  <c r="I28" i="3"/>
  <c r="Y28" i="3"/>
  <c r="H28" i="3"/>
  <c r="Z28" i="3"/>
  <c r="B28" i="3"/>
  <c r="N28" i="3"/>
  <c r="D28" i="3"/>
  <c r="AA28" i="3"/>
  <c r="V28" i="3"/>
  <c r="T28" i="3"/>
  <c r="G28" i="3"/>
  <c r="Q28" i="3"/>
  <c r="AD28" i="3"/>
  <c r="J28" i="3"/>
  <c r="O28" i="3"/>
  <c r="U28" i="3"/>
  <c r="M28" i="3"/>
  <c r="W28" i="3"/>
  <c r="S28" i="3"/>
  <c r="E28" i="3"/>
  <c r="AE28" i="3"/>
  <c r="AC28" i="3"/>
  <c r="AF28" i="3"/>
  <c r="L28" i="3"/>
  <c r="R28" i="3"/>
  <c r="J25" i="3"/>
  <c r="S25" i="3"/>
  <c r="I19" i="3"/>
  <c r="R19" i="3"/>
  <c r="K25" i="3"/>
  <c r="R25" i="3"/>
  <c r="F25" i="3"/>
  <c r="H19" i="3"/>
  <c r="Q19" i="3"/>
  <c r="O19" i="3"/>
  <c r="M19" i="3"/>
  <c r="S19" i="3"/>
  <c r="H25" i="3"/>
  <c r="I25" i="3"/>
  <c r="G25" i="3"/>
  <c r="E25" i="3"/>
  <c r="N25" i="3"/>
  <c r="G19" i="3"/>
  <c r="P19" i="3"/>
  <c r="L19" i="3"/>
  <c r="U19" i="3"/>
  <c r="P25" i="3"/>
  <c r="Q25" i="3"/>
  <c r="L25" i="3"/>
  <c r="M25" i="3"/>
  <c r="D19" i="3"/>
  <c r="T19" i="3"/>
  <c r="B25" i="3"/>
  <c r="T25" i="3"/>
  <c r="U25" i="3"/>
  <c r="O25" i="3"/>
  <c r="K19" i="3"/>
  <c r="F19" i="3"/>
  <c r="J19" i="3"/>
  <c r="D25" i="3"/>
  <c r="N19" i="3"/>
  <c r="AF35" i="6" l="1"/>
  <c r="B47" i="6" s="1"/>
  <c r="AF21" i="6"/>
  <c r="B8" i="4"/>
  <c r="B9" i="4" s="1"/>
  <c r="B5" i="5"/>
  <c r="AG21" i="6"/>
  <c r="AG35" i="6"/>
  <c r="AI28" i="6"/>
  <c r="AH27" i="6"/>
  <c r="AH29" i="6" s="1"/>
  <c r="AH26" i="6" s="1"/>
  <c r="D39" i="3"/>
  <c r="D38" i="3" s="1"/>
  <c r="E39" i="3" s="1"/>
  <c r="E38" i="3" s="1"/>
  <c r="F39" i="3" s="1"/>
  <c r="C34" i="3"/>
  <c r="E36" i="3"/>
  <c r="E35" i="3" s="1"/>
  <c r="C26" i="3"/>
  <c r="D27" i="3" s="1"/>
  <c r="D26" i="3" s="1"/>
  <c r="E27" i="3" s="1"/>
  <c r="E26" i="3" s="1"/>
  <c r="F27" i="3" s="1"/>
  <c r="C20" i="3"/>
  <c r="C23" i="3"/>
  <c r="D24" i="3" s="1"/>
  <c r="D23" i="3" s="1"/>
  <c r="E24" i="3" s="1"/>
  <c r="E23" i="3" s="1"/>
  <c r="F24" i="3" s="1"/>
  <c r="F23" i="3" s="1"/>
  <c r="D41" i="3"/>
  <c r="E42" i="3" s="1"/>
  <c r="E41" i="3" s="1"/>
  <c r="F42" i="3" s="1"/>
  <c r="F41" i="3" s="1"/>
  <c r="G42" i="3" s="1"/>
  <c r="D18" i="3"/>
  <c r="D17" i="3" s="1"/>
  <c r="AI27" i="6" l="1"/>
  <c r="AI29" i="6" s="1"/>
  <c r="AI26" i="6" s="1"/>
  <c r="AJ28" i="6"/>
  <c r="AH21" i="6"/>
  <c r="AH35" i="6"/>
  <c r="D34" i="3"/>
  <c r="E34" i="3"/>
  <c r="F36" i="3"/>
  <c r="F35" i="3" s="1"/>
  <c r="C16" i="3"/>
  <c r="C47" i="3" s="1"/>
  <c r="E18" i="3"/>
  <c r="E17" i="3" s="1"/>
  <c r="F18" i="3" s="1"/>
  <c r="F17" i="3" s="1"/>
  <c r="G18" i="3" s="1"/>
  <c r="G17" i="3" s="1"/>
  <c r="D21" i="3"/>
  <c r="G41" i="3"/>
  <c r="H42" i="3" s="1"/>
  <c r="F38" i="3"/>
  <c r="G39" i="3" s="1"/>
  <c r="G38" i="3" s="1"/>
  <c r="H39" i="3" s="1"/>
  <c r="F26" i="3"/>
  <c r="G27" i="3" s="1"/>
  <c r="G24" i="3"/>
  <c r="AJ27" i="6" l="1"/>
  <c r="AJ29" i="6" s="1"/>
  <c r="AJ26" i="6" s="1"/>
  <c r="AK28" i="6"/>
  <c r="AI21" i="6"/>
  <c r="AI35" i="6"/>
  <c r="G36" i="3"/>
  <c r="G35" i="3" s="1"/>
  <c r="F34" i="3"/>
  <c r="D20" i="3"/>
  <c r="H41" i="3"/>
  <c r="I42" i="3" s="1"/>
  <c r="H38" i="3"/>
  <c r="I39" i="3" s="1"/>
  <c r="G26" i="3"/>
  <c r="H27" i="3" s="1"/>
  <c r="G23" i="3"/>
  <c r="H24" i="3" s="1"/>
  <c r="H18" i="3"/>
  <c r="H17" i="3" s="1"/>
  <c r="I18" i="3" s="1"/>
  <c r="I17" i="3" s="1"/>
  <c r="AJ21" i="6" l="1"/>
  <c r="AJ35" i="6"/>
  <c r="AL28" i="6"/>
  <c r="AK27" i="6"/>
  <c r="AK29" i="6" s="1"/>
  <c r="AK26" i="6" s="1"/>
  <c r="H36" i="3"/>
  <c r="H35" i="3" s="1"/>
  <c r="G34" i="3"/>
  <c r="E21" i="3"/>
  <c r="E20" i="3" s="1"/>
  <c r="D16" i="3"/>
  <c r="D47" i="3" s="1"/>
  <c r="I41" i="3"/>
  <c r="J42" i="3" s="1"/>
  <c r="I38" i="3"/>
  <c r="J39" i="3" s="1"/>
  <c r="H26" i="3"/>
  <c r="I27" i="3" s="1"/>
  <c r="H23" i="3"/>
  <c r="I24" i="3" s="1"/>
  <c r="J18" i="3"/>
  <c r="J17" i="3" s="1"/>
  <c r="K18" i="3" s="1"/>
  <c r="K17" i="3" s="1"/>
  <c r="AK21" i="6" l="1"/>
  <c r="AK35" i="6"/>
  <c r="AL27" i="6"/>
  <c r="AL29" i="6" s="1"/>
  <c r="AL26" i="6" s="1"/>
  <c r="AM28" i="6"/>
  <c r="I36" i="3"/>
  <c r="I35" i="3" s="1"/>
  <c r="H34" i="3"/>
  <c r="E16" i="3"/>
  <c r="E47" i="3" s="1"/>
  <c r="F21" i="3"/>
  <c r="F20" i="3" s="1"/>
  <c r="J41" i="3"/>
  <c r="K42" i="3" s="1"/>
  <c r="J38" i="3"/>
  <c r="K39" i="3" s="1"/>
  <c r="I26" i="3"/>
  <c r="J27" i="3" s="1"/>
  <c r="I23" i="3"/>
  <c r="J24" i="3" s="1"/>
  <c r="L18" i="3"/>
  <c r="L17" i="3" s="1"/>
  <c r="AM27" i="6" l="1"/>
  <c r="AM29" i="6" s="1"/>
  <c r="AM26" i="6" s="1"/>
  <c r="AN28" i="6"/>
  <c r="AL21" i="6"/>
  <c r="AL35" i="6"/>
  <c r="J36" i="3"/>
  <c r="J35" i="3" s="1"/>
  <c r="J34" i="3" s="1"/>
  <c r="I34" i="3"/>
  <c r="G21" i="3"/>
  <c r="G20" i="3" s="1"/>
  <c r="F16" i="3"/>
  <c r="F47" i="3" s="1"/>
  <c r="K41" i="3"/>
  <c r="L42" i="3" s="1"/>
  <c r="K38" i="3"/>
  <c r="L39" i="3" s="1"/>
  <c r="J26" i="3"/>
  <c r="K27" i="3" s="1"/>
  <c r="K26" i="3" s="1"/>
  <c r="J23" i="3"/>
  <c r="K24" i="3" s="1"/>
  <c r="M18" i="3"/>
  <c r="M17" i="3" s="1"/>
  <c r="N18" i="3" s="1"/>
  <c r="N17" i="3" s="1"/>
  <c r="O18" i="3" s="1"/>
  <c r="O17" i="3" s="1"/>
  <c r="AN27" i="6" l="1"/>
  <c r="AN29" i="6" s="1"/>
  <c r="AN26" i="6" s="1"/>
  <c r="AO28" i="6"/>
  <c r="AM21" i="6"/>
  <c r="AM35" i="6"/>
  <c r="H21" i="3"/>
  <c r="H20" i="3" s="1"/>
  <c r="G16" i="3"/>
  <c r="G47" i="3" s="1"/>
  <c r="L41" i="3"/>
  <c r="M42" i="3" s="1"/>
  <c r="L38" i="3"/>
  <c r="M39" i="3" s="1"/>
  <c r="K36" i="3"/>
  <c r="L27" i="3"/>
  <c r="K23" i="3"/>
  <c r="L24" i="3" s="1"/>
  <c r="P18" i="3"/>
  <c r="P17" i="3" s="1"/>
  <c r="AP28" i="6" l="1"/>
  <c r="AO27" i="6"/>
  <c r="AO29" i="6" s="1"/>
  <c r="AO26" i="6" s="1"/>
  <c r="AN21" i="6"/>
  <c r="AN35" i="6"/>
  <c r="I21" i="3"/>
  <c r="I20" i="3" s="1"/>
  <c r="H16" i="3"/>
  <c r="H47" i="3" s="1"/>
  <c r="M41" i="3"/>
  <c r="N42" i="3" s="1"/>
  <c r="N41" i="3" s="1"/>
  <c r="M38" i="3"/>
  <c r="N39" i="3" s="1"/>
  <c r="N38" i="3" s="1"/>
  <c r="K35" i="3"/>
  <c r="K34" i="3" s="1"/>
  <c r="L26" i="3"/>
  <c r="M27" i="3" s="1"/>
  <c r="L23" i="3"/>
  <c r="M24" i="3" s="1"/>
  <c r="M23" i="3" s="1"/>
  <c r="Q18" i="3"/>
  <c r="Q17" i="3" s="1"/>
  <c r="R18" i="3" s="1"/>
  <c r="R17" i="3" s="1"/>
  <c r="S18" i="3" s="1"/>
  <c r="S17" i="3" s="1"/>
  <c r="AO21" i="6" l="1"/>
  <c r="AO35" i="6"/>
  <c r="AQ28" i="6"/>
  <c r="AP27" i="6"/>
  <c r="AP29" i="6" s="1"/>
  <c r="AP26" i="6" s="1"/>
  <c r="J21" i="3"/>
  <c r="J20" i="3" s="1"/>
  <c r="I16" i="3"/>
  <c r="I47" i="3" s="1"/>
  <c r="O42" i="3"/>
  <c r="O39" i="3"/>
  <c r="L36" i="3"/>
  <c r="M26" i="3"/>
  <c r="N27" i="3" s="1"/>
  <c r="N24" i="3"/>
  <c r="T18" i="3"/>
  <c r="T17" i="3" s="1"/>
  <c r="AP21" i="6" l="1"/>
  <c r="AP35" i="6"/>
  <c r="AR28" i="6"/>
  <c r="AQ27" i="6"/>
  <c r="AQ29" i="6" s="1"/>
  <c r="AQ26" i="6" s="1"/>
  <c r="J16" i="3"/>
  <c r="J47" i="3" s="1"/>
  <c r="K21" i="3"/>
  <c r="K20" i="3" s="1"/>
  <c r="K16" i="3" s="1"/>
  <c r="K47" i="3" s="1"/>
  <c r="O41" i="3"/>
  <c r="P42" i="3" s="1"/>
  <c r="O38" i="3"/>
  <c r="P39" i="3" s="1"/>
  <c r="L35" i="3"/>
  <c r="L34" i="3" s="1"/>
  <c r="N26" i="3"/>
  <c r="O27" i="3" s="1"/>
  <c r="N23" i="3"/>
  <c r="O24" i="3" s="1"/>
  <c r="U18" i="3"/>
  <c r="U17" i="3" s="1"/>
  <c r="V18" i="3" l="1"/>
  <c r="V17" i="3" s="1"/>
  <c r="W18" i="3" s="1"/>
  <c r="W17" i="3" s="1"/>
  <c r="X18" i="3" s="1"/>
  <c r="X17" i="3" s="1"/>
  <c r="Y18" i="3" s="1"/>
  <c r="Y17" i="3" s="1"/>
  <c r="AQ21" i="6"/>
  <c r="AQ35" i="6"/>
  <c r="AS28" i="6"/>
  <c r="AR27" i="6"/>
  <c r="L21" i="3"/>
  <c r="L20" i="3" s="1"/>
  <c r="P41" i="3"/>
  <c r="Q42" i="3" s="1"/>
  <c r="P38" i="3"/>
  <c r="Q39" i="3" s="1"/>
  <c r="M36" i="3"/>
  <c r="O26" i="3"/>
  <c r="P27" i="3" s="1"/>
  <c r="O23" i="3"/>
  <c r="P24" i="3" s="1"/>
  <c r="AT28" i="6" l="1"/>
  <c r="AS27" i="6"/>
  <c r="AS29" i="6" s="1"/>
  <c r="AS26" i="6" s="1"/>
  <c r="AR29" i="6"/>
  <c r="AR26" i="6" s="1"/>
  <c r="Q41" i="3"/>
  <c r="R42" i="3" s="1"/>
  <c r="Q38" i="3"/>
  <c r="R39" i="3" s="1"/>
  <c r="M35" i="3"/>
  <c r="M34" i="3" s="1"/>
  <c r="P26" i="3"/>
  <c r="Q27" i="3" s="1"/>
  <c r="P23" i="3"/>
  <c r="Q24" i="3" s="1"/>
  <c r="L16" i="3"/>
  <c r="L47" i="3" s="1"/>
  <c r="M21" i="3"/>
  <c r="Z18" i="3"/>
  <c r="Z17" i="3" s="1"/>
  <c r="AR21" i="6" l="1"/>
  <c r="AR35" i="6"/>
  <c r="AS21" i="6"/>
  <c r="AS35" i="6"/>
  <c r="AT27" i="6"/>
  <c r="AT29" i="6" s="1"/>
  <c r="AT26" i="6" s="1"/>
  <c r="AU28" i="6"/>
  <c r="R41" i="3"/>
  <c r="S42" i="3" s="1"/>
  <c r="R38" i="3"/>
  <c r="S39" i="3" s="1"/>
  <c r="N36" i="3"/>
  <c r="Q26" i="3"/>
  <c r="R27" i="3" s="1"/>
  <c r="Q23" i="3"/>
  <c r="R24" i="3" s="1"/>
  <c r="M20" i="3"/>
  <c r="AA18" i="3"/>
  <c r="AA17" i="3" s="1"/>
  <c r="AB18" i="3" s="1"/>
  <c r="AB17" i="3" s="1"/>
  <c r="AT21" i="6" l="1"/>
  <c r="AT35" i="6"/>
  <c r="AV28" i="6"/>
  <c r="AU27" i="6"/>
  <c r="S41" i="3"/>
  <c r="T42" i="3" s="1"/>
  <c r="S38" i="3"/>
  <c r="T39" i="3" s="1"/>
  <c r="N35" i="3"/>
  <c r="N34" i="3" s="1"/>
  <c r="R26" i="3"/>
  <c r="S27" i="3" s="1"/>
  <c r="R23" i="3"/>
  <c r="S24" i="3" s="1"/>
  <c r="M16" i="3"/>
  <c r="M47" i="3" s="1"/>
  <c r="N21" i="3"/>
  <c r="N20" i="3" s="1"/>
  <c r="AC18" i="3"/>
  <c r="AC17" i="3" s="1"/>
  <c r="AD18" i="3" s="1"/>
  <c r="AW28" i="6" l="1"/>
  <c r="AV27" i="6"/>
  <c r="AV29" i="6" s="1"/>
  <c r="AV26" i="6" s="1"/>
  <c r="AU29" i="6"/>
  <c r="AU26" i="6" s="1"/>
  <c r="AD17" i="3"/>
  <c r="AE18" i="3" s="1"/>
  <c r="AE17" i="3" s="1"/>
  <c r="AF18" i="3" s="1"/>
  <c r="AF17" i="3" s="1"/>
  <c r="T41" i="3"/>
  <c r="U42" i="3" s="1"/>
  <c r="T38" i="3"/>
  <c r="U39" i="3" s="1"/>
  <c r="O36" i="3"/>
  <c r="S26" i="3"/>
  <c r="T27" i="3" s="1"/>
  <c r="S23" i="3"/>
  <c r="T24" i="3" s="1"/>
  <c r="N16" i="3"/>
  <c r="O21" i="3"/>
  <c r="AU21" i="6" l="1"/>
  <c r="AU35" i="6"/>
  <c r="AV21" i="6"/>
  <c r="AV35" i="6"/>
  <c r="AX28" i="6"/>
  <c r="AW27" i="6"/>
  <c r="AW29" i="6" s="1"/>
  <c r="AW26" i="6" s="1"/>
  <c r="U41" i="3"/>
  <c r="V42" i="3" s="1"/>
  <c r="U38" i="3"/>
  <c r="V39" i="3" s="1"/>
  <c r="O35" i="3"/>
  <c r="O34" i="3" s="1"/>
  <c r="N47" i="3"/>
  <c r="T26" i="3"/>
  <c r="U27" i="3" s="1"/>
  <c r="T23" i="3"/>
  <c r="U24" i="3" s="1"/>
  <c r="O20" i="3"/>
  <c r="AY28" i="6" l="1"/>
  <c r="AX27" i="6"/>
  <c r="AW21" i="6"/>
  <c r="AW35" i="6"/>
  <c r="V41" i="3"/>
  <c r="W42" i="3" s="1"/>
  <c r="V38" i="3"/>
  <c r="W39" i="3" s="1"/>
  <c r="P36" i="3"/>
  <c r="U26" i="3"/>
  <c r="V27" i="3" s="1"/>
  <c r="U23" i="3"/>
  <c r="V24" i="3" s="1"/>
  <c r="P21" i="3"/>
  <c r="O16" i="3"/>
  <c r="AX29" i="6" l="1"/>
  <c r="AX26" i="6" s="1"/>
  <c r="AY27" i="6"/>
  <c r="AY29" i="6" s="1"/>
  <c r="AY26" i="6" s="1"/>
  <c r="AZ28" i="6"/>
  <c r="AZ27" i="6" s="1"/>
  <c r="W41" i="3"/>
  <c r="X42" i="3" s="1"/>
  <c r="W38" i="3"/>
  <c r="X39" i="3" s="1"/>
  <c r="P35" i="3"/>
  <c r="P34" i="3" s="1"/>
  <c r="V26" i="3"/>
  <c r="W27" i="3" s="1"/>
  <c r="V23" i="3"/>
  <c r="W24" i="3" s="1"/>
  <c r="W23" i="3" s="1"/>
  <c r="X24" i="3" s="1"/>
  <c r="O47" i="3"/>
  <c r="P20" i="3"/>
  <c r="AZ29" i="6" l="1"/>
  <c r="AZ26" i="6" s="1"/>
  <c r="B48" i="6" s="1"/>
  <c r="B50" i="6" s="1"/>
  <c r="B6" i="6" s="1"/>
  <c r="AY21" i="6"/>
  <c r="AY35" i="6"/>
  <c r="AX21" i="6"/>
  <c r="AX35" i="6"/>
  <c r="X41" i="3"/>
  <c r="Y42" i="3" s="1"/>
  <c r="X38" i="3"/>
  <c r="Y39" i="3" s="1"/>
  <c r="Q36" i="3"/>
  <c r="W26" i="3"/>
  <c r="X27" i="3" s="1"/>
  <c r="P16" i="3"/>
  <c r="Q21" i="3"/>
  <c r="B4" i="4" l="1"/>
  <c r="B5" i="6"/>
  <c r="AZ21" i="6"/>
  <c r="AZ35" i="6"/>
  <c r="Y41" i="3"/>
  <c r="Z42" i="3" s="1"/>
  <c r="Y38" i="3"/>
  <c r="Z39" i="3" s="1"/>
  <c r="Q35" i="3"/>
  <c r="Q34" i="3" s="1"/>
  <c r="X26" i="3"/>
  <c r="Y27" i="3" s="1"/>
  <c r="X23" i="3"/>
  <c r="Y24" i="3" s="1"/>
  <c r="Q20" i="3"/>
  <c r="P47" i="3"/>
  <c r="B5" i="4" l="1"/>
  <c r="Z41" i="3"/>
  <c r="AA42" i="3" s="1"/>
  <c r="Z38" i="3"/>
  <c r="AA39" i="3" s="1"/>
  <c r="R36" i="3"/>
  <c r="Y26" i="3"/>
  <c r="Z27" i="3" s="1"/>
  <c r="Y23" i="3"/>
  <c r="Z24" i="3" s="1"/>
  <c r="Q16" i="3"/>
  <c r="R21" i="3"/>
  <c r="AA41" i="3" l="1"/>
  <c r="AB42" i="3" s="1"/>
  <c r="AA38" i="3"/>
  <c r="AB39" i="3" s="1"/>
  <c r="R35" i="3"/>
  <c r="R34" i="3" s="1"/>
  <c r="Z26" i="3"/>
  <c r="AA27" i="3" s="1"/>
  <c r="Z23" i="3"/>
  <c r="AA24" i="3" s="1"/>
  <c r="R20" i="3"/>
  <c r="Q47" i="3"/>
  <c r="AB41" i="3" l="1"/>
  <c r="AC42" i="3" s="1"/>
  <c r="AB38" i="3"/>
  <c r="AC39" i="3" s="1"/>
  <c r="S36" i="3"/>
  <c r="AA26" i="3"/>
  <c r="AB27" i="3" s="1"/>
  <c r="AA23" i="3"/>
  <c r="AB24" i="3" s="1"/>
  <c r="R16" i="3"/>
  <c r="S21" i="3"/>
  <c r="AC41" i="3" l="1"/>
  <c r="AD42" i="3" s="1"/>
  <c r="AC38" i="3"/>
  <c r="AD39" i="3" s="1"/>
  <c r="S35" i="3"/>
  <c r="S34" i="3" s="1"/>
  <c r="AB26" i="3"/>
  <c r="AC27" i="3" s="1"/>
  <c r="AB23" i="3"/>
  <c r="AC24" i="3" s="1"/>
  <c r="S20" i="3"/>
  <c r="R47" i="3"/>
  <c r="AD41" i="3" l="1"/>
  <c r="AE42" i="3" s="1"/>
  <c r="AE41" i="3" s="1"/>
  <c r="AF42" i="3" s="1"/>
  <c r="AF41" i="3" s="1"/>
  <c r="AD38" i="3"/>
  <c r="AE39" i="3" s="1"/>
  <c r="AE38" i="3" s="1"/>
  <c r="AF39" i="3" s="1"/>
  <c r="AF38" i="3" s="1"/>
  <c r="T36" i="3"/>
  <c r="AC26" i="3"/>
  <c r="AD27" i="3" s="1"/>
  <c r="AC23" i="3"/>
  <c r="AD24" i="3" s="1"/>
  <c r="S16" i="3"/>
  <c r="T21" i="3"/>
  <c r="T35" i="3" l="1"/>
  <c r="T34" i="3" s="1"/>
  <c r="AD26" i="3"/>
  <c r="AE27" i="3" s="1"/>
  <c r="AE26" i="3" s="1"/>
  <c r="AF27" i="3" s="1"/>
  <c r="AF26" i="3" s="1"/>
  <c r="AD23" i="3"/>
  <c r="AE24" i="3" s="1"/>
  <c r="AE23" i="3" s="1"/>
  <c r="AF24" i="3" s="1"/>
  <c r="AF23" i="3" s="1"/>
  <c r="T20" i="3"/>
  <c r="S47" i="3"/>
  <c r="U36" i="3" l="1"/>
  <c r="T16" i="3"/>
  <c r="U21" i="3"/>
  <c r="T47" i="3" l="1"/>
  <c r="U35" i="3"/>
  <c r="U34" i="3" s="1"/>
  <c r="U20" i="3"/>
  <c r="V36" i="3" l="1"/>
  <c r="U16" i="3"/>
  <c r="V21" i="3"/>
  <c r="V20" i="3" s="1"/>
  <c r="U47" i="3" l="1"/>
  <c r="V35" i="3"/>
  <c r="V34" i="3" s="1"/>
  <c r="W36" i="3" l="1"/>
  <c r="V16" i="3"/>
  <c r="W21" i="3"/>
  <c r="V47" i="3" l="1"/>
  <c r="W35" i="3"/>
  <c r="W34" i="3" s="1"/>
  <c r="W20" i="3"/>
  <c r="X36" i="3" l="1"/>
  <c r="W16" i="3"/>
  <c r="X21" i="3"/>
  <c r="W47" i="3" l="1"/>
  <c r="X35" i="3"/>
  <c r="X34" i="3" s="1"/>
  <c r="X20" i="3"/>
  <c r="Y36" i="3" l="1"/>
  <c r="X16" i="3"/>
  <c r="Y21" i="3"/>
  <c r="X47" i="3" l="1"/>
  <c r="Y35" i="3"/>
  <c r="Y34" i="3" s="1"/>
  <c r="Y20" i="3"/>
  <c r="Z36" i="3" l="1"/>
  <c r="Y16" i="3"/>
  <c r="Z21" i="3"/>
  <c r="Y47" i="3" l="1"/>
  <c r="Z35" i="3"/>
  <c r="Z34" i="3" s="1"/>
  <c r="Z20" i="3"/>
  <c r="AA36" i="3" l="1"/>
  <c r="Z16" i="3"/>
  <c r="AA21" i="3"/>
  <c r="Z47" i="3" l="1"/>
  <c r="AA35" i="3"/>
  <c r="AA34" i="3" s="1"/>
  <c r="AA20" i="3"/>
  <c r="AB36" i="3" l="1"/>
  <c r="AA16" i="3"/>
  <c r="AB21" i="3"/>
  <c r="AA47" i="3" l="1"/>
  <c r="AB35" i="3"/>
  <c r="AB34" i="3" s="1"/>
  <c r="AB20" i="3"/>
  <c r="AC36" i="3" l="1"/>
  <c r="AB16" i="3"/>
  <c r="AC21" i="3"/>
  <c r="AB47" i="3" l="1"/>
  <c r="AC35" i="3"/>
  <c r="AC34" i="3" s="1"/>
  <c r="AC20" i="3"/>
  <c r="AD36" i="3" l="1"/>
  <c r="AD35" i="3" s="1"/>
  <c r="AD34" i="3" s="1"/>
  <c r="AC16" i="3"/>
  <c r="AD21" i="3"/>
  <c r="AC47" i="3" l="1"/>
  <c r="AD20" i="3"/>
  <c r="AE36" i="3" l="1"/>
  <c r="AE35" i="3" s="1"/>
  <c r="AE34" i="3" s="1"/>
  <c r="AD16" i="3"/>
  <c r="AE21" i="3"/>
  <c r="AE20" i="3" s="1"/>
  <c r="AD47" i="3" l="1"/>
  <c r="AF36" i="3"/>
  <c r="AE16" i="3"/>
  <c r="AF21" i="3"/>
  <c r="AF20" i="3" s="1"/>
  <c r="AF16" i="3" s="1"/>
  <c r="AF35" i="3" l="1"/>
  <c r="AF34" i="3" s="1"/>
  <c r="AF47" i="3" s="1"/>
  <c r="B5" i="3" s="1"/>
  <c r="AE47" i="3"/>
  <c r="B6" i="4" l="1"/>
  <c r="B3" i="4" s="1"/>
  <c r="B10" i="4" s="1"/>
  <c r="B6" i="3"/>
  <c r="B7" i="4" l="1"/>
  <c r="B11" i="4" s="1"/>
</calcChain>
</file>

<file path=xl/comments1.xml><?xml version="1.0" encoding="utf-8"?>
<comments xmlns="http://schemas.openxmlformats.org/spreadsheetml/2006/main">
  <authors>
    <author>Florence HEUSCHMIDT</author>
  </authors>
  <commentList>
    <comment ref="A25" authorId="0" shapeId="0">
      <text>
        <r>
          <rPr>
            <sz val="9"/>
            <color indexed="81"/>
            <rFont val="Tahoma"/>
            <family val="2"/>
          </rPr>
          <t>Pour forêt métropolitaine</t>
        </r>
      </text>
    </comment>
    <comment ref="A29" authorId="0" shapeId="0">
      <text>
        <r>
          <rPr>
            <sz val="9"/>
            <color indexed="81"/>
            <rFont val="Tahoma"/>
            <family val="2"/>
          </rPr>
          <t>Pour forêt métropolitaine</t>
        </r>
      </text>
    </comment>
    <comment ref="A44" authorId="0" shapeId="0">
      <text>
        <r>
          <rPr>
            <b/>
            <sz val="9"/>
            <color indexed="81"/>
            <rFont val="Tahoma"/>
            <family val="2"/>
          </rPr>
          <t>stocks limités à une profondeur de 30 cm</t>
        </r>
      </text>
    </comment>
    <comment ref="A45"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9"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V29" authorId="0" shapeId="0">
      <text>
        <r>
          <rPr>
            <b/>
            <sz val="9"/>
            <color indexed="81"/>
            <rFont val="Tahoma"/>
            <family val="2"/>
          </rPr>
          <t>Florence HEUSCHMIDT:</t>
        </r>
        <r>
          <rPr>
            <sz val="9"/>
            <color indexed="81"/>
            <rFont val="Tahoma"/>
            <family val="2"/>
          </rPr>
          <t xml:space="preserve">
Le peuplier est divisé par 1.56 pour avoir un volume bois fort : 314/1.56=210.3 m3/ha</t>
        </r>
      </text>
    </comment>
    <comment ref="A34"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2" authorId="0" shapeId="0">
      <text>
        <r>
          <rPr>
            <b/>
            <sz val="9"/>
            <color indexed="81"/>
            <rFont val="Tahoma"/>
            <family val="2"/>
          </rPr>
          <t>Flux entrant issu des produits bois récoltés au cours de l’année n (sur la période entre l’année n et l’année n+1) dans le scénario de projet</t>
        </r>
      </text>
    </comment>
    <comment ref="A25"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<sst xmlns="http://schemas.openxmlformats.org/spreadsheetml/2006/main" count="323" uniqueCount="242">
  <si>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</si>
  <si>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</si>
  <si>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</si>
  <si>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</si>
  <si>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</si>
  <si>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</si>
  <si>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</si>
  <si>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</si>
  <si>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</si>
  <si>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</si>
  <si>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</si>
  <si>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</si>
  <si>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</si>
  <si>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</si>
  <si>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</si>
  <si>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</si>
  <si>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</si>
  <si>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</si>
  <si>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</si>
  <si>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</si>
  <si>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</si>
  <si>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</si>
  <si>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</si>
  <si>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</si>
  <si>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</si>
  <si>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</si>
  <si>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</si>
  <si>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</si>
  <si>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</si>
  <si>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</si>
  <si>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</si>
  <si>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</si>
  <si>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</si>
  <si>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</si>
  <si>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</si>
  <si>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</si>
  <si>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</si>
  <si>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</si>
  <si>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</si>
  <si>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</si>
  <si>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</si>
  <si>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</si>
  <si>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</si>
  <si>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</si>
  <si>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</si>
  <si>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</si>
  <si>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</si>
  <si>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</si>
  <si>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</si>
  <si>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</si>
  <si>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</si>
  <si>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</si>
  <si>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</si>
  <si>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</si>
  <si>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</si>
  <si>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</si>
  <si>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</si>
  <si>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</si>
  <si>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</si>
  <si>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</si>
  <si>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</si>
  <si>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</si>
  <si>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</si>
  <si>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</si>
  <si>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</si>
  <si>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</si>
  <si>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</si>
  <si>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</si>
  <si>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</si>
  <si>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</si>
  <si>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</si>
  <si>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</si>
  <si>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</si>
  <si>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</si>
  <si>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</si>
  <si>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</si>
  <si>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</si>
  <si>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</si>
  <si>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</si>
  <si>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</si>
  <si>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</si>
  <si>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</si>
  <si>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</si>
  <si>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</si>
  <si>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</si>
  <si>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</si>
  <si>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</si>
  <si>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</si>
  <si>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</si>
  <si>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</si>
  <si>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</si>
  <si>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</si>
  <si>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</si>
  <si>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</si>
  <si>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</si>
  <si>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</si>
  <si>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</si>
  <si>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</si>
  <si>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</si>
  <si>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</si>
  <si>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</si>
  <si>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</si>
  <si>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</si>
  <si>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</si>
  <si>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</si>
  <si>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</si>
  <si>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</si>
  <si>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</si>
  <si>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</si>
  <si>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</si>
  <si>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</si>
  <si>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</si>
  <si>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</si>
  <si>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</si>
  <si>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</si>
  <si>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</si>
  <si>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</si>
  <si>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</si>
  <si>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</si>
  <si>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</si>
  <si>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</si>
  <si>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</si>
  <si>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</si>
  <si>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</si>
  <si>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</si>
  <si>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</si>
  <si>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</si>
  <si>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</si>
  <si>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</si>
  <si>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</si>
  <si>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</si>
  <si>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</si>
  <si>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</si>
  <si>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</si>
  <si>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</si>
  <si>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</si>
  <si>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</si>
  <si>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</si>
  <si>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</si>
  <si>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</si>
  <si>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</si>
  <si>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</si>
  <si>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</si>
  <si>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</si>
  <si>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</si>
  <si>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</si>
  <si>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</si>
  <si>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</si>
  <si>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</si>
  <si>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</si>
  <si>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</si>
  <si>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</si>
  <si>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</si>
  <si>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</si>
  <si>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</si>
  <si>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</si>
  <si>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</si>
  <si>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</si>
  <si>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</si>
  <si>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</si>
  <si>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</si>
  <si>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</si>
  <si>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</si>
  <si>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</si>
  <si>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</si>
  <si>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</si>
  <si>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</si>
  <si>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</si>
  <si>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</si>
  <si>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</si>
  <si>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</si>
  <si>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</si>
  <si>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</si>
  <si>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</si>
  <si>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</si>
  <si>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</si>
  <si>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</si>
  <si>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</si>
  <si>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</si>
  <si>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</si>
  <si>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</si>
  <si>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REA produits (produits bois) (en tCO2/ha) = </t>
  </si>
  <si>
    <t xml:space="preserve">REE substitution (en tCO2/ha) = </t>
  </si>
  <si>
    <t>Litière (n) (en tC/ha)</t>
  </si>
  <si>
    <t>S réf (n) (en tCO2/ha)</t>
  </si>
  <si>
    <t>Volume total Piquet (n) (en m3/ha)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</si>
  <si>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</si>
  <si>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</si>
  <si>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</si>
  <si>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</si>
  <si>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</si>
  <si>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</si>
  <si>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</si>
  <si>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</si>
  <si>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</si>
  <si>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Piquet (n) (en tC/ha)</t>
  </si>
  <si>
    <t>Dégradation des piquets déjà récoltés (en tC/ha)</t>
  </si>
  <si>
    <t>Flux entrant de carbone en piquets au cours de l'année n et dégradation (en tC/ha)</t>
  </si>
  <si>
    <t>C projet (n) (en tC/ha)</t>
  </si>
  <si>
    <t>C réf (n) (en tC/ha)</t>
  </si>
  <si>
    <t>C projet (n) - C réf (n) (en tC/ha)</t>
  </si>
  <si>
    <t>Carbone organique du sol sur une culture (n) (en tC/ha)</t>
  </si>
  <si>
    <t>Moyenne</t>
  </si>
  <si>
    <t>Volume bois fort Bois de sciage (n) (en m3/ha)</t>
  </si>
  <si>
    <t>Volume  bois fort Panneaux de bois (n) (en m3/ha)</t>
  </si>
  <si>
    <t>Volume  bois fort Papier (n) (en m3/ha)</t>
  </si>
  <si>
    <t>Volume Piquet (n) (en m3/ha)</t>
  </si>
  <si>
    <t>Projet situé dans les GRECO de l'IGN "Méditerranée" et "Corse"</t>
  </si>
  <si>
    <t>GRECO IGN</t>
  </si>
  <si>
    <t>OUI</t>
  </si>
  <si>
    <t>NON</t>
  </si>
  <si>
    <t>Si embroussaillement de la parcelle, enfrichement par des :</t>
  </si>
  <si>
    <t>Peuplier : 20 ans et cèdre 50 ans</t>
  </si>
  <si>
    <t>20 et 50</t>
  </si>
  <si>
    <t>Peuplier : Volume total (n) (en m3/ha)</t>
  </si>
  <si>
    <t>Peuplier 3.85 ha : Biomasse Aérienne (n) (en tMS)</t>
  </si>
  <si>
    <t>Peuplier 3.85 ha : Biomasse Racinaire (n) (en tMS)</t>
  </si>
  <si>
    <t>Le projet comprend une partie en prairie (70% de la surface) et une partie cultivée en tournesol (30 % de la surface)</t>
  </si>
  <si>
    <t>Peuplier : S projet 3.85 ha (n) (en tCO2)</t>
  </si>
  <si>
    <t>Cèdre : S projet 1.65 ha (n) (en tCO2)</t>
  </si>
  <si>
    <t>Cèdre 1.65 ha : Biomasse Aérienne (n) (en tMS)</t>
  </si>
  <si>
    <t>Cèdre 1.65 ha : Biomasse Racinaire (n) (en tMS)</t>
  </si>
  <si>
    <t>Cèdre : Volume bois fort tige (n) (en m3/ha)</t>
  </si>
  <si>
    <t>S projet 5.5 ha (n) (en tCO2)</t>
  </si>
  <si>
    <t>Pauplier 3.85 ha Sprojet (n) - Sréf (n) (en tCO2)</t>
  </si>
  <si>
    <t>Cèdre 1.65 ha Sprojet (n) - Sréf (n) (en tCO2)</t>
  </si>
  <si>
    <t>Cèdre : deltaS(30) (différence de stock de C à l’année 30 entre le projet et le scénario de référence) (en tCO2 à 30 ans)</t>
  </si>
  <si>
    <t xml:space="preserve">Cèdre : moyenne du carbone stocké dans le projet pendant sa durée de vie (en tCO2/an) </t>
  </si>
  <si>
    <t xml:space="preserve">Cèdre : moyenne du carbone stocké dans le scénario de référence pendant sa durée de vie (en tCO2/an) </t>
  </si>
  <si>
    <t xml:space="preserve">Cèdre : différence de la moyenne du carbone stocké dans le projet par rapport au scénario de référence pendant sa durée de vie (en tCO2/an) </t>
  </si>
  <si>
    <t>Peuplier et résineux</t>
  </si>
  <si>
    <t>Peuplier : 1.03 et résineux : 0.43</t>
  </si>
  <si>
    <t>Peuplier 3.85 ha : Flux projet (n) (en m3)</t>
  </si>
  <si>
    <t>Cèdre 1.65 ha Flux projet (n) (en m3)</t>
  </si>
  <si>
    <t>CS*Flux projet (n) (en TCO2)</t>
  </si>
  <si>
    <t>CSp*Flux projet (n) - CSr*Flux réf (n) (en tCO2)</t>
  </si>
  <si>
    <t>Flux réf (n) (en m3)</t>
  </si>
  <si>
    <t>CS*Flux réf (n) (en TCO2)</t>
  </si>
  <si>
    <t>Analyse économique de l’additionnalité</t>
  </si>
  <si>
    <t>Risques généraux difficilement maîtrisables</t>
  </si>
  <si>
    <t>Conifères et feuillus</t>
  </si>
  <si>
    <t>Alliance Forêts Bois/GCF n° 32 - Labarthe-Bleys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</si>
</sst>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11"/>
      <color rgb="FFFF0000"/>
      <name val="Calibri"/>
      <family val="2"/>
      <scheme val="minor"/>
    </font>
  </fonts>
  <fills count="19">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210">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xf numFmtId="0" fontId="1" fillId="0" borderId="1" xfId="0" applyFont="1" applyFill="1" applyBorder="1" applyAlignment="1">
      <alignment vertical="center" wrapText="1"/>
    </xf>
    <xf numFmtId="0" fontId="0" fillId="0" borderId="30" xfId="0" applyFill="1" applyBorder="1" applyAlignment="1">
      <alignment horizontal="center" vertical="center"/>
    </xf>
    <xf numFmtId="0" fontId="0" fillId="7" borderId="27" xfId="0" applyFill="1" applyBorder="1" applyAlignment="1">
      <alignment horizontal="center" vertical="center"/>
    </xf>
    <xf numFmtId="0" fontId="0" fillId="7" borderId="25" xfId="0"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3" borderId="6" xfId="0" applyFill="1" applyBorder="1" applyAlignment="1">
      <alignment vertical="center" wrapText="1"/>
    </xf>
    <xf numFmtId="0" fontId="4" fillId="2" borderId="35" xfId="0" applyFont="1" applyFill="1" applyBorder="1" applyAlignment="1">
      <alignment horizontal="center" vertical="center"/>
    </xf>
    <xf numFmtId="0" fontId="0" fillId="4" borderId="46"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9"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50" xfId="0"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2"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3" xfId="0" applyFill="1" applyBorder="1" applyAlignment="1">
      <alignment horizontal="center" vertical="center" wrapText="1"/>
    </xf>
    <xf numFmtId="0" fontId="4" fillId="2" borderId="25" xfId="0" applyFont="1" applyFill="1" applyBorder="1" applyAlignment="1">
      <alignment horizontal="center" vertical="center"/>
    </xf>
    <xf numFmtId="0" fontId="0" fillId="14"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0" borderId="0" xfId="0" applyBorder="1"/>
    <xf numFmtId="0" fontId="0" fillId="12" borderId="6" xfId="0" applyFill="1" applyBorder="1" applyAlignment="1">
      <alignment vertical="center" wrapText="1"/>
    </xf>
    <xf numFmtId="0" fontId="0" fillId="7" borderId="23" xfId="0" applyFill="1" applyBorder="1" applyAlignment="1">
      <alignment horizontal="center"/>
    </xf>
    <xf numFmtId="1" fontId="0" fillId="15"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6" borderId="6" xfId="0" applyFont="1" applyFill="1" applyBorder="1" applyAlignment="1">
      <alignment horizontal="center" vertical="center" wrapText="1"/>
    </xf>
    <xf numFmtId="0" fontId="4" fillId="16"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0" fontId="0" fillId="0" borderId="29"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0" fontId="1" fillId="10" borderId="56" xfId="0" applyFont="1" applyFill="1" applyBorder="1" applyAlignment="1">
      <alignment horizontal="center" vertical="center" wrapText="1"/>
    </xf>
    <xf numFmtId="0" fontId="0" fillId="4" borderId="42" xfId="0" applyFill="1" applyBorder="1" applyAlignment="1">
      <alignment vertical="center" wrapText="1"/>
    </xf>
    <xf numFmtId="0" fontId="0" fillId="17" borderId="54" xfId="0" applyFill="1" applyBorder="1" applyAlignment="1">
      <alignment horizontal="center" vertical="center" wrapText="1"/>
    </xf>
    <xf numFmtId="0" fontId="0" fillId="4" borderId="57" xfId="0" applyFill="1" applyBorder="1" applyAlignment="1">
      <alignment vertical="center" wrapText="1"/>
    </xf>
    <xf numFmtId="0" fontId="0" fillId="0" borderId="58" xfId="0" applyBorder="1" applyAlignment="1">
      <alignment horizontal="center" vertical="center"/>
    </xf>
    <xf numFmtId="0" fontId="0" fillId="4" borderId="19"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41" xfId="0" applyFill="1" applyBorder="1" applyAlignment="1">
      <alignment horizontal="center" vertical="center" wrapText="1"/>
    </xf>
    <xf numFmtId="0" fontId="9" fillId="0" borderId="0" xfId="0" applyFont="1"/>
    <xf numFmtId="0" fontId="0" fillId="18" borderId="3" xfId="0" applyFill="1" applyBorder="1" applyAlignment="1">
      <alignment horizontal="center" vertical="center"/>
    </xf>
    <xf numFmtId="0" fontId="0" fillId="18" borderId="6" xfId="0" applyFill="1" applyBorder="1" applyAlignment="1">
      <alignment vertical="center" wrapText="1"/>
    </xf>
    <xf numFmtId="0" fontId="0" fillId="0" borderId="0" xfId="0" applyFill="1" applyAlignment="1">
      <alignment horizontal="center" vertical="center"/>
    </xf>
    <xf numFmtId="0" fontId="0" fillId="0" borderId="0" xfId="0" applyAlignment="1">
      <alignment horizontal="center" vertical="center"/>
    </xf>
    <xf numFmtId="165" fontId="6" fillId="9" borderId="25" xfId="0" applyNumberFormat="1" applyFont="1" applyFill="1" applyBorder="1" applyAlignment="1">
      <alignment horizontal="center" vertical="center"/>
    </xf>
    <xf numFmtId="0" fontId="0" fillId="9" borderId="6" xfId="0" applyFill="1" applyBorder="1" applyAlignment="1">
      <alignment horizontal="lef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0" fillId="9" borderId="10" xfId="0" applyFill="1" applyBorder="1" applyAlignment="1">
      <alignment horizontal="center" vertical="center"/>
    </xf>
    <xf numFmtId="0" fontId="4" fillId="9" borderId="13" xfId="0" applyFont="1" applyFill="1" applyBorder="1" applyAlignment="1">
      <alignment vertical="center" wrapText="1"/>
    </xf>
    <xf numFmtId="0" fontId="0" fillId="9" borderId="3" xfId="0" applyFill="1" applyBorder="1" applyAlignment="1">
      <alignment horizontal="center" vertical="center"/>
    </xf>
    <xf numFmtId="0" fontId="0" fillId="18" borderId="6" xfId="0" applyFill="1" applyBorder="1" applyAlignment="1">
      <alignment horizontal="left" vertical="center" wrapText="1"/>
    </xf>
    <xf numFmtId="0" fontId="0" fillId="9" borderId="8" xfId="0" applyFill="1" applyBorder="1" applyAlignment="1">
      <alignment vertical="center" wrapText="1"/>
    </xf>
    <xf numFmtId="0" fontId="0" fillId="0" borderId="30" xfId="0" applyBorder="1"/>
    <xf numFmtId="0" fontId="0" fillId="0" borderId="35" xfId="0" applyFill="1" applyBorder="1" applyAlignment="1">
      <alignment horizontal="center" vertical="center"/>
    </xf>
    <xf numFmtId="0" fontId="4" fillId="6" borderId="4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45" xfId="0" applyFont="1" applyBorder="1" applyAlignment="1">
      <alignment horizontal="center" vertical="center" wrapText="1"/>
    </xf>
    <xf numFmtId="165" fontId="4" fillId="9" borderId="5" xfId="0" applyNumberFormat="1" applyFont="1" applyFill="1" applyBorder="1" applyAlignment="1">
      <alignment horizontal="center" vertical="center" wrapText="1"/>
    </xf>
    <xf numFmtId="165" fontId="4" fillId="9" borderId="7" xfId="0" applyNumberFormat="1" applyFont="1" applyFill="1" applyBorder="1" applyAlignment="1">
      <alignment horizontal="center" vertical="center" wrapText="1"/>
    </xf>
    <xf numFmtId="165" fontId="4" fillId="9" borderId="9" xfId="0" applyNumberFormat="1" applyFont="1" applyFill="1" applyBorder="1" applyAlignment="1">
      <alignment horizontal="center" vertical="center" wrapText="1"/>
    </xf>
    <xf numFmtId="165" fontId="0" fillId="11" borderId="5" xfId="0" applyNumberFormat="1" applyFill="1" applyBorder="1" applyAlignment="1">
      <alignment horizontal="center" vertical="center"/>
    </xf>
    <xf numFmtId="165" fontId="0" fillId="11" borderId="9" xfId="0" applyNumberFormat="1" applyFill="1" applyBorder="1" applyAlignment="1">
      <alignment horizontal="center" vertical="center"/>
    </xf>
    <xf numFmtId="1" fontId="0" fillId="7" borderId="3" xfId="0" applyNumberFormat="1" applyFill="1" applyBorder="1" applyAlignment="1">
      <alignment horizontal="center" vertical="center"/>
    </xf>
    <xf numFmtId="1" fontId="0" fillId="7" borderId="20" xfId="0" applyNumberFormat="1" applyFill="1" applyBorder="1" applyAlignment="1">
      <alignment horizontal="center" vertical="center"/>
    </xf>
    <xf numFmtId="1" fontId="0" fillId="7" borderId="21" xfId="0" applyNumberFormat="1" applyFill="1" applyBorder="1" applyAlignment="1">
      <alignment horizontal="center" vertical="center"/>
    </xf>
    <xf numFmtId="1" fontId="0" fillId="7" borderId="10" xfId="0" applyNumberFormat="1" applyFill="1" applyBorder="1" applyAlignment="1">
      <alignment horizontal="center" vertical="center"/>
    </xf>
    <xf numFmtId="1" fontId="0" fillId="0" borderId="1" xfId="0" applyNumberFormat="1" applyFill="1" applyBorder="1" applyAlignment="1">
      <alignment horizontal="center" vertical="center"/>
    </xf>
    <xf numFmtId="1" fontId="0" fillId="0" borderId="56" xfId="0" applyNumberFormat="1" applyFill="1" applyBorder="1" applyAlignment="1">
      <alignment horizontal="center" vertical="center"/>
    </xf>
    <xf numFmtId="1" fontId="0" fillId="0" borderId="30" xfId="0" applyNumberFormat="1" applyFill="1" applyBorder="1" applyAlignment="1">
      <alignment horizontal="center" vertical="center"/>
    </xf>
    <xf numFmtId="1" fontId="0" fillId="0" borderId="0" xfId="0" applyNumberFormat="1" applyFill="1" applyBorder="1" applyAlignment="1">
      <alignment horizontal="center" vertical="center"/>
    </xf>
    <xf numFmtId="1" fontId="0" fillId="0" borderId="3" xfId="0" applyNumberFormat="1" applyBorder="1" applyAlignment="1">
      <alignment horizontal="center" vertical="center"/>
    </xf>
    <xf numFmtId="1" fontId="0" fillId="0" borderId="10" xfId="0" applyNumberFormat="1" applyBorder="1" applyAlignment="1">
      <alignment horizontal="center" vertical="center"/>
    </xf>
    <xf numFmtId="1" fontId="0" fillId="0" borderId="59" xfId="0" applyNumberFormat="1" applyFill="1" applyBorder="1" applyAlignment="1">
      <alignment horizontal="center" vertical="center"/>
    </xf>
    <xf numFmtId="1" fontId="0" fillId="0" borderId="60" xfId="0" applyNumberFormat="1" applyFill="1" applyBorder="1" applyAlignment="1">
      <alignment horizontal="center" vertical="center"/>
    </xf>
    <xf numFmtId="1" fontId="0" fillId="7" borderId="28" xfId="0" applyNumberFormat="1" applyFill="1" applyBorder="1" applyAlignment="1">
      <alignment horizontal="center" vertical="center"/>
    </xf>
    <xf numFmtId="1" fontId="0" fillId="7" borderId="61" xfId="0" applyNumberFormat="1" applyFill="1" applyBorder="1" applyAlignment="1">
      <alignment horizontal="center" vertical="center"/>
    </xf>
    <xf numFmtId="1" fontId="0" fillId="0" borderId="53" xfId="0" applyNumberFormat="1" applyFill="1" applyBorder="1" applyAlignment="1">
      <alignment horizontal="center" vertical="center"/>
    </xf>
    <xf numFmtId="1" fontId="0" fillId="0" borderId="44" xfId="0" applyNumberFormat="1" applyFill="1" applyBorder="1" applyAlignment="1">
      <alignment horizontal="center" vertical="center"/>
    </xf>
    <xf numFmtId="1" fontId="0" fillId="7" borderId="11" xfId="0" applyNumberFormat="1" applyFill="1" applyBorder="1" applyAlignment="1">
      <alignment horizontal="center" vertical="center"/>
    </xf>
    <xf numFmtId="1" fontId="0" fillId="7" borderId="62" xfId="0" applyNumberFormat="1" applyFill="1" applyBorder="1" applyAlignment="1">
      <alignment horizontal="center" vertical="center"/>
    </xf>
    <xf numFmtId="1" fontId="0" fillId="7" borderId="54" xfId="0" applyNumberFormat="1" applyFill="1" applyBorder="1" applyAlignment="1">
      <alignment horizontal="center" vertical="center"/>
    </xf>
    <xf numFmtId="1" fontId="0" fillId="7" borderId="7" xfId="0" applyNumberFormat="1" applyFill="1" applyBorder="1" applyAlignment="1">
      <alignment horizontal="center" vertical="center"/>
    </xf>
    <xf numFmtId="1" fontId="0" fillId="0" borderId="3" xfId="0" applyNumberFormat="1" applyFill="1" applyBorder="1" applyAlignment="1">
      <alignment horizontal="center" vertical="center"/>
    </xf>
    <xf numFmtId="1" fontId="0" fillId="0" borderId="7" xfId="0" applyNumberFormat="1" applyFill="1" applyBorder="1" applyAlignment="1">
      <alignment horizontal="center" vertical="center"/>
    </xf>
    <xf numFmtId="1" fontId="0" fillId="4" borderId="14" xfId="0" applyNumberFormat="1" applyFont="1" applyFill="1" applyBorder="1" applyAlignment="1">
      <alignment horizontal="left" vertical="center" wrapText="1"/>
    </xf>
    <xf numFmtId="1" fontId="0" fillId="7" borderId="3" xfId="0" applyNumberFormat="1" applyFont="1" applyFill="1" applyBorder="1" applyAlignment="1">
      <alignment horizontal="center" vertical="center" wrapText="1"/>
    </xf>
    <xf numFmtId="1" fontId="0" fillId="4" borderId="6" xfId="0" applyNumberFormat="1" applyFill="1" applyBorder="1" applyAlignment="1">
      <alignment vertical="center" wrapText="1"/>
    </xf>
    <xf numFmtId="1" fontId="0" fillId="0" borderId="3" xfId="0" applyNumberFormat="1" applyFont="1" applyFill="1" applyBorder="1" applyAlignment="1">
      <alignment horizontal="center" vertical="center" wrapText="1"/>
    </xf>
    <xf numFmtId="1" fontId="0" fillId="0" borderId="7" xfId="0" applyNumberFormat="1" applyFont="1" applyFill="1" applyBorder="1" applyAlignment="1">
      <alignment horizontal="center" vertical="center" wrapText="1"/>
    </xf>
    <xf numFmtId="1" fontId="0" fillId="7" borderId="7" xfId="0" applyNumberFormat="1" applyFont="1" applyFill="1" applyBorder="1" applyAlignment="1">
      <alignment horizontal="center" vertical="center" wrapText="1"/>
    </xf>
    <xf numFmtId="1" fontId="0" fillId="10" borderId="6" xfId="0" applyNumberFormat="1" applyFill="1" applyBorder="1" applyAlignment="1">
      <alignment vertical="center" wrapText="1"/>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55"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5" fillId="0" borderId="0" xfId="0" applyFont="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2" xfId="0" applyFill="1" applyBorder="1" applyAlignment="1">
      <alignment horizontal="center" vertical="center" wrapText="1"/>
    </xf>
    <xf numFmtId="0" fontId="0" fillId="4" borderId="31" xfId="0" applyFill="1" applyBorder="1" applyAlignment="1">
      <alignment horizontal="center"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5"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1" fontId="1" fillId="6" borderId="14" xfId="0" applyNumberFormat="1" applyFont="1" applyFill="1" applyBorder="1" applyAlignment="1">
      <alignment horizontal="left" vertical="center" wrapText="1"/>
    </xf>
    <xf numFmtId="1" fontId="1" fillId="6" borderId="15" xfId="0" applyNumberFormat="1" applyFont="1" applyFill="1" applyBorder="1" applyAlignment="1">
      <alignment horizontal="left" vertical="center" wrapText="1"/>
    </xf>
    <xf numFmtId="1" fontId="1" fillId="6" borderId="32" xfId="0" applyNumberFormat="1" applyFont="1" applyFill="1" applyBorder="1" applyAlignment="1">
      <alignment horizontal="left" vertical="center" wrapText="1"/>
    </xf>
    <xf numFmtId="0" fontId="1" fillId="2" borderId="53"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10" borderId="53" xfId="0" applyFont="1" applyFill="1" applyBorder="1" applyAlignment="1">
      <alignment horizontal="center" vertical="center" wrapText="1"/>
    </xf>
    <xf numFmtId="0" fontId="1" fillId="10" borderId="44" xfId="0" applyFont="1" applyFill="1" applyBorder="1" applyAlignment="1">
      <alignment horizontal="center" vertical="center" wrapText="1"/>
    </xf>
    <xf numFmtId="0" fontId="1" fillId="10" borderId="45" xfId="0" applyFont="1" applyFill="1" applyBorder="1" applyAlignment="1">
      <alignment horizontal="center" vertical="center" wrapText="1"/>
    </xf>
  </cellXfs>
  <cellStyles count="1">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0"/>
  <sheetViews>
    <sheetView tabSelected="1" zoomScale="70" zoomScaleNormal="70" workbookViewId="0">
      <selection activeCell="AF31" sqref="AF31"/>
    </sheetView>
  </sheetViews>
  <sheetFormatPr baseColWidth="10" defaultRowHeight="15" x14ac:dyDescent="0.25"/>
  <cols>
    <col min="1" max="1" width="33.5703125" style="1" customWidth="1"/>
    <col min="2" max="2" width="19.85546875" customWidth="1"/>
    <col min="3" max="3" width="11" bestFit="1" customWidth="1"/>
    <col min="4" max="4" width="15.7109375" customWidth="1"/>
    <col min="5" max="21" width="11" bestFit="1" customWidth="1"/>
    <col min="22" max="22" width="11.42578125" bestFit="1" customWidth="1"/>
    <col min="23" max="52" width="11" bestFit="1" customWidth="1"/>
  </cols>
  <sheetData>
    <row r="1" spans="1:4" ht="18.75" x14ac:dyDescent="0.25">
      <c r="A1" s="187" t="s">
        <v>241</v>
      </c>
      <c r="B1" s="187"/>
      <c r="D1" s="111"/>
    </row>
    <row r="4" spans="1:4" ht="15.75" thickBot="1" x14ac:dyDescent="0.3">
      <c r="B4" s="9"/>
    </row>
    <row r="5" spans="1:4" ht="38.25" thickBot="1" x14ac:dyDescent="0.3">
      <c r="A5" s="35" t="s">
        <v>180</v>
      </c>
      <c r="B5" s="127">
        <f>B6/B10</f>
        <v>98.57867633050455</v>
      </c>
    </row>
    <row r="6" spans="1:4" ht="38.25" thickBot="1" x14ac:dyDescent="0.3">
      <c r="A6" s="35" t="s">
        <v>156</v>
      </c>
      <c r="B6" s="127">
        <f>((1/20)*SUM(B34:V34))+$B$50</f>
        <v>542.18271981777502</v>
      </c>
    </row>
    <row r="8" spans="1:4" ht="15.75" thickBot="1" x14ac:dyDescent="0.3"/>
    <row r="9" spans="1:4" ht="15.75" thickBot="1" x14ac:dyDescent="0.3">
      <c r="A9" s="183" t="s">
        <v>12</v>
      </c>
      <c r="B9" s="184"/>
    </row>
    <row r="10" spans="1:4" x14ac:dyDescent="0.25">
      <c r="A10" s="2" t="s">
        <v>7</v>
      </c>
      <c r="B10" s="96">
        <v>5.5</v>
      </c>
    </row>
    <row r="11" spans="1:4" x14ac:dyDescent="0.25">
      <c r="A11" s="3" t="s">
        <v>13</v>
      </c>
      <c r="B11" s="97"/>
      <c r="C11" s="122" t="s">
        <v>212</v>
      </c>
    </row>
    <row r="12" spans="1:4" x14ac:dyDescent="0.25">
      <c r="A12" s="3" t="s">
        <v>17</v>
      </c>
      <c r="B12" s="97"/>
      <c r="C12" s="122" t="s">
        <v>240</v>
      </c>
    </row>
    <row r="13" spans="1:4" x14ac:dyDescent="0.25">
      <c r="A13" s="3" t="s">
        <v>14</v>
      </c>
      <c r="B13" s="97"/>
      <c r="C13" s="122" t="s">
        <v>213</v>
      </c>
    </row>
    <row r="14" spans="1:4" x14ac:dyDescent="0.25">
      <c r="A14" s="3" t="s">
        <v>15</v>
      </c>
      <c r="B14" s="27">
        <v>30</v>
      </c>
    </row>
    <row r="15" spans="1:4" x14ac:dyDescent="0.25">
      <c r="A15" s="116" t="s">
        <v>142</v>
      </c>
      <c r="B15" s="117"/>
      <c r="C15" s="122" t="s">
        <v>217</v>
      </c>
    </row>
    <row r="16" spans="1:4" ht="30.75" thickBot="1" x14ac:dyDescent="0.3">
      <c r="A16" s="114" t="s">
        <v>207</v>
      </c>
      <c r="B16" s="115" t="s">
        <v>210</v>
      </c>
    </row>
    <row r="17" spans="1:177" ht="15.75" thickBot="1" x14ac:dyDescent="0.3"/>
    <row r="18" spans="1:177" s="5" customFormat="1" ht="15.75" x14ac:dyDescent="0.25">
      <c r="A18" s="129" t="s">
        <v>0</v>
      </c>
      <c r="B18" s="130"/>
      <c r="C18" s="130"/>
      <c r="D18" s="130"/>
      <c r="E18" s="130"/>
      <c r="F18" s="130"/>
      <c r="G18" s="130"/>
      <c r="H18" s="130"/>
      <c r="I18" s="130"/>
      <c r="J18" s="130"/>
      <c r="K18" s="130"/>
      <c r="L18" s="130"/>
      <c r="M18" s="130"/>
      <c r="N18" s="130"/>
      <c r="O18" s="130"/>
      <c r="P18" s="130"/>
      <c r="Q18" s="130"/>
      <c r="R18" s="130"/>
      <c r="S18" s="130"/>
      <c r="T18" s="130"/>
      <c r="U18" s="130"/>
      <c r="V18" s="136"/>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57"/>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30" x14ac:dyDescent="0.25">
      <c r="A19" s="3" t="s">
        <v>16</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23">
        <v>20</v>
      </c>
      <c r="W19" s="12">
        <v>21</v>
      </c>
      <c r="X19" s="12">
        <v>22</v>
      </c>
      <c r="Y19" s="12">
        <v>23</v>
      </c>
      <c r="Z19" s="12">
        <v>24</v>
      </c>
      <c r="AA19" s="12">
        <v>25</v>
      </c>
      <c r="AB19" s="12">
        <v>26</v>
      </c>
      <c r="AC19" s="12">
        <v>27</v>
      </c>
      <c r="AD19" s="137">
        <v>28</v>
      </c>
      <c r="AE19" s="12">
        <v>29</v>
      </c>
      <c r="AF19" s="13">
        <v>30</v>
      </c>
      <c r="AG19" s="12">
        <v>31</v>
      </c>
      <c r="AH19" s="13">
        <v>32</v>
      </c>
      <c r="AI19" s="12">
        <v>33</v>
      </c>
      <c r="AJ19" s="13">
        <v>34</v>
      </c>
      <c r="AK19" s="12">
        <v>35</v>
      </c>
      <c r="AL19" s="135">
        <v>36</v>
      </c>
      <c r="AM19" s="12">
        <v>37</v>
      </c>
      <c r="AN19" s="13">
        <v>38</v>
      </c>
      <c r="AO19" s="12">
        <v>39</v>
      </c>
      <c r="AP19" s="13">
        <v>40</v>
      </c>
      <c r="AQ19" s="12">
        <v>41</v>
      </c>
      <c r="AR19" s="13">
        <v>42</v>
      </c>
      <c r="AS19" s="137">
        <v>43</v>
      </c>
      <c r="AT19" s="13">
        <v>44</v>
      </c>
      <c r="AU19" s="12">
        <v>45</v>
      </c>
      <c r="AV19" s="13">
        <v>46</v>
      </c>
      <c r="AW19" s="12">
        <v>47</v>
      </c>
      <c r="AX19" s="13">
        <v>48</v>
      </c>
      <c r="AY19" s="12">
        <v>49</v>
      </c>
      <c r="AZ19" s="135">
        <v>50</v>
      </c>
      <c r="BA19" s="57"/>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25">
      <c r="A20" s="131" t="s">
        <v>3</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57"/>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s="5" customFormat="1" ht="15.75" thickBot="1" x14ac:dyDescent="0.3">
      <c r="A21" s="3" t="s">
        <v>223</v>
      </c>
      <c r="B21" s="150">
        <f>SUM(B22,B26)</f>
        <v>1260.4166666666665</v>
      </c>
      <c r="C21" s="150">
        <f t="shared" ref="C21:U21" si="0">SUM(C22,C26)</f>
        <v>1290.2905347783171</v>
      </c>
      <c r="D21" s="150">
        <f t="shared" si="0"/>
        <v>1319.2268853908854</v>
      </c>
      <c r="E21" s="150">
        <f t="shared" si="0"/>
        <v>1347.8304366289574</v>
      </c>
      <c r="F21" s="150">
        <f t="shared" si="0"/>
        <v>1376.212461795127</v>
      </c>
      <c r="G21" s="150">
        <f t="shared" si="0"/>
        <v>1404.4238043933988</v>
      </c>
      <c r="H21" s="150">
        <f t="shared" si="0"/>
        <v>1441.4944033822865</v>
      </c>
      <c r="I21" s="150">
        <f t="shared" si="0"/>
        <v>1487.265798373789</v>
      </c>
      <c r="J21" s="150">
        <f t="shared" si="0"/>
        <v>1550.4283936371853</v>
      </c>
      <c r="K21" s="150">
        <f t="shared" si="0"/>
        <v>1627.7541500767045</v>
      </c>
      <c r="L21" s="150">
        <f t="shared" si="0"/>
        <v>1701.701501099363</v>
      </c>
      <c r="M21" s="150">
        <f t="shared" si="0"/>
        <v>1760.8746827180846</v>
      </c>
      <c r="N21" s="150">
        <f t="shared" si="0"/>
        <v>1842.8834847572321</v>
      </c>
      <c r="O21" s="150">
        <f t="shared" si="0"/>
        <v>1918.8540784654688</v>
      </c>
      <c r="P21" s="150">
        <f t="shared" si="0"/>
        <v>2017.4505434635366</v>
      </c>
      <c r="Q21" s="150">
        <f t="shared" si="0"/>
        <v>2098.6339796730517</v>
      </c>
      <c r="R21" s="150">
        <f t="shared" si="0"/>
        <v>2173.9338327216255</v>
      </c>
      <c r="S21" s="150">
        <f t="shared" si="0"/>
        <v>2277.4328367142689</v>
      </c>
      <c r="T21" s="150">
        <f t="shared" si="0"/>
        <v>2380.670847832158</v>
      </c>
      <c r="U21" s="150">
        <f t="shared" si="0"/>
        <v>2449.7969312196556</v>
      </c>
      <c r="V21" s="150">
        <f>SUM(V22,V26)</f>
        <v>2394.2238077745792</v>
      </c>
      <c r="W21" s="151">
        <f>W26</f>
        <v>529.62474175952161</v>
      </c>
      <c r="X21" s="151">
        <f t="shared" ref="X21:AZ21" si="1">X26</f>
        <v>545.54417896778455</v>
      </c>
      <c r="Y21" s="151">
        <f t="shared" si="1"/>
        <v>561.400205682202</v>
      </c>
      <c r="Z21" s="151">
        <f t="shared" si="1"/>
        <v>577.20379782684006</v>
      </c>
      <c r="AA21" s="151">
        <f t="shared" si="1"/>
        <v>592.96280432026867</v>
      </c>
      <c r="AB21" s="151">
        <f t="shared" si="1"/>
        <v>608.68310579349622</v>
      </c>
      <c r="AC21" s="151">
        <f t="shared" si="1"/>
        <v>624.36926554743104</v>
      </c>
      <c r="AD21" s="151">
        <f t="shared" si="1"/>
        <v>550.3248940386959</v>
      </c>
      <c r="AE21" s="151">
        <f t="shared" si="1"/>
        <v>563.0237649458785</v>
      </c>
      <c r="AF21" s="151">
        <f t="shared" si="1"/>
        <v>575.68696229663215</v>
      </c>
      <c r="AG21" s="151">
        <f t="shared" si="1"/>
        <v>588.31922201853922</v>
      </c>
      <c r="AH21" s="151">
        <f t="shared" si="1"/>
        <v>596.89087958250775</v>
      </c>
      <c r="AI21" s="151">
        <f t="shared" si="1"/>
        <v>607.45485712708819</v>
      </c>
      <c r="AJ21" s="151">
        <f t="shared" si="1"/>
        <v>617.99686783539357</v>
      </c>
      <c r="AK21" s="151">
        <f t="shared" si="1"/>
        <v>628.5188856495829</v>
      </c>
      <c r="AL21" s="151">
        <f t="shared" si="1"/>
        <v>526.79792957733855</v>
      </c>
      <c r="AM21" s="151">
        <f t="shared" si="1"/>
        <v>539.14115328834441</v>
      </c>
      <c r="AN21" s="151">
        <f t="shared" si="1"/>
        <v>551.41143292404047</v>
      </c>
      <c r="AO21" s="151">
        <f t="shared" si="1"/>
        <v>563.62400758393335</v>
      </c>
      <c r="AP21" s="151">
        <f t="shared" si="1"/>
        <v>575.78901247325621</v>
      </c>
      <c r="AQ21" s="151">
        <f t="shared" si="1"/>
        <v>587.91365841259994</v>
      </c>
      <c r="AR21" s="151">
        <f t="shared" si="1"/>
        <v>600.00332771402452</v>
      </c>
      <c r="AS21" s="151">
        <f t="shared" si="1"/>
        <v>505.77249483813489</v>
      </c>
      <c r="AT21" s="151">
        <f t="shared" si="1"/>
        <v>520.80074875186119</v>
      </c>
      <c r="AU21" s="151">
        <f t="shared" si="1"/>
        <v>535.65733822428399</v>
      </c>
      <c r="AV21" s="151">
        <f t="shared" si="1"/>
        <v>550.39985608076086</v>
      </c>
      <c r="AW21" s="151">
        <f t="shared" si="1"/>
        <v>565.05749311506122</v>
      </c>
      <c r="AX21" s="151">
        <f t="shared" si="1"/>
        <v>579.64785680254454</v>
      </c>
      <c r="AY21" s="151">
        <f t="shared" si="1"/>
        <v>594.18269294136246</v>
      </c>
      <c r="AZ21" s="152">
        <f t="shared" si="1"/>
        <v>608.6703756864099</v>
      </c>
      <c r="BA21" s="57"/>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30" x14ac:dyDescent="0.25">
      <c r="A22" s="124" t="s">
        <v>218</v>
      </c>
      <c r="B22" s="150">
        <f t="shared" ref="B22:V22" si="2">(((B23+B25)*$B$37)+((B30+B31)*3.85))*(44/12)</f>
        <v>882.29166666666663</v>
      </c>
      <c r="C22" s="150">
        <f t="shared" si="2"/>
        <v>898.63234269476015</v>
      </c>
      <c r="D22" s="150">
        <f t="shared" si="2"/>
        <v>914.51363330966421</v>
      </c>
      <c r="E22" s="150">
        <f t="shared" si="2"/>
        <v>930.22554569790452</v>
      </c>
      <c r="F22" s="150">
        <f t="shared" si="2"/>
        <v>945.82158285037951</v>
      </c>
      <c r="G22" s="150">
        <f t="shared" si="2"/>
        <v>961.32628163335096</v>
      </c>
      <c r="H22" s="150">
        <f t="shared" si="2"/>
        <v>985.75448031077224</v>
      </c>
      <c r="I22" s="150">
        <f t="shared" si="2"/>
        <v>1018.9379076890567</v>
      </c>
      <c r="J22" s="150">
        <f t="shared" si="2"/>
        <v>1069.560071228907</v>
      </c>
      <c r="K22" s="150">
        <f t="shared" si="2"/>
        <v>1134.3878088440133</v>
      </c>
      <c r="L22" s="150">
        <f t="shared" si="2"/>
        <v>1195.8755897043875</v>
      </c>
      <c r="M22" s="150">
        <f t="shared" si="2"/>
        <v>1242.6244836078367</v>
      </c>
      <c r="N22" s="150">
        <f t="shared" si="2"/>
        <v>1312.2416868388177</v>
      </c>
      <c r="O22" s="150">
        <f t="shared" si="2"/>
        <v>1375.8512018708641</v>
      </c>
      <c r="P22" s="150">
        <f t="shared" si="2"/>
        <v>1462.1152632793269</v>
      </c>
      <c r="Q22" s="150">
        <f t="shared" si="2"/>
        <v>1530.9933783463662</v>
      </c>
      <c r="R22" s="150">
        <f t="shared" si="2"/>
        <v>1594.0136007058447</v>
      </c>
      <c r="S22" s="150">
        <f t="shared" si="2"/>
        <v>1685.2574346568961</v>
      </c>
      <c r="T22" s="150">
        <f t="shared" si="2"/>
        <v>1776.2636396018511</v>
      </c>
      <c r="U22" s="150">
        <f t="shared" si="2"/>
        <v>1833.1802944263914</v>
      </c>
      <c r="V22" s="153">
        <f t="shared" si="2"/>
        <v>1912.5735177163237</v>
      </c>
      <c r="W22" s="154"/>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30" x14ac:dyDescent="0.25">
      <c r="A23" s="124" t="s">
        <v>215</v>
      </c>
      <c r="B23" s="150">
        <f>B24*$C$39*3.85</f>
        <v>0</v>
      </c>
      <c r="C23" s="150">
        <f t="shared" ref="C23:V23" si="3">C24*$C$39*3.85</f>
        <v>4.0424999999999995</v>
      </c>
      <c r="D23" s="150">
        <f t="shared" si="3"/>
        <v>8.0849999999999991</v>
      </c>
      <c r="E23" s="150">
        <f t="shared" si="3"/>
        <v>12.1275</v>
      </c>
      <c r="F23" s="150">
        <f t="shared" si="3"/>
        <v>16.169999999999998</v>
      </c>
      <c r="G23" s="150">
        <f t="shared" si="3"/>
        <v>20.212500000000002</v>
      </c>
      <c r="H23" s="150">
        <f t="shared" si="3"/>
        <v>28.297499999999999</v>
      </c>
      <c r="I23" s="150">
        <f t="shared" si="3"/>
        <v>40.425000000000004</v>
      </c>
      <c r="J23" s="150">
        <f t="shared" si="3"/>
        <v>60.637499999999996</v>
      </c>
      <c r="K23" s="150">
        <f t="shared" si="3"/>
        <v>87.587500000000006</v>
      </c>
      <c r="L23" s="150">
        <f t="shared" si="3"/>
        <v>113.19</v>
      </c>
      <c r="M23" s="150">
        <f t="shared" si="3"/>
        <v>132.05499999999998</v>
      </c>
      <c r="N23" s="150">
        <f t="shared" si="3"/>
        <v>161.70000000000002</v>
      </c>
      <c r="O23" s="150">
        <f t="shared" si="3"/>
        <v>188.65</v>
      </c>
      <c r="P23" s="150">
        <f t="shared" si="3"/>
        <v>226.38</v>
      </c>
      <c r="Q23" s="150">
        <f t="shared" si="3"/>
        <v>256.02500000000003</v>
      </c>
      <c r="R23" s="150">
        <f t="shared" si="3"/>
        <v>282.97500000000002</v>
      </c>
      <c r="S23" s="150">
        <f t="shared" si="3"/>
        <v>323.40000000000003</v>
      </c>
      <c r="T23" s="150">
        <f t="shared" si="3"/>
        <v>363.82499999999999</v>
      </c>
      <c r="U23" s="150">
        <f t="shared" si="3"/>
        <v>388.08</v>
      </c>
      <c r="V23" s="153">
        <f t="shared" si="3"/>
        <v>423.11499999999995</v>
      </c>
      <c r="W23" s="156"/>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s="126" customFormat="1" ht="30" x14ac:dyDescent="0.25">
      <c r="A24" s="138" t="s">
        <v>214</v>
      </c>
      <c r="B24" s="158">
        <v>0</v>
      </c>
      <c r="C24" s="158">
        <f>B24+(15/5)</f>
        <v>3</v>
      </c>
      <c r="D24" s="158">
        <f t="shared" ref="D24:G24" si="4">C24+(15/5)</f>
        <v>6</v>
      </c>
      <c r="E24" s="158">
        <f t="shared" si="4"/>
        <v>9</v>
      </c>
      <c r="F24" s="158">
        <f t="shared" si="4"/>
        <v>12</v>
      </c>
      <c r="G24" s="158">
        <f t="shared" si="4"/>
        <v>15</v>
      </c>
      <c r="H24" s="158">
        <v>21</v>
      </c>
      <c r="I24" s="158">
        <v>30</v>
      </c>
      <c r="J24" s="158">
        <v>45</v>
      </c>
      <c r="K24" s="158">
        <v>65</v>
      </c>
      <c r="L24" s="158">
        <v>84</v>
      </c>
      <c r="M24" s="158">
        <v>98</v>
      </c>
      <c r="N24" s="158">
        <v>120</v>
      </c>
      <c r="O24" s="158">
        <v>140</v>
      </c>
      <c r="P24" s="158">
        <v>168</v>
      </c>
      <c r="Q24" s="158">
        <v>190</v>
      </c>
      <c r="R24" s="158">
        <v>210</v>
      </c>
      <c r="S24" s="158">
        <v>240</v>
      </c>
      <c r="T24" s="158">
        <v>270</v>
      </c>
      <c r="U24" s="158">
        <v>288</v>
      </c>
      <c r="V24" s="159">
        <v>314</v>
      </c>
      <c r="W24" s="156"/>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c r="FE24" s="125"/>
      <c r="FF24" s="125"/>
      <c r="FG24" s="125"/>
      <c r="FH24" s="125"/>
      <c r="FI24" s="125"/>
      <c r="FJ24" s="125"/>
      <c r="FK24" s="125"/>
      <c r="FL24" s="125"/>
      <c r="FM24" s="125"/>
      <c r="FN24" s="125"/>
      <c r="FO24" s="125"/>
      <c r="FP24" s="125"/>
      <c r="FQ24" s="125"/>
      <c r="FR24" s="125"/>
      <c r="FS24" s="125"/>
      <c r="FT24" s="125"/>
      <c r="FU24" s="125"/>
    </row>
    <row r="25" spans="1:177" ht="30.75" thickBot="1" x14ac:dyDescent="0.3">
      <c r="A25" s="124" t="s">
        <v>216</v>
      </c>
      <c r="B25" s="150">
        <v>0</v>
      </c>
      <c r="C25" s="150">
        <f t="shared" ref="C25:V25" si="5">EXP(-1.0587+0.8836*LN(C23)+0.284)</f>
        <v>1.5833904824368743</v>
      </c>
      <c r="D25" s="150">
        <f t="shared" si="5"/>
        <v>2.9213132888936317</v>
      </c>
      <c r="E25" s="150">
        <f t="shared" si="5"/>
        <v>4.1799623577153486</v>
      </c>
      <c r="F25" s="150">
        <f t="shared" si="5"/>
        <v>5.3897452501624228</v>
      </c>
      <c r="G25" s="150">
        <f t="shared" si="5"/>
        <v>6.5644436698238353</v>
      </c>
      <c r="H25" s="150">
        <f t="shared" si="5"/>
        <v>8.8372401758429362</v>
      </c>
      <c r="I25" s="150">
        <f t="shared" si="5"/>
        <v>12.111223819746918</v>
      </c>
      <c r="J25" s="150">
        <f t="shared" si="5"/>
        <v>17.329349736255182</v>
      </c>
      <c r="K25" s="150">
        <f t="shared" si="5"/>
        <v>23.982471187451328</v>
      </c>
      <c r="L25" s="150">
        <f t="shared" si="5"/>
        <v>30.081318405419225</v>
      </c>
      <c r="M25" s="150">
        <f t="shared" si="5"/>
        <v>34.470775178870198</v>
      </c>
      <c r="N25" s="150">
        <f t="shared" si="5"/>
        <v>41.22571897468594</v>
      </c>
      <c r="O25" s="150">
        <f t="shared" si="5"/>
        <v>47.241363267763866</v>
      </c>
      <c r="P25" s="150">
        <f t="shared" si="5"/>
        <v>55.499231667697742</v>
      </c>
      <c r="Q25" s="150">
        <f t="shared" si="5"/>
        <v>61.87431033907481</v>
      </c>
      <c r="R25" s="150">
        <f t="shared" si="5"/>
        <v>67.595324656601591</v>
      </c>
      <c r="S25" s="150">
        <f t="shared" si="5"/>
        <v>76.060354044565656</v>
      </c>
      <c r="T25" s="150">
        <f t="shared" si="5"/>
        <v>84.402772247897119</v>
      </c>
      <c r="U25" s="150">
        <f t="shared" si="5"/>
        <v>89.355829676637441</v>
      </c>
      <c r="V25" s="153">
        <f t="shared" si="5"/>
        <v>96.447444844506208</v>
      </c>
      <c r="W25" s="160"/>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row>
    <row r="26" spans="1:177" x14ac:dyDescent="0.25">
      <c r="A26" s="67" t="s">
        <v>219</v>
      </c>
      <c r="B26" s="150">
        <f>(((B27+B29)*$B$37)+((B30+B31)*1.65))*(44/12)</f>
        <v>378.125</v>
      </c>
      <c r="C26" s="150">
        <f t="shared" ref="C26:AZ26" si="6">(((C27+C29)*$B$37)+((C30+C31)*1.65))*(44/12)</f>
        <v>391.65819208355708</v>
      </c>
      <c r="D26" s="150">
        <f t="shared" si="6"/>
        <v>404.71325208122107</v>
      </c>
      <c r="E26" s="150">
        <f t="shared" si="6"/>
        <v>417.60489093105286</v>
      </c>
      <c r="F26" s="150">
        <f t="shared" si="6"/>
        <v>430.3908789447475</v>
      </c>
      <c r="G26" s="150">
        <f t="shared" si="6"/>
        <v>443.09752276004787</v>
      </c>
      <c r="H26" s="150">
        <f t="shared" si="6"/>
        <v>455.73992307151428</v>
      </c>
      <c r="I26" s="150">
        <f t="shared" si="6"/>
        <v>468.32789068473238</v>
      </c>
      <c r="J26" s="150">
        <f t="shared" si="6"/>
        <v>480.8683224082784</v>
      </c>
      <c r="K26" s="150">
        <f t="shared" si="6"/>
        <v>493.36634123269118</v>
      </c>
      <c r="L26" s="150">
        <f t="shared" si="6"/>
        <v>505.82591139497544</v>
      </c>
      <c r="M26" s="150">
        <f t="shared" si="6"/>
        <v>518.25019911024788</v>
      </c>
      <c r="N26" s="150">
        <f t="shared" si="6"/>
        <v>530.64179791841423</v>
      </c>
      <c r="O26" s="150">
        <f t="shared" si="6"/>
        <v>543.00287659460457</v>
      </c>
      <c r="P26" s="150">
        <f t="shared" si="6"/>
        <v>555.33528018420964</v>
      </c>
      <c r="Q26" s="150">
        <f t="shared" si="6"/>
        <v>567.64060132668567</v>
      </c>
      <c r="R26" s="150">
        <f t="shared" si="6"/>
        <v>579.92023201578104</v>
      </c>
      <c r="S26" s="150">
        <f t="shared" si="6"/>
        <v>592.17540205737293</v>
      </c>
      <c r="T26" s="150">
        <f t="shared" si="6"/>
        <v>604.40720823030688</v>
      </c>
      <c r="U26" s="150">
        <f t="shared" si="6"/>
        <v>616.61663679326432</v>
      </c>
      <c r="V26" s="150">
        <f t="shared" si="6"/>
        <v>481.65029005825534</v>
      </c>
      <c r="W26" s="162">
        <f t="shared" si="6"/>
        <v>529.62474175952161</v>
      </c>
      <c r="X26" s="162">
        <f t="shared" si="6"/>
        <v>545.54417896778455</v>
      </c>
      <c r="Y26" s="162">
        <f t="shared" si="6"/>
        <v>561.400205682202</v>
      </c>
      <c r="Z26" s="162">
        <f t="shared" si="6"/>
        <v>577.20379782684006</v>
      </c>
      <c r="AA26" s="162">
        <f t="shared" si="6"/>
        <v>592.96280432026867</v>
      </c>
      <c r="AB26" s="162">
        <f t="shared" si="6"/>
        <v>608.68310579349622</v>
      </c>
      <c r="AC26" s="162">
        <f t="shared" si="6"/>
        <v>624.36926554743104</v>
      </c>
      <c r="AD26" s="162">
        <f t="shared" si="6"/>
        <v>550.3248940386959</v>
      </c>
      <c r="AE26" s="162">
        <f t="shared" si="6"/>
        <v>563.0237649458785</v>
      </c>
      <c r="AF26" s="162">
        <f>(((AF27+AF29)*$B$37)+((AF30+AF31)*1.65))*(44/12)</f>
        <v>575.68696229663215</v>
      </c>
      <c r="AG26" s="162">
        <f t="shared" si="6"/>
        <v>588.31922201853922</v>
      </c>
      <c r="AH26" s="162">
        <f t="shared" si="6"/>
        <v>596.89087958250775</v>
      </c>
      <c r="AI26" s="162">
        <f t="shared" si="6"/>
        <v>607.45485712708819</v>
      </c>
      <c r="AJ26" s="162">
        <f t="shared" si="6"/>
        <v>617.99686783539357</v>
      </c>
      <c r="AK26" s="162">
        <f t="shared" si="6"/>
        <v>628.5188856495829</v>
      </c>
      <c r="AL26" s="162">
        <f t="shared" si="6"/>
        <v>526.79792957733855</v>
      </c>
      <c r="AM26" s="162">
        <f t="shared" si="6"/>
        <v>539.14115328834441</v>
      </c>
      <c r="AN26" s="162">
        <f t="shared" si="6"/>
        <v>551.41143292404047</v>
      </c>
      <c r="AO26" s="162">
        <f t="shared" si="6"/>
        <v>563.62400758393335</v>
      </c>
      <c r="AP26" s="162">
        <f t="shared" si="6"/>
        <v>575.78901247325621</v>
      </c>
      <c r="AQ26" s="162">
        <f t="shared" si="6"/>
        <v>587.91365841259994</v>
      </c>
      <c r="AR26" s="162">
        <f t="shared" si="6"/>
        <v>600.00332771402452</v>
      </c>
      <c r="AS26" s="162">
        <f t="shared" si="6"/>
        <v>505.77249483813489</v>
      </c>
      <c r="AT26" s="162">
        <f t="shared" si="6"/>
        <v>520.80074875186119</v>
      </c>
      <c r="AU26" s="162">
        <f t="shared" si="6"/>
        <v>535.65733822428399</v>
      </c>
      <c r="AV26" s="162">
        <f t="shared" si="6"/>
        <v>550.39985608076086</v>
      </c>
      <c r="AW26" s="162">
        <f t="shared" si="6"/>
        <v>565.05749311506122</v>
      </c>
      <c r="AX26" s="162">
        <f t="shared" si="6"/>
        <v>579.64785680254454</v>
      </c>
      <c r="AY26" s="162">
        <f t="shared" si="6"/>
        <v>594.18269294136246</v>
      </c>
      <c r="AZ26" s="163">
        <f t="shared" si="6"/>
        <v>608.6703756864099</v>
      </c>
      <c r="BA26" s="140"/>
      <c r="BB26" s="100"/>
    </row>
    <row r="27" spans="1:177" ht="30" x14ac:dyDescent="0.25">
      <c r="A27" s="67" t="s">
        <v>220</v>
      </c>
      <c r="B27" s="150">
        <f>B28*1.3*$E$39*1.65</f>
        <v>0</v>
      </c>
      <c r="C27" s="150">
        <f t="shared" ref="C27:AG27" si="7">C28*1.3*$E$39*1.65</f>
        <v>4.44015</v>
      </c>
      <c r="D27" s="150">
        <f t="shared" si="7"/>
        <v>8.8803000000000001</v>
      </c>
      <c r="E27" s="150">
        <f t="shared" si="7"/>
        <v>13.320449999999999</v>
      </c>
      <c r="F27" s="150">
        <f t="shared" si="7"/>
        <v>17.7606</v>
      </c>
      <c r="G27" s="150">
        <f t="shared" si="7"/>
        <v>22.200749999999999</v>
      </c>
      <c r="H27" s="150">
        <f t="shared" si="7"/>
        <v>26.640899999999998</v>
      </c>
      <c r="I27" s="150">
        <f t="shared" si="7"/>
        <v>31.081049999999998</v>
      </c>
      <c r="J27" s="150">
        <f t="shared" si="7"/>
        <v>35.5212</v>
      </c>
      <c r="K27" s="150">
        <f t="shared" si="7"/>
        <v>39.961350000000003</v>
      </c>
      <c r="L27" s="150">
        <f t="shared" si="7"/>
        <v>44.401499999999999</v>
      </c>
      <c r="M27" s="150">
        <f t="shared" si="7"/>
        <v>48.841650000000001</v>
      </c>
      <c r="N27" s="150">
        <f t="shared" si="7"/>
        <v>53.281799999999997</v>
      </c>
      <c r="O27" s="150">
        <f t="shared" si="7"/>
        <v>57.721949999999993</v>
      </c>
      <c r="P27" s="150">
        <f t="shared" si="7"/>
        <v>62.162099999999995</v>
      </c>
      <c r="Q27" s="150">
        <f t="shared" si="7"/>
        <v>66.602249999999998</v>
      </c>
      <c r="R27" s="150">
        <f t="shared" si="7"/>
        <v>71.042400000000001</v>
      </c>
      <c r="S27" s="150">
        <f t="shared" si="7"/>
        <v>75.482549999999989</v>
      </c>
      <c r="T27" s="150">
        <f t="shared" si="7"/>
        <v>79.922700000000006</v>
      </c>
      <c r="U27" s="150">
        <f t="shared" si="7"/>
        <v>84.362849999999995</v>
      </c>
      <c r="V27" s="150">
        <f t="shared" si="7"/>
        <v>21.621599999999997</v>
      </c>
      <c r="W27" s="150">
        <f t="shared" si="7"/>
        <v>27.891863999999995</v>
      </c>
      <c r="X27" s="150">
        <f t="shared" si="7"/>
        <v>34.162127999999989</v>
      </c>
      <c r="Y27" s="150">
        <f t="shared" si="7"/>
        <v>40.432391999999993</v>
      </c>
      <c r="Z27" s="150">
        <f t="shared" si="7"/>
        <v>46.70265599999999</v>
      </c>
      <c r="AA27" s="150">
        <f t="shared" si="7"/>
        <v>52.972919999999995</v>
      </c>
      <c r="AB27" s="150">
        <f t="shared" si="7"/>
        <v>59.243183999999999</v>
      </c>
      <c r="AC27" s="150">
        <f t="shared" si="7"/>
        <v>65.513447999999997</v>
      </c>
      <c r="AD27" s="150">
        <f t="shared" si="7"/>
        <v>30.857112000000004</v>
      </c>
      <c r="AE27" s="150">
        <f t="shared" si="7"/>
        <v>35.68336200000001</v>
      </c>
      <c r="AF27" s="150">
        <f t="shared" si="7"/>
        <v>40.509612000000004</v>
      </c>
      <c r="AG27" s="150">
        <f t="shared" si="7"/>
        <v>45.335861999999999</v>
      </c>
      <c r="AH27" s="150">
        <f t="shared" ref="AH27:AZ27" si="8">AH28*1.3*$E$39*1.65</f>
        <v>50.162112</v>
      </c>
      <c r="AI27" s="150">
        <f t="shared" si="8"/>
        <v>54.988362000000002</v>
      </c>
      <c r="AJ27" s="150">
        <f t="shared" si="8"/>
        <v>59.814611999999997</v>
      </c>
      <c r="AK27" s="150">
        <f t="shared" si="8"/>
        <v>64.640861999999998</v>
      </c>
      <c r="AL27" s="150">
        <f t="shared" si="8"/>
        <v>18.501912000000004</v>
      </c>
      <c r="AM27" s="150">
        <f t="shared" si="8"/>
        <v>24.015420000000006</v>
      </c>
      <c r="AN27" s="150">
        <f t="shared" si="8"/>
        <v>29.528928000000004</v>
      </c>
      <c r="AO27" s="150">
        <f t="shared" si="8"/>
        <v>35.042436000000009</v>
      </c>
      <c r="AP27" s="150">
        <f t="shared" si="8"/>
        <v>40.555943999999997</v>
      </c>
      <c r="AQ27" s="150">
        <f t="shared" si="8"/>
        <v>46.069452000000013</v>
      </c>
      <c r="AR27" s="150">
        <f t="shared" si="8"/>
        <v>51.582960000000007</v>
      </c>
      <c r="AS27" s="150">
        <f t="shared" si="8"/>
        <v>9.2200680000000084</v>
      </c>
      <c r="AT27" s="150">
        <f t="shared" si="8"/>
        <v>15.83782200000001</v>
      </c>
      <c r="AU27" s="150">
        <f t="shared" si="8"/>
        <v>22.455576000000008</v>
      </c>
      <c r="AV27" s="150">
        <f t="shared" si="8"/>
        <v>29.073330000000013</v>
      </c>
      <c r="AW27" s="150">
        <f t="shared" si="8"/>
        <v>35.691084000000004</v>
      </c>
      <c r="AX27" s="150">
        <f t="shared" si="8"/>
        <v>42.308838000000009</v>
      </c>
      <c r="AY27" s="150">
        <f t="shared" si="8"/>
        <v>48.926592000000014</v>
      </c>
      <c r="AZ27" s="153">
        <f t="shared" si="8"/>
        <v>55.544345999999997</v>
      </c>
      <c r="BA27" s="140"/>
      <c r="BB27" s="100"/>
    </row>
    <row r="28" spans="1:177" ht="30" x14ac:dyDescent="0.25">
      <c r="A28" s="128" t="s">
        <v>222</v>
      </c>
      <c r="B28" s="158">
        <v>0</v>
      </c>
      <c r="C28" s="158">
        <f>B28+5.75</f>
        <v>5.75</v>
      </c>
      <c r="D28" s="158">
        <f t="shared" ref="D28:U28" si="9">C28+5.75</f>
        <v>11.5</v>
      </c>
      <c r="E28" s="158">
        <f t="shared" si="9"/>
        <v>17.25</v>
      </c>
      <c r="F28" s="158">
        <f t="shared" si="9"/>
        <v>23</v>
      </c>
      <c r="G28" s="158">
        <f t="shared" si="9"/>
        <v>28.75</v>
      </c>
      <c r="H28" s="158">
        <f t="shared" si="9"/>
        <v>34.5</v>
      </c>
      <c r="I28" s="158">
        <f t="shared" si="9"/>
        <v>40.25</v>
      </c>
      <c r="J28" s="158">
        <f t="shared" si="9"/>
        <v>46</v>
      </c>
      <c r="K28" s="158">
        <f t="shared" si="9"/>
        <v>51.75</v>
      </c>
      <c r="L28" s="158">
        <f t="shared" si="9"/>
        <v>57.5</v>
      </c>
      <c r="M28" s="158">
        <f t="shared" si="9"/>
        <v>63.25</v>
      </c>
      <c r="N28" s="158">
        <f t="shared" si="9"/>
        <v>69</v>
      </c>
      <c r="O28" s="158">
        <f t="shared" si="9"/>
        <v>74.75</v>
      </c>
      <c r="P28" s="158">
        <f t="shared" si="9"/>
        <v>80.5</v>
      </c>
      <c r="Q28" s="158">
        <f t="shared" si="9"/>
        <v>86.25</v>
      </c>
      <c r="R28" s="158">
        <f t="shared" si="9"/>
        <v>92</v>
      </c>
      <c r="S28" s="158">
        <f t="shared" si="9"/>
        <v>97.75</v>
      </c>
      <c r="T28" s="158">
        <f t="shared" si="9"/>
        <v>103.5</v>
      </c>
      <c r="U28" s="158">
        <f t="shared" si="9"/>
        <v>109.25</v>
      </c>
      <c r="V28" s="158">
        <f>U28+5.75-87</f>
        <v>28</v>
      </c>
      <c r="W28" s="158">
        <f>V28+8.12</f>
        <v>36.119999999999997</v>
      </c>
      <c r="X28" s="158">
        <f t="shared" ref="X28:AC28" si="10">W28+8.12</f>
        <v>44.239999999999995</v>
      </c>
      <c r="Y28" s="158">
        <f t="shared" si="10"/>
        <v>52.359999999999992</v>
      </c>
      <c r="Z28" s="158">
        <f t="shared" si="10"/>
        <v>60.47999999999999</v>
      </c>
      <c r="AA28" s="158">
        <f t="shared" si="10"/>
        <v>68.599999999999994</v>
      </c>
      <c r="AB28" s="158">
        <f t="shared" si="10"/>
        <v>76.72</v>
      </c>
      <c r="AC28" s="158">
        <f t="shared" si="10"/>
        <v>84.84</v>
      </c>
      <c r="AD28" s="158">
        <f>AC28+8.12-53</f>
        <v>39.960000000000008</v>
      </c>
      <c r="AE28" s="158">
        <f>AD28+6.25</f>
        <v>46.210000000000008</v>
      </c>
      <c r="AF28" s="158">
        <f t="shared" ref="AF28:AK28" si="11">AE28+6.25</f>
        <v>52.460000000000008</v>
      </c>
      <c r="AG28" s="158">
        <f t="shared" si="11"/>
        <v>58.710000000000008</v>
      </c>
      <c r="AH28" s="158">
        <f t="shared" si="11"/>
        <v>64.960000000000008</v>
      </c>
      <c r="AI28" s="158">
        <f t="shared" si="11"/>
        <v>71.210000000000008</v>
      </c>
      <c r="AJ28" s="158">
        <f t="shared" si="11"/>
        <v>77.460000000000008</v>
      </c>
      <c r="AK28" s="158">
        <f t="shared" si="11"/>
        <v>83.710000000000008</v>
      </c>
      <c r="AL28" s="158">
        <f>AK28+6.25-66</f>
        <v>23.960000000000008</v>
      </c>
      <c r="AM28" s="158">
        <f>AL28+7.14</f>
        <v>31.100000000000009</v>
      </c>
      <c r="AN28" s="158">
        <f t="shared" ref="AN28:AR28" si="12">AM28+7.14</f>
        <v>38.240000000000009</v>
      </c>
      <c r="AO28" s="158">
        <f t="shared" si="12"/>
        <v>45.38000000000001</v>
      </c>
      <c r="AP28" s="158">
        <f t="shared" si="12"/>
        <v>52.52000000000001</v>
      </c>
      <c r="AQ28" s="158">
        <f t="shared" si="12"/>
        <v>59.660000000000011</v>
      </c>
      <c r="AR28" s="158">
        <f t="shared" si="12"/>
        <v>66.800000000000011</v>
      </c>
      <c r="AS28" s="158">
        <f>AR28+7.14-62</f>
        <v>11.940000000000012</v>
      </c>
      <c r="AT28" s="158">
        <f>AS28+8.57</f>
        <v>20.510000000000012</v>
      </c>
      <c r="AU28" s="158">
        <f t="shared" ref="AU28:AZ28" si="13">AT28+8.57</f>
        <v>29.080000000000013</v>
      </c>
      <c r="AV28" s="158">
        <f t="shared" si="13"/>
        <v>37.650000000000013</v>
      </c>
      <c r="AW28" s="158">
        <f t="shared" si="13"/>
        <v>46.220000000000013</v>
      </c>
      <c r="AX28" s="158">
        <f t="shared" si="13"/>
        <v>54.790000000000013</v>
      </c>
      <c r="AY28" s="158">
        <f t="shared" si="13"/>
        <v>63.360000000000014</v>
      </c>
      <c r="AZ28" s="159">
        <f t="shared" si="13"/>
        <v>71.930000000000007</v>
      </c>
      <c r="BA28" s="140"/>
      <c r="BB28" s="100"/>
    </row>
    <row r="29" spans="1:177" ht="30" x14ac:dyDescent="0.25">
      <c r="A29" s="67" t="s">
        <v>221</v>
      </c>
      <c r="B29" s="150">
        <v>0</v>
      </c>
      <c r="C29" s="150">
        <f>EXP(-1.0587+0.8836*LN(C27)+0.284)</f>
        <v>1.7202541781013132</v>
      </c>
      <c r="D29" s="150">
        <f t="shared" ref="D29:AZ29" si="14">EXP(-1.0587+0.8836*LN(D27)+0.284)</f>
        <v>3.1738231639664467</v>
      </c>
      <c r="E29" s="150">
        <f t="shared" si="14"/>
        <v>4.5412662194985201</v>
      </c>
      <c r="F29" s="150">
        <f t="shared" si="14"/>
        <v>5.8556192476439568</v>
      </c>
      <c r="G29" s="150">
        <f t="shared" si="14"/>
        <v>7.1318552026065776</v>
      </c>
      <c r="H29" s="150">
        <f t="shared" si="14"/>
        <v>8.378515282602546</v>
      </c>
      <c r="I29" s="150">
        <f t="shared" si="14"/>
        <v>9.6011056678715807</v>
      </c>
      <c r="J29" s="150">
        <f t="shared" si="14"/>
        <v>10.803461630334509</v>
      </c>
      <c r="K29" s="150">
        <f t="shared" si="14"/>
        <v>11.988402143641711</v>
      </c>
      <c r="L29" s="150">
        <f t="shared" si="14"/>
        <v>13.158082992753108</v>
      </c>
      <c r="M29" s="150">
        <f t="shared" si="14"/>
        <v>14.314203855733876</v>
      </c>
      <c r="N29" s="150">
        <f t="shared" si="14"/>
        <v>15.458137653193214</v>
      </c>
      <c r="O29" s="150">
        <f t="shared" si="14"/>
        <v>16.59101543735115</v>
      </c>
      <c r="P29" s="150">
        <f t="shared" si="14"/>
        <v>17.713784367617869</v>
      </c>
      <c r="Q29" s="150">
        <f t="shared" si="14"/>
        <v>18.827248627699362</v>
      </c>
      <c r="R29" s="150">
        <f t="shared" si="14"/>
        <v>19.932099110622822</v>
      </c>
      <c r="S29" s="150">
        <f t="shared" si="14"/>
        <v>21.028935466612072</v>
      </c>
      <c r="T29" s="150">
        <f t="shared" si="14"/>
        <v>22.118282813549541</v>
      </c>
      <c r="U29" s="150">
        <f t="shared" si="14"/>
        <v>23.200604627541278</v>
      </c>
      <c r="V29" s="150">
        <f t="shared" si="14"/>
        <v>6.967210791909296</v>
      </c>
      <c r="W29" s="150">
        <f t="shared" si="14"/>
        <v>8.7252126083377632</v>
      </c>
      <c r="X29" s="150">
        <f t="shared" si="14"/>
        <v>10.437400593943378</v>
      </c>
      <c r="Y29" s="150">
        <f t="shared" si="14"/>
        <v>12.113180640498776</v>
      </c>
      <c r="Z29" s="150">
        <f t="shared" si="14"/>
        <v>13.758854713975214</v>
      </c>
      <c r="AA29" s="150">
        <f t="shared" si="14"/>
        <v>15.378929370489258</v>
      </c>
      <c r="AB29" s="150">
        <f t="shared" si="14"/>
        <v>16.976781048897362</v>
      </c>
      <c r="AC29" s="150">
        <f t="shared" si="14"/>
        <v>18.555029826276208</v>
      </c>
      <c r="AD29" s="150">
        <f t="shared" si="14"/>
        <v>9.5399563475766787</v>
      </c>
      <c r="AE29" s="150">
        <f t="shared" si="14"/>
        <v>10.847029356485285</v>
      </c>
      <c r="AF29" s="150">
        <f t="shared" si="14"/>
        <v>12.133619940650075</v>
      </c>
      <c r="AG29" s="150">
        <f t="shared" si="14"/>
        <v>13.402447292941249</v>
      </c>
      <c r="AH29" s="150">
        <f t="shared" si="14"/>
        <v>14.655617903832248</v>
      </c>
      <c r="AI29" s="150">
        <f t="shared" si="14"/>
        <v>15.89480955622289</v>
      </c>
      <c r="AJ29" s="150">
        <f t="shared" si="14"/>
        <v>17.121388671039373</v>
      </c>
      <c r="AK29" s="150">
        <f t="shared" si="14"/>
        <v>18.336488612200696</v>
      </c>
      <c r="AL29" s="150">
        <f t="shared" si="14"/>
        <v>6.0710619200029772</v>
      </c>
      <c r="AM29" s="150">
        <f t="shared" si="14"/>
        <v>7.6445723186666275</v>
      </c>
      <c r="AN29" s="150">
        <f t="shared" si="14"/>
        <v>9.1762009516021763</v>
      </c>
      <c r="AO29" s="150">
        <f t="shared" si="14"/>
        <v>10.674697541014359</v>
      </c>
      <c r="AP29" s="150">
        <f t="shared" si="14"/>
        <v>12.145881343496422</v>
      </c>
      <c r="AQ29" s="150">
        <f t="shared" si="14"/>
        <v>13.593892543119546</v>
      </c>
      <c r="AR29" s="150">
        <f t="shared" si="14"/>
        <v>15.021821462597757</v>
      </c>
      <c r="AS29" s="150">
        <f t="shared" si="14"/>
        <v>3.2808859740487826</v>
      </c>
      <c r="AT29" s="150">
        <f t="shared" si="14"/>
        <v>5.2917945082456592</v>
      </c>
      <c r="AU29" s="150">
        <f t="shared" si="14"/>
        <v>7.2041397268616345</v>
      </c>
      <c r="AV29" s="150">
        <f t="shared" si="14"/>
        <v>9.0509892808195964</v>
      </c>
      <c r="AW29" s="150">
        <f t="shared" si="14"/>
        <v>10.849103434484901</v>
      </c>
      <c r="AX29" s="150">
        <f t="shared" si="14"/>
        <v>12.608591743087759</v>
      </c>
      <c r="AY29" s="150">
        <f t="shared" si="14"/>
        <v>14.336198205566991</v>
      </c>
      <c r="AZ29" s="153">
        <f t="shared" si="14"/>
        <v>16.036730949134895</v>
      </c>
      <c r="BA29" s="140"/>
      <c r="BB29" s="100"/>
    </row>
    <row r="30" spans="1:177" ht="31.5" customHeight="1" x14ac:dyDescent="0.25">
      <c r="A30" s="3" t="s">
        <v>11</v>
      </c>
      <c r="B30" s="150">
        <f>(0.3*(45+25*(1-(EXP(-0.0175*B19)))))+(0.7*$B$45)</f>
        <v>62.5</v>
      </c>
      <c r="C30" s="150">
        <f t="shared" ref="C30:V30" si="15">(0.3*(45+25*(1-(EXP(-0.0175*C19)))))+(0.7*$B$45)</f>
        <v>62.630108232511951</v>
      </c>
      <c r="D30" s="150">
        <f t="shared" si="15"/>
        <v>62.75795937806825</v>
      </c>
      <c r="E30" s="150">
        <f t="shared" si="15"/>
        <v>62.883592592081492</v>
      </c>
      <c r="F30" s="150">
        <f t="shared" si="15"/>
        <v>63.007046350705387</v>
      </c>
      <c r="G30" s="150">
        <f t="shared" si="15"/>
        <v>63.128358462618422</v>
      </c>
      <c r="H30" s="150">
        <f t="shared" si="15"/>
        <v>63.247566080603008</v>
      </c>
      <c r="I30" s="150">
        <f t="shared" si="15"/>
        <v>63.364705712923872</v>
      </c>
      <c r="J30" s="150">
        <f t="shared" si="15"/>
        <v>63.479813234508953</v>
      </c>
      <c r="K30" s="150">
        <f t="shared" si="15"/>
        <v>63.592923897936402</v>
      </c>
      <c r="L30" s="150">
        <f t="shared" si="15"/>
        <v>63.704072344230944</v>
      </c>
      <c r="M30" s="150">
        <f t="shared" si="15"/>
        <v>63.813292613472974</v>
      </c>
      <c r="N30" s="150">
        <f t="shared" si="15"/>
        <v>63.920618155223593</v>
      </c>
      <c r="O30" s="150">
        <f t="shared" si="15"/>
        <v>64.026081838768818</v>
      </c>
      <c r="P30" s="150">
        <f t="shared" si="15"/>
        <v>64.129715963185987</v>
      </c>
      <c r="Q30" s="150">
        <f t="shared" si="15"/>
        <v>64.231552267235713</v>
      </c>
      <c r="R30" s="150">
        <f t="shared" si="15"/>
        <v>64.331621939082055</v>
      </c>
      <c r="S30" s="150">
        <f t="shared" si="15"/>
        <v>64.42995562584413</v>
      </c>
      <c r="T30" s="150">
        <f t="shared" si="15"/>
        <v>64.526583442982073</v>
      </c>
      <c r="U30" s="150">
        <f t="shared" si="15"/>
        <v>64.621534983520107</v>
      </c>
      <c r="V30" s="150">
        <f t="shared" si="15"/>
        <v>64.714839327109644</v>
      </c>
      <c r="W30" s="150">
        <f t="shared" ref="W30:AF30" si="16">IF($B$15="Culture agricole",(45+25*(1-(EXP(-0.0175*W19)))),$B$45)</f>
        <v>70</v>
      </c>
      <c r="X30" s="150">
        <f t="shared" si="16"/>
        <v>70</v>
      </c>
      <c r="Y30" s="150">
        <f t="shared" si="16"/>
        <v>70</v>
      </c>
      <c r="Z30" s="150">
        <f t="shared" si="16"/>
        <v>70</v>
      </c>
      <c r="AA30" s="150">
        <f t="shared" si="16"/>
        <v>70</v>
      </c>
      <c r="AB30" s="150">
        <f t="shared" si="16"/>
        <v>70</v>
      </c>
      <c r="AC30" s="150">
        <f t="shared" si="16"/>
        <v>70</v>
      </c>
      <c r="AD30" s="150">
        <f t="shared" si="16"/>
        <v>70</v>
      </c>
      <c r="AE30" s="150">
        <f t="shared" si="16"/>
        <v>70</v>
      </c>
      <c r="AF30" s="150">
        <f t="shared" si="16"/>
        <v>70</v>
      </c>
      <c r="AG30" s="150">
        <f t="shared" ref="AG30:AZ30" si="17">IF($B$15="Culture agricole",(45+25*(1-(EXP(-0.0175*AG19)))),$B$45)</f>
        <v>70</v>
      </c>
      <c r="AH30" s="150">
        <f t="shared" si="17"/>
        <v>70</v>
      </c>
      <c r="AI30" s="150">
        <f t="shared" si="17"/>
        <v>70</v>
      </c>
      <c r="AJ30" s="150">
        <f t="shared" si="17"/>
        <v>70</v>
      </c>
      <c r="AK30" s="150">
        <f t="shared" si="17"/>
        <v>70</v>
      </c>
      <c r="AL30" s="150">
        <f t="shared" si="17"/>
        <v>70</v>
      </c>
      <c r="AM30" s="150">
        <f t="shared" si="17"/>
        <v>70</v>
      </c>
      <c r="AN30" s="150">
        <f t="shared" si="17"/>
        <v>70</v>
      </c>
      <c r="AO30" s="150">
        <f t="shared" si="17"/>
        <v>70</v>
      </c>
      <c r="AP30" s="150">
        <f t="shared" si="17"/>
        <v>70</v>
      </c>
      <c r="AQ30" s="150">
        <f t="shared" si="17"/>
        <v>70</v>
      </c>
      <c r="AR30" s="150">
        <f t="shared" si="17"/>
        <v>70</v>
      </c>
      <c r="AS30" s="150">
        <f t="shared" si="17"/>
        <v>70</v>
      </c>
      <c r="AT30" s="150">
        <f t="shared" si="17"/>
        <v>70</v>
      </c>
      <c r="AU30" s="150">
        <f t="shared" si="17"/>
        <v>70</v>
      </c>
      <c r="AV30" s="150">
        <f t="shared" si="17"/>
        <v>70</v>
      </c>
      <c r="AW30" s="150">
        <f t="shared" si="17"/>
        <v>70</v>
      </c>
      <c r="AX30" s="150">
        <f t="shared" si="17"/>
        <v>70</v>
      </c>
      <c r="AY30" s="150">
        <f t="shared" si="17"/>
        <v>70</v>
      </c>
      <c r="AZ30" s="153">
        <f t="shared" si="17"/>
        <v>70</v>
      </c>
      <c r="BA30" s="140"/>
      <c r="BB30" s="100"/>
    </row>
    <row r="31" spans="1:177" x14ac:dyDescent="0.25">
      <c r="A31" s="3" t="s">
        <v>183</v>
      </c>
      <c r="B31" s="150">
        <f t="shared" ref="B31:AF31" si="18">B19*(($B$41-$B$40)/30)</f>
        <v>0</v>
      </c>
      <c r="C31" s="150">
        <f t="shared" si="18"/>
        <v>0.33333333333333331</v>
      </c>
      <c r="D31" s="150">
        <f t="shared" si="18"/>
        <v>0.66666666666666663</v>
      </c>
      <c r="E31" s="150">
        <f t="shared" si="18"/>
        <v>1</v>
      </c>
      <c r="F31" s="150">
        <f t="shared" si="18"/>
        <v>1.3333333333333333</v>
      </c>
      <c r="G31" s="150">
        <f t="shared" si="18"/>
        <v>1.6666666666666665</v>
      </c>
      <c r="H31" s="150">
        <f t="shared" si="18"/>
        <v>2</v>
      </c>
      <c r="I31" s="150">
        <f t="shared" si="18"/>
        <v>2.333333333333333</v>
      </c>
      <c r="J31" s="150">
        <f t="shared" si="18"/>
        <v>2.6666666666666665</v>
      </c>
      <c r="K31" s="150">
        <f t="shared" si="18"/>
        <v>3</v>
      </c>
      <c r="L31" s="150">
        <f t="shared" si="18"/>
        <v>3.333333333333333</v>
      </c>
      <c r="M31" s="150">
        <f t="shared" si="18"/>
        <v>3.6666666666666665</v>
      </c>
      <c r="N31" s="150">
        <f t="shared" si="18"/>
        <v>4</v>
      </c>
      <c r="O31" s="150">
        <f t="shared" si="18"/>
        <v>4.333333333333333</v>
      </c>
      <c r="P31" s="150">
        <f t="shared" si="18"/>
        <v>4.6666666666666661</v>
      </c>
      <c r="Q31" s="150">
        <f t="shared" si="18"/>
        <v>5</v>
      </c>
      <c r="R31" s="150">
        <f t="shared" si="18"/>
        <v>5.333333333333333</v>
      </c>
      <c r="S31" s="150">
        <f t="shared" si="18"/>
        <v>5.6666666666666661</v>
      </c>
      <c r="T31" s="150">
        <f t="shared" si="18"/>
        <v>6</v>
      </c>
      <c r="U31" s="150">
        <f t="shared" si="18"/>
        <v>6.333333333333333</v>
      </c>
      <c r="V31" s="150">
        <f t="shared" si="18"/>
        <v>6.6666666666666661</v>
      </c>
      <c r="W31" s="150">
        <f t="shared" si="18"/>
        <v>7</v>
      </c>
      <c r="X31" s="150">
        <f t="shared" si="18"/>
        <v>7.333333333333333</v>
      </c>
      <c r="Y31" s="150">
        <f t="shared" si="18"/>
        <v>7.6666666666666661</v>
      </c>
      <c r="Z31" s="150">
        <f t="shared" si="18"/>
        <v>8</v>
      </c>
      <c r="AA31" s="150">
        <f t="shared" si="18"/>
        <v>8.3333333333333321</v>
      </c>
      <c r="AB31" s="150">
        <f t="shared" si="18"/>
        <v>8.6666666666666661</v>
      </c>
      <c r="AC31" s="150">
        <f t="shared" si="18"/>
        <v>9</v>
      </c>
      <c r="AD31" s="150">
        <f t="shared" si="18"/>
        <v>9.3333333333333321</v>
      </c>
      <c r="AE31" s="150">
        <f t="shared" si="18"/>
        <v>9.6666666666666661</v>
      </c>
      <c r="AF31" s="150">
        <f t="shared" si="18"/>
        <v>10</v>
      </c>
      <c r="AG31" s="150">
        <f t="shared" ref="AG31" si="19">AG19*(($B$41-$B$40)/30)</f>
        <v>10.333333333333332</v>
      </c>
      <c r="AH31" s="150">
        <v>10</v>
      </c>
      <c r="AI31" s="150">
        <v>10</v>
      </c>
      <c r="AJ31" s="150">
        <v>10</v>
      </c>
      <c r="AK31" s="150">
        <v>10</v>
      </c>
      <c r="AL31" s="150">
        <v>10</v>
      </c>
      <c r="AM31" s="150">
        <v>10</v>
      </c>
      <c r="AN31" s="150">
        <v>10</v>
      </c>
      <c r="AO31" s="150">
        <v>10</v>
      </c>
      <c r="AP31" s="150">
        <v>10</v>
      </c>
      <c r="AQ31" s="150">
        <v>10</v>
      </c>
      <c r="AR31" s="150">
        <v>10</v>
      </c>
      <c r="AS31" s="150">
        <v>10</v>
      </c>
      <c r="AT31" s="150">
        <v>10</v>
      </c>
      <c r="AU31" s="150">
        <v>10</v>
      </c>
      <c r="AV31" s="150">
        <v>10</v>
      </c>
      <c r="AW31" s="150">
        <v>10</v>
      </c>
      <c r="AX31" s="150">
        <v>10</v>
      </c>
      <c r="AY31" s="150">
        <v>10</v>
      </c>
      <c r="AZ31" s="150">
        <v>10</v>
      </c>
      <c r="BA31" s="140"/>
      <c r="BB31" s="100"/>
    </row>
    <row r="32" spans="1:177" x14ac:dyDescent="0.25">
      <c r="A32" s="133" t="s">
        <v>2</v>
      </c>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40"/>
      <c r="BB32" s="100"/>
    </row>
    <row r="33" spans="1:54" ht="15.75" thickBot="1" x14ac:dyDescent="0.3">
      <c r="A33" s="3" t="s">
        <v>184</v>
      </c>
      <c r="B33" s="150">
        <f t="shared" ref="B33:AG33" si="20">((0.3*($B$42+$B$44))+(0.7*($B$43+$B$45)))*(44/12)</f>
        <v>234.66666666666666</v>
      </c>
      <c r="C33" s="150">
        <f t="shared" si="20"/>
        <v>234.66666666666666</v>
      </c>
      <c r="D33" s="150">
        <f t="shared" si="20"/>
        <v>234.66666666666666</v>
      </c>
      <c r="E33" s="150">
        <f t="shared" si="20"/>
        <v>234.66666666666666</v>
      </c>
      <c r="F33" s="150">
        <f t="shared" si="20"/>
        <v>234.66666666666666</v>
      </c>
      <c r="G33" s="150">
        <f t="shared" si="20"/>
        <v>234.66666666666666</v>
      </c>
      <c r="H33" s="150">
        <f t="shared" si="20"/>
        <v>234.66666666666666</v>
      </c>
      <c r="I33" s="150">
        <f t="shared" si="20"/>
        <v>234.66666666666666</v>
      </c>
      <c r="J33" s="150">
        <f t="shared" si="20"/>
        <v>234.66666666666666</v>
      </c>
      <c r="K33" s="150">
        <f t="shared" si="20"/>
        <v>234.66666666666666</v>
      </c>
      <c r="L33" s="150">
        <f t="shared" si="20"/>
        <v>234.66666666666666</v>
      </c>
      <c r="M33" s="150">
        <f t="shared" si="20"/>
        <v>234.66666666666666</v>
      </c>
      <c r="N33" s="150">
        <f t="shared" si="20"/>
        <v>234.66666666666666</v>
      </c>
      <c r="O33" s="150">
        <f t="shared" si="20"/>
        <v>234.66666666666666</v>
      </c>
      <c r="P33" s="150">
        <f t="shared" si="20"/>
        <v>234.66666666666666</v>
      </c>
      <c r="Q33" s="150">
        <f t="shared" si="20"/>
        <v>234.66666666666666</v>
      </c>
      <c r="R33" s="150">
        <f t="shared" si="20"/>
        <v>234.66666666666666</v>
      </c>
      <c r="S33" s="150">
        <f t="shared" si="20"/>
        <v>234.66666666666666</v>
      </c>
      <c r="T33" s="150">
        <f t="shared" si="20"/>
        <v>234.66666666666666</v>
      </c>
      <c r="U33" s="150">
        <f t="shared" si="20"/>
        <v>234.66666666666666</v>
      </c>
      <c r="V33" s="150">
        <f t="shared" si="20"/>
        <v>234.66666666666666</v>
      </c>
      <c r="W33" s="151">
        <f t="shared" si="20"/>
        <v>234.66666666666666</v>
      </c>
      <c r="X33" s="151">
        <f t="shared" si="20"/>
        <v>234.66666666666666</v>
      </c>
      <c r="Y33" s="151">
        <f t="shared" si="20"/>
        <v>234.66666666666666</v>
      </c>
      <c r="Z33" s="151">
        <f t="shared" si="20"/>
        <v>234.66666666666666</v>
      </c>
      <c r="AA33" s="151">
        <f t="shared" si="20"/>
        <v>234.66666666666666</v>
      </c>
      <c r="AB33" s="151">
        <f t="shared" si="20"/>
        <v>234.66666666666666</v>
      </c>
      <c r="AC33" s="151">
        <f t="shared" si="20"/>
        <v>234.66666666666666</v>
      </c>
      <c r="AD33" s="151">
        <f t="shared" si="20"/>
        <v>234.66666666666666</v>
      </c>
      <c r="AE33" s="151">
        <f t="shared" si="20"/>
        <v>234.66666666666666</v>
      </c>
      <c r="AF33" s="151">
        <f t="shared" si="20"/>
        <v>234.66666666666666</v>
      </c>
      <c r="AG33" s="151">
        <f t="shared" si="20"/>
        <v>234.66666666666666</v>
      </c>
      <c r="AH33" s="151">
        <f t="shared" ref="AH33:AZ33" si="21">((0.3*($B$42+$B$44))+(0.7*($B$43+$B$45)))*(44/12)</f>
        <v>234.66666666666666</v>
      </c>
      <c r="AI33" s="151">
        <f t="shared" si="21"/>
        <v>234.66666666666666</v>
      </c>
      <c r="AJ33" s="151">
        <f t="shared" si="21"/>
        <v>234.66666666666666</v>
      </c>
      <c r="AK33" s="151">
        <f t="shared" si="21"/>
        <v>234.66666666666666</v>
      </c>
      <c r="AL33" s="151">
        <f t="shared" si="21"/>
        <v>234.66666666666666</v>
      </c>
      <c r="AM33" s="151">
        <f t="shared" si="21"/>
        <v>234.66666666666666</v>
      </c>
      <c r="AN33" s="151">
        <f t="shared" si="21"/>
        <v>234.66666666666666</v>
      </c>
      <c r="AO33" s="151">
        <f t="shared" si="21"/>
        <v>234.66666666666666</v>
      </c>
      <c r="AP33" s="151">
        <f t="shared" si="21"/>
        <v>234.66666666666666</v>
      </c>
      <c r="AQ33" s="151">
        <f t="shared" si="21"/>
        <v>234.66666666666666</v>
      </c>
      <c r="AR33" s="151">
        <f t="shared" si="21"/>
        <v>234.66666666666666</v>
      </c>
      <c r="AS33" s="151">
        <f t="shared" si="21"/>
        <v>234.66666666666666</v>
      </c>
      <c r="AT33" s="151">
        <f t="shared" si="21"/>
        <v>234.66666666666666</v>
      </c>
      <c r="AU33" s="151">
        <f t="shared" si="21"/>
        <v>234.66666666666666</v>
      </c>
      <c r="AV33" s="151">
        <f t="shared" si="21"/>
        <v>234.66666666666666</v>
      </c>
      <c r="AW33" s="151">
        <f t="shared" si="21"/>
        <v>234.66666666666666</v>
      </c>
      <c r="AX33" s="151">
        <f t="shared" si="21"/>
        <v>234.66666666666666</v>
      </c>
      <c r="AY33" s="151">
        <f t="shared" si="21"/>
        <v>234.66666666666666</v>
      </c>
      <c r="AZ33" s="152">
        <f t="shared" si="21"/>
        <v>234.66666666666666</v>
      </c>
      <c r="BA33" s="140"/>
      <c r="BB33" s="100"/>
    </row>
    <row r="34" spans="1:54" ht="30.75" thickBot="1" x14ac:dyDescent="0.3">
      <c r="A34" s="101" t="s">
        <v>224</v>
      </c>
      <c r="B34" s="150">
        <f>B22-(B33*3.85)</f>
        <v>-21.175000000000068</v>
      </c>
      <c r="C34" s="150">
        <f>C22-(C33*3.85)</f>
        <v>-4.8343239719065423</v>
      </c>
      <c r="D34" s="150">
        <f t="shared" ref="D34:V34" si="22">D22-(D33*3.85)</f>
        <v>11.046966642997518</v>
      </c>
      <c r="E34" s="150">
        <f t="shared" si="22"/>
        <v>26.758879031237825</v>
      </c>
      <c r="F34" s="150">
        <f t="shared" si="22"/>
        <v>42.354916183712817</v>
      </c>
      <c r="G34" s="150">
        <f t="shared" si="22"/>
        <v>57.859614966684262</v>
      </c>
      <c r="H34" s="150">
        <f t="shared" si="22"/>
        <v>82.28781364410554</v>
      </c>
      <c r="I34" s="150">
        <f t="shared" si="22"/>
        <v>115.47124102239002</v>
      </c>
      <c r="J34" s="150">
        <f t="shared" si="22"/>
        <v>166.09340456224027</v>
      </c>
      <c r="K34" s="150">
        <f t="shared" si="22"/>
        <v>230.92114217734661</v>
      </c>
      <c r="L34" s="150">
        <f t="shared" si="22"/>
        <v>292.4089230377208</v>
      </c>
      <c r="M34" s="150">
        <f t="shared" si="22"/>
        <v>339.15781694117004</v>
      </c>
      <c r="N34" s="150">
        <f t="shared" si="22"/>
        <v>408.77502017215102</v>
      </c>
      <c r="O34" s="150">
        <f t="shared" si="22"/>
        <v>472.38453520419739</v>
      </c>
      <c r="P34" s="150">
        <f t="shared" si="22"/>
        <v>558.64859661266019</v>
      </c>
      <c r="Q34" s="150">
        <f t="shared" si="22"/>
        <v>627.52671167969947</v>
      </c>
      <c r="R34" s="150">
        <f t="shared" si="22"/>
        <v>690.54693403917804</v>
      </c>
      <c r="S34" s="150">
        <f t="shared" si="22"/>
        <v>781.79076799022937</v>
      </c>
      <c r="T34" s="150">
        <f t="shared" si="22"/>
        <v>872.79697293518439</v>
      </c>
      <c r="U34" s="150">
        <f t="shared" si="22"/>
        <v>929.71362775972466</v>
      </c>
      <c r="V34" s="153">
        <f t="shared" si="22"/>
        <v>1009.1068510496571</v>
      </c>
      <c r="W34" s="164"/>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row>
    <row r="35" spans="1:54" ht="30.75" thickBot="1" x14ac:dyDescent="0.3">
      <c r="A35" s="101" t="s">
        <v>225</v>
      </c>
      <c r="B35" s="150">
        <f>B26-(B33*1.65)</f>
        <v>-9.0749999999999886</v>
      </c>
      <c r="C35" s="150">
        <f t="shared" ref="C35:AY35" si="23">C26-(C33*1.65)</f>
        <v>4.4581920835570941</v>
      </c>
      <c r="D35" s="166">
        <f t="shared" si="23"/>
        <v>17.513252081221083</v>
      </c>
      <c r="E35" s="166">
        <f t="shared" si="23"/>
        <v>30.404890931052876</v>
      </c>
      <c r="F35" s="166">
        <f t="shared" si="23"/>
        <v>43.19087894474751</v>
      </c>
      <c r="G35" s="166">
        <f t="shared" si="23"/>
        <v>55.897522760047877</v>
      </c>
      <c r="H35" s="166">
        <f t="shared" si="23"/>
        <v>68.539923071514295</v>
      </c>
      <c r="I35" s="166">
        <f t="shared" si="23"/>
        <v>81.127890684732392</v>
      </c>
      <c r="J35" s="166">
        <f t="shared" si="23"/>
        <v>93.668322408278414</v>
      </c>
      <c r="K35" s="166">
        <f t="shared" si="23"/>
        <v>106.1663412326912</v>
      </c>
      <c r="L35" s="166">
        <f t="shared" si="23"/>
        <v>118.62591139497545</v>
      </c>
      <c r="M35" s="166">
        <f t="shared" si="23"/>
        <v>131.05019911024789</v>
      </c>
      <c r="N35" s="166">
        <f t="shared" si="23"/>
        <v>143.44179791841424</v>
      </c>
      <c r="O35" s="166">
        <f t="shared" si="23"/>
        <v>155.80287659460458</v>
      </c>
      <c r="P35" s="166">
        <f t="shared" si="23"/>
        <v>168.13528018420965</v>
      </c>
      <c r="Q35" s="166">
        <f t="shared" si="23"/>
        <v>180.44060132668568</v>
      </c>
      <c r="R35" s="166">
        <f t="shared" si="23"/>
        <v>192.72023201578105</v>
      </c>
      <c r="S35" s="166">
        <f t="shared" si="23"/>
        <v>204.97540205737295</v>
      </c>
      <c r="T35" s="166">
        <f t="shared" si="23"/>
        <v>217.20720823030689</v>
      </c>
      <c r="U35" s="166">
        <f t="shared" si="23"/>
        <v>229.41663679326433</v>
      </c>
      <c r="V35" s="166">
        <f t="shared" si="23"/>
        <v>94.450290058255348</v>
      </c>
      <c r="W35" s="167">
        <f t="shared" si="23"/>
        <v>142.42474175952162</v>
      </c>
      <c r="X35" s="167">
        <f t="shared" si="23"/>
        <v>158.34417896778456</v>
      </c>
      <c r="Y35" s="167">
        <f t="shared" si="23"/>
        <v>174.20020568220201</v>
      </c>
      <c r="Z35" s="167">
        <f t="shared" si="23"/>
        <v>190.00379782684007</v>
      </c>
      <c r="AA35" s="167">
        <f t="shared" si="23"/>
        <v>205.76280432026869</v>
      </c>
      <c r="AB35" s="167">
        <f t="shared" si="23"/>
        <v>221.48310579349624</v>
      </c>
      <c r="AC35" s="167">
        <f t="shared" si="23"/>
        <v>237.16926554743105</v>
      </c>
      <c r="AD35" s="167">
        <f t="shared" si="23"/>
        <v>163.12489403869591</v>
      </c>
      <c r="AE35" s="167">
        <f t="shared" si="23"/>
        <v>175.82376494587851</v>
      </c>
      <c r="AF35" s="167">
        <f>AF26-(AF33*1.65)</f>
        <v>188.48696229663216</v>
      </c>
      <c r="AG35" s="167">
        <f t="shared" si="23"/>
        <v>201.11922201853923</v>
      </c>
      <c r="AH35" s="167">
        <f t="shared" si="23"/>
        <v>209.69087958250776</v>
      </c>
      <c r="AI35" s="167">
        <f t="shared" si="23"/>
        <v>220.2548571270882</v>
      </c>
      <c r="AJ35" s="167">
        <f t="shared" si="23"/>
        <v>230.79686783539358</v>
      </c>
      <c r="AK35" s="167">
        <f t="shared" si="23"/>
        <v>241.31888564958291</v>
      </c>
      <c r="AL35" s="167">
        <f t="shared" si="23"/>
        <v>139.59792957733856</v>
      </c>
      <c r="AM35" s="167">
        <f t="shared" si="23"/>
        <v>151.94115328834442</v>
      </c>
      <c r="AN35" s="167">
        <f t="shared" si="23"/>
        <v>164.21143292404048</v>
      </c>
      <c r="AO35" s="167">
        <f t="shared" si="23"/>
        <v>176.42400758393336</v>
      </c>
      <c r="AP35" s="167">
        <f t="shared" si="23"/>
        <v>188.58901247325622</v>
      </c>
      <c r="AQ35" s="167">
        <f t="shared" si="23"/>
        <v>200.71365841259995</v>
      </c>
      <c r="AR35" s="167">
        <f t="shared" si="23"/>
        <v>212.80332771402453</v>
      </c>
      <c r="AS35" s="167">
        <f t="shared" si="23"/>
        <v>118.5724948381349</v>
      </c>
      <c r="AT35" s="167">
        <f t="shared" si="23"/>
        <v>133.6007487518612</v>
      </c>
      <c r="AU35" s="167">
        <f t="shared" si="23"/>
        <v>148.457338224284</v>
      </c>
      <c r="AV35" s="167">
        <f t="shared" si="23"/>
        <v>163.19985608076087</v>
      </c>
      <c r="AW35" s="167">
        <f t="shared" si="23"/>
        <v>177.85749311506123</v>
      </c>
      <c r="AX35" s="167">
        <f t="shared" si="23"/>
        <v>192.44785680254455</v>
      </c>
      <c r="AY35" s="167">
        <f t="shared" si="23"/>
        <v>206.98269294136247</v>
      </c>
      <c r="AZ35" s="168">
        <f>AZ26-(AZ33*1.65)</f>
        <v>221.47037568640991</v>
      </c>
    </row>
    <row r="36" spans="1:54" x14ac:dyDescent="0.25">
      <c r="A36" s="185" t="s">
        <v>10</v>
      </c>
      <c r="B36" s="186"/>
      <c r="C36" s="58"/>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54" ht="30" x14ac:dyDescent="0.25">
      <c r="A37" s="3" t="s">
        <v>4</v>
      </c>
      <c r="B37" s="13">
        <v>0.47499999999999998</v>
      </c>
      <c r="C37" s="5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54" ht="30.75" thickBot="1" x14ac:dyDescent="0.3">
      <c r="A38" s="3" t="s">
        <v>5</v>
      </c>
      <c r="B38" s="14"/>
      <c r="C38" s="59"/>
      <c r="D38" s="15"/>
      <c r="E38" s="15"/>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54" ht="30.75" thickBot="1" x14ac:dyDescent="0.3">
      <c r="A39" s="11" t="s">
        <v>149</v>
      </c>
      <c r="B39" s="17" t="s">
        <v>53</v>
      </c>
      <c r="C39" s="60">
        <f>IF(B39="Alisier torminal",0.62,IF(B39="Arbousier",0.64,IF(B39="Aulne vert",0.42,IF(B39="Grands aulnes",0.42,IF(B39="Bouleaux",0.52,IF(B39="Cèdre de l’Atlas",0.36,IF(B39="Charme",0.61,IF(B39="Charme-houblon",0.66,IF(B39="Châtaignier",0.47,IF(B39="Chêne chevelu",0.67,IF(B39="Chêne-liège",0.7,IF(B39="Chêne pédonculé",0.54,IF(B39="Chêne pubescent",0.65,IF(B39="Chêne rouge d’Amérique",0.56,IF(B39="Chêne rouvre (sessile)",0.58,IF(B39="Chêne tauzin",0.64,IF(B39="Chêne vert",0.73,IF(B39="Chênes indifférenciés",0.56,IF(B39="Cornouiller mâle",0.74,IF(B39="Cyprès",0.4,IF(B39="Cytise aubour",0.6,IF(B39="Douglas",0.43,IF(B39="Epicéa commun",0.37,IF(B39="Epicéa de Sitka",0.36,IF(B39="Grands érables",0.51,IF(B39="Petits érables",0.56,IF(B39="Eucalyptus",0.56,IF(B39="Genévrier thurifère",0.48,IF(B39="Hêtre",0.55,IF(B39="Frênes",0.56,IF(B39="Fruitiers",0.58,IF(B39="If",0.58,IF(B39="Mélèze d’Europe",0.48,IF(B39="Mélèze du Japon",0.42,IF(B39="Merisier",0.5,IF(B39="Micocoulier",0.55,IF(B39="Mûrier",0.53,IF(B39="Noisetier",0.52,IF(B39="Noyer",0.52,IF(B39="Olivier",0.75,IF(B39="Ormes",0.52,IF(B39="Peupliers cultivés",0.35,IF(B39="Peupliers non cultivés",0.37,IF(B39="Pin d'Alep",0.45,IF(B39="Pin cembro",0.39,IF(B39="Pin à crochets",0.44,IF(B39="Pin laricio",0.46,IF(B39="Pin maritime",0.46,IF(B39="Pin mugho",0.44,IF(B39="Pin noir d'Autriche",0.46,IF(B39="Pin pignon",0.48,IF(B39="Pin sylvestre",0.44,IF(B39="Pin Weymouth",0.34,IF(B39="Platanes",0.5,IF(B39="Robinier faux acacia",0.58,IF(B39="Sapin méditerranéen",0.37,IF(B39="Sapin de Nordmann",0.37,IF(B39="Sapin pectiné",0.38,IF(B39="Sapin de Vancouver",0.36,IF(B39="Saules",0.37,IF(B39="Tamaris",0.53,IF(B39="Tilleuls",0.43,IF(B39="Tremble",0.38,IF(B39="Conifères (moyenne)",0.42,IF(B39="Feuillus (moyenne)",0.57,"")))))))))))))))))))))))))))))))))))))))))))))))))))))))))))))))))</f>
        <v>0.35</v>
      </c>
      <c r="D39" s="141" t="s">
        <v>23</v>
      </c>
      <c r="E39" s="61">
        <f>IF(D39="Alisier torminal",0.62,IF(D39="Arbousier",0.64,IF(D39="Aulne vert",0.42,IF(D39="Grands aulnes",0.42,IF(D39="Bouleaux",0.52,IF(D39="Cèdre de l’Atlas",0.36,IF(D39="Charme",0.61,IF(D39="Charme-houblon",0.66,IF(D39="Châtaignier",0.47,IF(D39="Chêne chevelu",0.67,IF(D39="Chêne-liège",0.7,IF(D39="Chêne pédonculé",0.54,IF(D39="Chêne pubescent",0.65,IF(D39="Chêne rouge d’Amérique",0.56,IF(D39="Chêne rouvre (sessile)",0.58,IF(D39="Chêne tauzin",0.64,IF(D39="Chêne vert",0.73,IF(D39="Chênes indifférenciés",0.56,IF(D39="Cornouiller mâle",0.74,IF(D39="Cyprès",0.4,IF(D39="Cytise aubour",0.6,IF(D39="Douglas",0.43,IF(D39="Epicéa commun",0.37,IF(D39="Epicéa de Sitka",0.36,IF(D39="Grands érables",0.51,IF(D39="Petits érables",0.56,IF(D39="Eucalyptus",0.56,IF(D39="Genévrier thurifère",0.48,IF(D39="Hêtre",0.55,IF(D39="Frênes",0.56,IF(D39="Fruitiers",0.58,IF(D39="If",0.58,IF(D39="Mélèze d’Europe",0.48,IF(D39="Mélèze du Japon",0.42,IF(D39="Merisier",0.5,IF(D39="Micocoulier",0.55,IF(D39="Mûrier",0.53,IF(D39="Noisetier",0.52,IF(D39="Noyer",0.52,IF(D39="Olivier",0.75,IF(D39="Ormes",0.52,IF(D39="Peupliers cultivés",0.35,IF(D39="Peupliers non cultivés",0.37,IF(D39="Pin d'Alep",0.45,IF(D39="Pin cembro",0.39,IF(D39="Pin à crochets",0.44,IF(D39="Pin laricio",0.46,IF(D39="Pin maritime",0.46,IF(D39="Pin mugho",0.44,IF(D39="Pin noir d'Autriche",0.46,IF(D39="Pin pignon",0.48,IF(D39="Pin sylvestre",0.44,IF(D39="Pin Weymouth",0.34,IF(D39="Platanes",0.5,IF(D39="Robinier faux acacia",0.58,IF(D39="Sapin méditerranéen",0.37,IF(D39="Sapin de Nordmann",0.37,IF(D39="Sapin pectiné",0.38,IF(D39="Sapin de Vancouver",0.36,IF(D39="Saules",0.37,IF(D39="Tamaris",0.53,IF(D39="Tilleuls",0.43,IF(D39="Tremble",0.38,IF(D39="Conifères (moyenne)",0.42,IF(D39="Feuillus (moyenne)",0.57,"")))))))))))))))))))))))))))))))))))))))))))))))))))))))))))))))))</f>
        <v>0.36</v>
      </c>
      <c r="F39" s="15"/>
      <c r="G39" s="15"/>
      <c r="H39" s="7"/>
      <c r="I39" s="7"/>
      <c r="J39" s="7"/>
      <c r="K39" s="7"/>
      <c r="L39" s="7"/>
      <c r="M39" s="7"/>
      <c r="N39" s="7"/>
      <c r="O39" s="7"/>
      <c r="P39" s="7"/>
      <c r="Q39" s="7"/>
      <c r="R39" s="7"/>
      <c r="S39" s="7"/>
      <c r="T39" s="7"/>
      <c r="U39" s="7"/>
      <c r="V39" s="7"/>
      <c r="W39" s="7"/>
      <c r="X39" s="7"/>
      <c r="Y39" s="7"/>
      <c r="Z39" s="7"/>
      <c r="AA39" s="7"/>
      <c r="AB39" s="7"/>
      <c r="AC39" s="7"/>
      <c r="AD39" s="7"/>
      <c r="AE39" s="7"/>
      <c r="AF39" s="7"/>
    </row>
    <row r="40" spans="1:54" ht="30" x14ac:dyDescent="0.25">
      <c r="A40" s="3" t="s">
        <v>179</v>
      </c>
      <c r="B40" s="27">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54" x14ac:dyDescent="0.25">
      <c r="A41" s="3" t="s">
        <v>8</v>
      </c>
      <c r="B41" s="27">
        <v>10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54" ht="57.75" x14ac:dyDescent="0.25">
      <c r="A42" s="3" t="s">
        <v>146</v>
      </c>
      <c r="B42" s="27">
        <v>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54" ht="60" x14ac:dyDescent="0.25">
      <c r="A43" s="3" t="s">
        <v>147</v>
      </c>
      <c r="B43" s="27">
        <v>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54" ht="30" x14ac:dyDescent="0.25">
      <c r="A44" s="3" t="s">
        <v>201</v>
      </c>
      <c r="B44" s="27">
        <v>45</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54" ht="75" x14ac:dyDescent="0.25">
      <c r="A45" s="3" t="s">
        <v>148</v>
      </c>
      <c r="B45" s="27">
        <v>70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54" x14ac:dyDescent="0.25">
      <c r="A46" s="181"/>
      <c r="B46" s="182"/>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54" ht="60.75" thickBot="1" x14ac:dyDescent="0.3">
      <c r="A47" s="139" t="s">
        <v>226</v>
      </c>
      <c r="B47" s="103">
        <f>AF35</f>
        <v>188.48696229663216</v>
      </c>
      <c r="C47" s="7"/>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row>
    <row r="48" spans="1:54" ht="45.75" thickBot="1" x14ac:dyDescent="0.3">
      <c r="A48" s="139" t="s">
        <v>227</v>
      </c>
      <c r="B48" s="99">
        <f>(1/50)*SUM(B26:AZ26)</f>
        <v>552.64464923375567</v>
      </c>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row>
    <row r="49" spans="1:32" ht="60.75" thickBot="1" x14ac:dyDescent="0.3">
      <c r="A49" s="139" t="s">
        <v>228</v>
      </c>
      <c r="B49" s="99">
        <f>(1/50)*(SUM(B33:AZ33)*1.65)</f>
        <v>394.94399999999979</v>
      </c>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row>
    <row r="50" spans="1:32" ht="75.75" thickBot="1" x14ac:dyDescent="0.3">
      <c r="A50" s="139" t="s">
        <v>229</v>
      </c>
      <c r="B50" s="103">
        <f>B48-B49</f>
        <v>157.70064923375588</v>
      </c>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row>
  </sheetData>
  <sheetProtection algorithmName="SHA-512" hashValue="+XPYwkwXTRJN9G8uVdZxgARsuguDAuTO3TeB1IFvmKH9gMxtRCij20wYtVPY8H8EJLmrehnBSBMFYU4S+0zZUQ==" saltValue="BShgpoCNBgh8Ywt+MXjABg==" spinCount="100000" sheet="1" objects="1" scenarios="1"/>
  <mergeCells count="4">
    <mergeCell ref="A46:B46"/>
    <mergeCell ref="A9:B9"/>
    <mergeCell ref="A36:B36"/>
    <mergeCell ref="A1:B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F39</xm:sqref>
        </x14:dataValidation>
        <x14:dataValidation type="list" showInputMessage="1" showErrorMessage="1" prompt="Choisir l'essence pour avoir la di pour le scénario de projet">
          <x14:formula1>
            <xm:f>'Listes choix'!$C$2:$C$66</xm:f>
          </x14:formula1>
          <xm:sqref>B39 D39</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60"/>
  <sheetViews>
    <sheetView topLeftCell="A5" zoomScale="57" workbookViewId="0">
      <selection activeCell="AD29" sqref="AD29"/>
    </sheetView>
  </sheetViews>
  <sheetFormatPr baseColWidth="10" defaultRowHeight="15" x14ac:dyDescent="0.25"/>
  <cols>
    <col min="1" max="1" width="36.85546875" style="1" customWidth="1"/>
    <col min="2" max="2" width="19.85546875" customWidth="1"/>
    <col min="4" max="4" width="13.140625" customWidth="1"/>
    <col min="22" max="32" width="12.42578125" bestFit="1" customWidth="1"/>
  </cols>
  <sheetData>
    <row r="1" spans="1:177" x14ac:dyDescent="0.25">
      <c r="D1" s="111"/>
    </row>
    <row r="4" spans="1:177" ht="16.5" thickBot="1" x14ac:dyDescent="0.3">
      <c r="A4" s="19"/>
      <c r="B4" s="7"/>
    </row>
    <row r="5" spans="1:177" ht="32.25" thickBot="1" x14ac:dyDescent="0.3">
      <c r="A5" s="20" t="s">
        <v>181</v>
      </c>
      <c r="B5" s="104">
        <f>(SUM(B47:AF47)/30)*(44/12)</f>
        <v>29.070305284674308</v>
      </c>
    </row>
    <row r="6" spans="1:177" ht="32.25" thickBot="1" x14ac:dyDescent="0.3">
      <c r="A6" s="20" t="s">
        <v>87</v>
      </c>
      <c r="B6" s="104">
        <f>B5*B10</f>
        <v>159.88667906570871</v>
      </c>
    </row>
    <row r="8" spans="1:177" ht="15.75" thickBot="1" x14ac:dyDescent="0.3"/>
    <row r="9" spans="1:177" ht="15.75" thickBot="1" x14ac:dyDescent="0.3">
      <c r="A9" s="183" t="s">
        <v>12</v>
      </c>
      <c r="B9" s="184"/>
    </row>
    <row r="10" spans="1:177" x14ac:dyDescent="0.25">
      <c r="A10" s="2" t="s">
        <v>7</v>
      </c>
      <c r="B10" s="96">
        <v>5.5</v>
      </c>
    </row>
    <row r="11" spans="1:177" ht="15.75" thickBot="1" x14ac:dyDescent="0.3">
      <c r="A11" s="4" t="s">
        <v>15</v>
      </c>
      <c r="B11" s="21">
        <v>30</v>
      </c>
    </row>
    <row r="12" spans="1:177" ht="15.75" thickBot="1" x14ac:dyDescent="0.3"/>
    <row r="13" spans="1:177" s="5" customFormat="1" ht="15.75" x14ac:dyDescent="0.25">
      <c r="A13" s="129" t="s">
        <v>1</v>
      </c>
      <c r="B13" s="130"/>
      <c r="C13" s="130"/>
      <c r="D13" s="130"/>
      <c r="E13" s="130"/>
      <c r="F13" s="130"/>
      <c r="G13" s="130"/>
      <c r="H13" s="130"/>
      <c r="I13" s="130"/>
      <c r="J13" s="130"/>
      <c r="K13" s="130"/>
      <c r="L13" s="130"/>
      <c r="M13" s="130"/>
      <c r="N13" s="130"/>
      <c r="O13" s="130"/>
      <c r="P13" s="130"/>
      <c r="Q13" s="130"/>
      <c r="R13" s="130"/>
      <c r="S13" s="130"/>
      <c r="T13" s="130"/>
      <c r="U13" s="130"/>
      <c r="V13" s="136"/>
      <c r="W13" s="130"/>
      <c r="X13" s="130"/>
      <c r="Y13" s="130"/>
      <c r="Z13" s="130"/>
      <c r="AA13" s="130"/>
      <c r="AB13" s="130"/>
      <c r="AC13" s="130"/>
      <c r="AD13" s="130"/>
      <c r="AE13" s="130"/>
      <c r="AF13" s="142"/>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30" x14ac:dyDescent="0.25">
      <c r="A14" s="3" t="s">
        <v>161</v>
      </c>
      <c r="B14" s="12">
        <v>0</v>
      </c>
      <c r="C14" s="12">
        <v>1</v>
      </c>
      <c r="D14" s="12">
        <v>2</v>
      </c>
      <c r="E14" s="12">
        <v>3</v>
      </c>
      <c r="F14" s="12">
        <v>4</v>
      </c>
      <c r="G14" s="12">
        <v>5</v>
      </c>
      <c r="H14" s="12">
        <v>6</v>
      </c>
      <c r="I14" s="12">
        <v>7</v>
      </c>
      <c r="J14" s="12">
        <v>8</v>
      </c>
      <c r="K14" s="12">
        <v>9</v>
      </c>
      <c r="L14" s="12">
        <v>10</v>
      </c>
      <c r="M14" s="12">
        <v>11</v>
      </c>
      <c r="N14" s="12">
        <v>12</v>
      </c>
      <c r="O14" s="12">
        <v>13</v>
      </c>
      <c r="P14" s="12">
        <v>14</v>
      </c>
      <c r="Q14" s="12">
        <v>15</v>
      </c>
      <c r="R14" s="12">
        <v>16</v>
      </c>
      <c r="S14" s="12">
        <v>17</v>
      </c>
      <c r="T14" s="12">
        <v>18</v>
      </c>
      <c r="U14" s="12">
        <v>19</v>
      </c>
      <c r="V14" s="123">
        <v>20</v>
      </c>
      <c r="W14" s="12">
        <v>21</v>
      </c>
      <c r="X14" s="12">
        <v>22</v>
      </c>
      <c r="Y14" s="12">
        <v>23</v>
      </c>
      <c r="Z14" s="12">
        <v>24</v>
      </c>
      <c r="AA14" s="12">
        <v>25</v>
      </c>
      <c r="AB14" s="12">
        <v>26</v>
      </c>
      <c r="AC14" s="12">
        <v>27</v>
      </c>
      <c r="AD14" s="137">
        <v>28</v>
      </c>
      <c r="AE14" s="12">
        <v>29</v>
      </c>
      <c r="AF14" s="27">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25">
      <c r="A15" s="192" t="s">
        <v>3</v>
      </c>
      <c r="B15" s="19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4"/>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25">
      <c r="A16" s="3" t="s">
        <v>198</v>
      </c>
      <c r="B16" s="12">
        <f>SUM(B17,B20,B23,B26)</f>
        <v>0</v>
      </c>
      <c r="C16" s="31">
        <f>SUM(C17,C20,C23,C26)</f>
        <v>0</v>
      </c>
      <c r="D16" s="12">
        <f t="shared" ref="D16:AE16" si="0">SUM(D17,D20,D23,D26)</f>
        <v>0</v>
      </c>
      <c r="E16" s="12">
        <f t="shared" si="0"/>
        <v>0</v>
      </c>
      <c r="F16" s="31">
        <f>SUM(F17,F20,F23,F26)</f>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0</v>
      </c>
      <c r="Q16" s="12">
        <f t="shared" si="0"/>
        <v>0</v>
      </c>
      <c r="R16" s="12">
        <f t="shared" si="0"/>
        <v>0</v>
      </c>
      <c r="S16" s="12">
        <f t="shared" si="0"/>
        <v>0</v>
      </c>
      <c r="T16" s="12">
        <f t="shared" si="0"/>
        <v>0</v>
      </c>
      <c r="U16" s="12">
        <f t="shared" si="0"/>
        <v>0</v>
      </c>
      <c r="V16" s="150">
        <f t="shared" si="0"/>
        <v>0</v>
      </c>
      <c r="W16" s="150">
        <f t="shared" si="0"/>
        <v>32.440833126261566</v>
      </c>
      <c r="X16" s="150">
        <f t="shared" si="0"/>
        <v>28.628051333055463</v>
      </c>
      <c r="Y16" s="150">
        <f t="shared" si="0"/>
        <v>25.805195908459133</v>
      </c>
      <c r="Z16" s="150">
        <f t="shared" si="0"/>
        <v>23.685227987648862</v>
      </c>
      <c r="AA16" s="150">
        <f t="shared" si="0"/>
        <v>22.065112092790834</v>
      </c>
      <c r="AB16" s="150">
        <f t="shared" si="0"/>
        <v>20.801213762868169</v>
      </c>
      <c r="AC16" s="150">
        <f t="shared" si="0"/>
        <v>19.791903009969271</v>
      </c>
      <c r="AD16" s="150">
        <f t="shared" si="0"/>
        <v>18.965253065366909</v>
      </c>
      <c r="AE16" s="150">
        <f t="shared" si="0"/>
        <v>23.39172928129452</v>
      </c>
      <c r="AF16" s="169">
        <f>SUM(AF17,AF20,AF23,AF26)</f>
        <v>22.273432761438716</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25">
      <c r="A17" s="67" t="s">
        <v>188</v>
      </c>
      <c r="B17" s="12">
        <v>0</v>
      </c>
      <c r="C17" s="31">
        <f>C18+B19</f>
        <v>0</v>
      </c>
      <c r="D17" s="31">
        <f>D18+C19</f>
        <v>0</v>
      </c>
      <c r="E17" s="31">
        <f>E18+D19</f>
        <v>0</v>
      </c>
      <c r="F17" s="31">
        <f>F18+E19</f>
        <v>0</v>
      </c>
      <c r="G17" s="31">
        <f t="shared" ref="G17:AE17" si="1">G18+F19</f>
        <v>0</v>
      </c>
      <c r="H17" s="31">
        <f t="shared" si="1"/>
        <v>0</v>
      </c>
      <c r="I17" s="31">
        <f t="shared" si="1"/>
        <v>0</v>
      </c>
      <c r="J17" s="31">
        <f t="shared" si="1"/>
        <v>0</v>
      </c>
      <c r="K17" s="31">
        <f t="shared" si="1"/>
        <v>0</v>
      </c>
      <c r="L17" s="31">
        <f t="shared" si="1"/>
        <v>0</v>
      </c>
      <c r="M17" s="31">
        <f t="shared" si="1"/>
        <v>0</v>
      </c>
      <c r="N17" s="31">
        <f t="shared" si="1"/>
        <v>0</v>
      </c>
      <c r="O17" s="31">
        <f t="shared" si="1"/>
        <v>0</v>
      </c>
      <c r="P17" s="31">
        <f t="shared" si="1"/>
        <v>0</v>
      </c>
      <c r="Q17" s="31">
        <f t="shared" si="1"/>
        <v>0</v>
      </c>
      <c r="R17" s="31">
        <f t="shared" si="1"/>
        <v>0</v>
      </c>
      <c r="S17" s="31">
        <f t="shared" si="1"/>
        <v>0</v>
      </c>
      <c r="T17" s="31">
        <f t="shared" si="1"/>
        <v>0</v>
      </c>
      <c r="U17" s="31">
        <f t="shared" si="1"/>
        <v>0</v>
      </c>
      <c r="V17" s="150">
        <f>V18+U19</f>
        <v>0</v>
      </c>
      <c r="W17" s="150">
        <f t="shared" si="1"/>
        <v>13.600651373323082</v>
      </c>
      <c r="X17" s="150">
        <f t="shared" si="1"/>
        <v>13.333950895470434</v>
      </c>
      <c r="Y17" s="150">
        <f t="shared" si="1"/>
        <v>13.072480251317247</v>
      </c>
      <c r="Z17" s="150">
        <f t="shared" si="1"/>
        <v>12.816136887014558</v>
      </c>
      <c r="AA17" s="150">
        <f t="shared" si="1"/>
        <v>12.564820259731832</v>
      </c>
      <c r="AB17" s="150">
        <f t="shared" si="1"/>
        <v>12.318431798222113</v>
      </c>
      <c r="AC17" s="150">
        <f t="shared" si="1"/>
        <v>12.076874864160477</v>
      </c>
      <c r="AD17" s="150">
        <f>AD18+AC19</f>
        <v>11.840054714240608</v>
      </c>
      <c r="AE17" s="150">
        <f t="shared" si="1"/>
        <v>15.197417163311624</v>
      </c>
      <c r="AF17" s="169">
        <f>AF18+AE19</f>
        <v>14.899405082248265</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30" x14ac:dyDescent="0.25">
      <c r="A18" s="67" t="s">
        <v>187</v>
      </c>
      <c r="B18" s="12">
        <v>0</v>
      </c>
      <c r="C18" s="31">
        <f>(EXP(-$C$55))*B17</f>
        <v>0</v>
      </c>
      <c r="D18" s="31">
        <f t="shared" ref="D18:AE18" si="2">(EXP(-$C$55))*C17</f>
        <v>0</v>
      </c>
      <c r="E18" s="31">
        <f t="shared" si="2"/>
        <v>0</v>
      </c>
      <c r="F18" s="31">
        <f t="shared" si="2"/>
        <v>0</v>
      </c>
      <c r="G18" s="31">
        <f t="shared" si="2"/>
        <v>0</v>
      </c>
      <c r="H18" s="31">
        <f t="shared" si="2"/>
        <v>0</v>
      </c>
      <c r="I18" s="31">
        <f t="shared" si="2"/>
        <v>0</v>
      </c>
      <c r="J18" s="31">
        <f t="shared" si="2"/>
        <v>0</v>
      </c>
      <c r="K18" s="31">
        <f t="shared" si="2"/>
        <v>0</v>
      </c>
      <c r="L18" s="31">
        <f t="shared" si="2"/>
        <v>0</v>
      </c>
      <c r="M18" s="31">
        <f t="shared" si="2"/>
        <v>0</v>
      </c>
      <c r="N18" s="31">
        <f t="shared" si="2"/>
        <v>0</v>
      </c>
      <c r="O18" s="31">
        <f t="shared" si="2"/>
        <v>0</v>
      </c>
      <c r="P18" s="31">
        <f t="shared" si="2"/>
        <v>0</v>
      </c>
      <c r="Q18" s="31">
        <f t="shared" si="2"/>
        <v>0</v>
      </c>
      <c r="R18" s="31">
        <f t="shared" si="2"/>
        <v>0</v>
      </c>
      <c r="S18" s="31">
        <f t="shared" si="2"/>
        <v>0</v>
      </c>
      <c r="T18" s="31">
        <f t="shared" si="2"/>
        <v>0</v>
      </c>
      <c r="U18" s="31">
        <f t="shared" si="2"/>
        <v>0</v>
      </c>
      <c r="V18" s="150">
        <f>(EXP(-$C$55))*U17</f>
        <v>0</v>
      </c>
      <c r="W18" s="150">
        <f t="shared" si="2"/>
        <v>0</v>
      </c>
      <c r="X18" s="150">
        <f t="shared" si="2"/>
        <v>13.333950895470434</v>
      </c>
      <c r="Y18" s="150">
        <f t="shared" si="2"/>
        <v>13.072480251317247</v>
      </c>
      <c r="Z18" s="150">
        <f t="shared" si="2"/>
        <v>12.816136887014558</v>
      </c>
      <c r="AA18" s="150">
        <f t="shared" si="2"/>
        <v>12.564820259731832</v>
      </c>
      <c r="AB18" s="150">
        <f t="shared" si="2"/>
        <v>12.318431798222113</v>
      </c>
      <c r="AC18" s="150">
        <f t="shared" si="2"/>
        <v>12.076874864160477</v>
      </c>
      <c r="AD18" s="150">
        <f t="shared" si="2"/>
        <v>11.840054714240608</v>
      </c>
      <c r="AE18" s="150">
        <f t="shared" si="2"/>
        <v>11.607878463014639</v>
      </c>
      <c r="AF18" s="169">
        <f>(EXP(-$C$55))*AE17</f>
        <v>14.899405082248265</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5" x14ac:dyDescent="0.25">
      <c r="A19" s="67" t="s">
        <v>186</v>
      </c>
      <c r="B19" s="12">
        <f t="shared" ref="B19:U19" si="3">((1-EXP(-$C$55))/$C$55)*(B29*$C$50*$B$49)</f>
        <v>0</v>
      </c>
      <c r="C19" s="12">
        <f>((1-EXP(-$C$55))/$C$55)*(C29*$C$50*$B$49)</f>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50">
        <f>((1-EXP(-$C$55))/$C$55)*(V29*(($C$50+$E$50)/2)*$B$49)</f>
        <v>13.600651373323082</v>
      </c>
      <c r="W19" s="150">
        <f t="shared" ref="W19:AE19" si="4">((1-EXP(-$C$55))/$C$55)*(W29*(($C$50+$E$50)/2)*$B$49)</f>
        <v>0</v>
      </c>
      <c r="X19" s="150">
        <f t="shared" si="4"/>
        <v>0</v>
      </c>
      <c r="Y19" s="150">
        <f t="shared" si="4"/>
        <v>0</v>
      </c>
      <c r="Z19" s="150">
        <f t="shared" si="4"/>
        <v>0</v>
      </c>
      <c r="AA19" s="150">
        <f t="shared" si="4"/>
        <v>0</v>
      </c>
      <c r="AB19" s="150">
        <f t="shared" si="4"/>
        <v>0</v>
      </c>
      <c r="AC19" s="150">
        <f t="shared" si="4"/>
        <v>0</v>
      </c>
      <c r="AD19" s="150">
        <f>((1-EXP(-$C$55))/$C$55)*(AD29*$E$50*$B$49)</f>
        <v>3.5895387002969845</v>
      </c>
      <c r="AE19" s="150">
        <f t="shared" si="4"/>
        <v>0</v>
      </c>
      <c r="AF19" s="150">
        <f>((1-EXP(-$C$55))/$C$55)*(AF29*(($C$50+$E$50)/2)*$B$49)</f>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ht="30" x14ac:dyDescent="0.25">
      <c r="A20" s="68" t="s">
        <v>189</v>
      </c>
      <c r="B20" s="12">
        <v>0</v>
      </c>
      <c r="C20" s="31">
        <f>C21+B22</f>
        <v>0</v>
      </c>
      <c r="D20" s="31">
        <f>D21+C22</f>
        <v>0</v>
      </c>
      <c r="E20" s="31">
        <f>E21+D22</f>
        <v>0</v>
      </c>
      <c r="F20" s="31">
        <f t="shared" ref="F20:AF20" si="5">F21+E22</f>
        <v>0</v>
      </c>
      <c r="G20" s="31">
        <f t="shared" si="5"/>
        <v>0</v>
      </c>
      <c r="H20" s="31">
        <f t="shared" si="5"/>
        <v>0</v>
      </c>
      <c r="I20" s="31">
        <f t="shared" si="5"/>
        <v>0</v>
      </c>
      <c r="J20" s="31">
        <f t="shared" si="5"/>
        <v>0</v>
      </c>
      <c r="K20" s="31">
        <f t="shared" si="5"/>
        <v>0</v>
      </c>
      <c r="L20" s="31">
        <f t="shared" si="5"/>
        <v>0</v>
      </c>
      <c r="M20" s="31">
        <f t="shared" si="5"/>
        <v>0</v>
      </c>
      <c r="N20" s="31">
        <f t="shared" si="5"/>
        <v>0</v>
      </c>
      <c r="O20" s="31">
        <f t="shared" si="5"/>
        <v>0</v>
      </c>
      <c r="P20" s="31">
        <f t="shared" si="5"/>
        <v>0</v>
      </c>
      <c r="Q20" s="31">
        <f t="shared" si="5"/>
        <v>0</v>
      </c>
      <c r="R20" s="31">
        <f t="shared" si="5"/>
        <v>0</v>
      </c>
      <c r="S20" s="31">
        <f t="shared" si="5"/>
        <v>0</v>
      </c>
      <c r="T20" s="31">
        <f t="shared" si="5"/>
        <v>0</v>
      </c>
      <c r="U20" s="31">
        <f t="shared" si="5"/>
        <v>0</v>
      </c>
      <c r="V20" s="150">
        <f>V21+U22</f>
        <v>0</v>
      </c>
      <c r="W20" s="150">
        <f t="shared" si="5"/>
        <v>7.4264499330744442</v>
      </c>
      <c r="X20" s="150">
        <f t="shared" si="5"/>
        <v>7.2233732691144947</v>
      </c>
      <c r="Y20" s="150">
        <f t="shared" si="5"/>
        <v>7.0258497472098682</v>
      </c>
      <c r="Z20" s="150">
        <f t="shared" si="5"/>
        <v>6.8337275163990343</v>
      </c>
      <c r="AA20" s="150">
        <f t="shared" si="5"/>
        <v>6.6468588780929911</v>
      </c>
      <c r="AB20" s="150">
        <f t="shared" si="5"/>
        <v>6.4651001725284214</v>
      </c>
      <c r="AC20" s="150">
        <f t="shared" si="5"/>
        <v>6.2883116683257896</v>
      </c>
      <c r="AD20" s="150">
        <f t="shared" si="5"/>
        <v>6.1163574550674822</v>
      </c>
      <c r="AE20" s="150">
        <f>AE21+AD22</f>
        <v>5.9491053388134025</v>
      </c>
      <c r="AF20" s="169">
        <f t="shared" si="5"/>
        <v>5.7864267404736971</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30" x14ac:dyDescent="0.25">
      <c r="A21" s="68" t="s">
        <v>190</v>
      </c>
      <c r="B21" s="12">
        <v>0</v>
      </c>
      <c r="C21" s="31">
        <f t="shared" ref="C21:AF21" si="6">(EXP(-$C$56))*B20</f>
        <v>0</v>
      </c>
      <c r="D21" s="31">
        <f t="shared" si="6"/>
        <v>0</v>
      </c>
      <c r="E21" s="31">
        <f t="shared" si="6"/>
        <v>0</v>
      </c>
      <c r="F21" s="31">
        <f t="shared" si="6"/>
        <v>0</v>
      </c>
      <c r="G21" s="31">
        <f t="shared" si="6"/>
        <v>0</v>
      </c>
      <c r="H21" s="31">
        <f t="shared" si="6"/>
        <v>0</v>
      </c>
      <c r="I21" s="31">
        <f t="shared" si="6"/>
        <v>0</v>
      </c>
      <c r="J21" s="31">
        <f t="shared" si="6"/>
        <v>0</v>
      </c>
      <c r="K21" s="31">
        <f t="shared" si="6"/>
        <v>0</v>
      </c>
      <c r="L21" s="31">
        <f t="shared" si="6"/>
        <v>0</v>
      </c>
      <c r="M21" s="31">
        <f t="shared" si="6"/>
        <v>0</v>
      </c>
      <c r="N21" s="31">
        <f t="shared" si="6"/>
        <v>0</v>
      </c>
      <c r="O21" s="31">
        <f t="shared" si="6"/>
        <v>0</v>
      </c>
      <c r="P21" s="31">
        <f t="shared" si="6"/>
        <v>0</v>
      </c>
      <c r="Q21" s="31">
        <f t="shared" si="6"/>
        <v>0</v>
      </c>
      <c r="R21" s="31">
        <f t="shared" si="6"/>
        <v>0</v>
      </c>
      <c r="S21" s="31">
        <f t="shared" si="6"/>
        <v>0</v>
      </c>
      <c r="T21" s="31">
        <f t="shared" si="6"/>
        <v>0</v>
      </c>
      <c r="U21" s="31">
        <f t="shared" si="6"/>
        <v>0</v>
      </c>
      <c r="V21" s="150">
        <f t="shared" si="6"/>
        <v>0</v>
      </c>
      <c r="W21" s="150">
        <f t="shared" si="6"/>
        <v>0</v>
      </c>
      <c r="X21" s="150">
        <f t="shared" si="6"/>
        <v>7.2233732691144947</v>
      </c>
      <c r="Y21" s="150">
        <f t="shared" si="6"/>
        <v>7.0258497472098682</v>
      </c>
      <c r="Z21" s="150">
        <f t="shared" si="6"/>
        <v>6.8337275163990343</v>
      </c>
      <c r="AA21" s="150">
        <f t="shared" si="6"/>
        <v>6.6468588780929911</v>
      </c>
      <c r="AB21" s="150">
        <f t="shared" si="6"/>
        <v>6.4651001725284214</v>
      </c>
      <c r="AC21" s="150">
        <f t="shared" si="6"/>
        <v>6.2883116683257896</v>
      </c>
      <c r="AD21" s="150">
        <f t="shared" si="6"/>
        <v>6.1163574550674822</v>
      </c>
      <c r="AE21" s="150">
        <f t="shared" si="6"/>
        <v>5.9491053388134025</v>
      </c>
      <c r="AF21" s="169">
        <f t="shared" si="6"/>
        <v>5.7864267404736971</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5" x14ac:dyDescent="0.25">
      <c r="A22" s="68" t="s">
        <v>191</v>
      </c>
      <c r="B22" s="12">
        <f t="shared" ref="B22:AF22" si="7">((1-EXP(-$C$56))/$C$56)*(B30*$C$50*$B$49)</f>
        <v>0</v>
      </c>
      <c r="C22" s="12">
        <f>((1-EXP(-$C$56))/$C$56)*(C30*$C$50*$B$49)</f>
        <v>0</v>
      </c>
      <c r="D22" s="12">
        <f t="shared" si="7"/>
        <v>0</v>
      </c>
      <c r="E22" s="12">
        <f t="shared" si="7"/>
        <v>0</v>
      </c>
      <c r="F22" s="12">
        <f t="shared" si="7"/>
        <v>0</v>
      </c>
      <c r="G22" s="12">
        <f t="shared" si="7"/>
        <v>0</v>
      </c>
      <c r="H22" s="12">
        <f t="shared" si="7"/>
        <v>0</v>
      </c>
      <c r="I22" s="12">
        <f t="shared" si="7"/>
        <v>0</v>
      </c>
      <c r="J22" s="12">
        <f t="shared" si="7"/>
        <v>0</v>
      </c>
      <c r="K22" s="12">
        <f t="shared" si="7"/>
        <v>0</v>
      </c>
      <c r="L22" s="12">
        <f t="shared" si="7"/>
        <v>0</v>
      </c>
      <c r="M22" s="12">
        <f t="shared" si="7"/>
        <v>0</v>
      </c>
      <c r="N22" s="12">
        <f t="shared" si="7"/>
        <v>0</v>
      </c>
      <c r="O22" s="12">
        <f t="shared" si="7"/>
        <v>0</v>
      </c>
      <c r="P22" s="12">
        <f t="shared" si="7"/>
        <v>0</v>
      </c>
      <c r="Q22" s="12">
        <f t="shared" si="7"/>
        <v>0</v>
      </c>
      <c r="R22" s="12">
        <f t="shared" si="7"/>
        <v>0</v>
      </c>
      <c r="S22" s="12">
        <f t="shared" si="7"/>
        <v>0</v>
      </c>
      <c r="T22" s="12">
        <f t="shared" si="7"/>
        <v>0</v>
      </c>
      <c r="U22" s="12">
        <f t="shared" si="7"/>
        <v>0</v>
      </c>
      <c r="V22" s="150">
        <f>((1-EXP(-$C$56))/$C$56)*(V30*$C$50*$B$49)</f>
        <v>7.4264499330744442</v>
      </c>
      <c r="W22" s="150">
        <f t="shared" si="7"/>
        <v>0</v>
      </c>
      <c r="X22" s="150">
        <f t="shared" si="7"/>
        <v>0</v>
      </c>
      <c r="Y22" s="150">
        <f t="shared" si="7"/>
        <v>0</v>
      </c>
      <c r="Z22" s="150">
        <f t="shared" si="7"/>
        <v>0</v>
      </c>
      <c r="AA22" s="150">
        <f t="shared" si="7"/>
        <v>0</v>
      </c>
      <c r="AB22" s="150">
        <f t="shared" si="7"/>
        <v>0</v>
      </c>
      <c r="AC22" s="150">
        <f t="shared" si="7"/>
        <v>0</v>
      </c>
      <c r="AD22" s="150">
        <f t="shared" si="7"/>
        <v>0</v>
      </c>
      <c r="AE22" s="150">
        <f t="shared" si="7"/>
        <v>0</v>
      </c>
      <c r="AF22" s="169">
        <f t="shared" si="7"/>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25">
      <c r="A23" s="69" t="s">
        <v>192</v>
      </c>
      <c r="B23" s="12">
        <v>0</v>
      </c>
      <c r="C23" s="31">
        <f>C24+B25</f>
        <v>0</v>
      </c>
      <c r="D23" s="31">
        <f>D24+C25</f>
        <v>0</v>
      </c>
      <c r="E23" s="31">
        <f t="shared" ref="E23:AF23" si="8">E24+D25</f>
        <v>0</v>
      </c>
      <c r="F23" s="31">
        <f>F24+E25</f>
        <v>0</v>
      </c>
      <c r="G23" s="31">
        <f t="shared" si="8"/>
        <v>0</v>
      </c>
      <c r="H23" s="31">
        <f t="shared" si="8"/>
        <v>0</v>
      </c>
      <c r="I23" s="31">
        <f t="shared" si="8"/>
        <v>0</v>
      </c>
      <c r="J23" s="31">
        <f t="shared" si="8"/>
        <v>0</v>
      </c>
      <c r="K23" s="31">
        <f t="shared" si="8"/>
        <v>0</v>
      </c>
      <c r="L23" s="31">
        <f t="shared" si="8"/>
        <v>0</v>
      </c>
      <c r="M23" s="31">
        <f>M24+L25</f>
        <v>0</v>
      </c>
      <c r="N23" s="31">
        <f t="shared" si="8"/>
        <v>0</v>
      </c>
      <c r="O23" s="31">
        <f t="shared" si="8"/>
        <v>0</v>
      </c>
      <c r="P23" s="31">
        <f t="shared" si="8"/>
        <v>0</v>
      </c>
      <c r="Q23" s="31">
        <f t="shared" si="8"/>
        <v>0</v>
      </c>
      <c r="R23" s="31">
        <f t="shared" si="8"/>
        <v>0</v>
      </c>
      <c r="S23" s="31">
        <f t="shared" si="8"/>
        <v>0</v>
      </c>
      <c r="T23" s="31">
        <f t="shared" si="8"/>
        <v>0</v>
      </c>
      <c r="U23" s="31">
        <f t="shared" si="8"/>
        <v>0</v>
      </c>
      <c r="V23" s="150">
        <f t="shared" si="8"/>
        <v>0</v>
      </c>
      <c r="W23" s="150">
        <f>W24+V25</f>
        <v>11.41373181986404</v>
      </c>
      <c r="X23" s="150">
        <f t="shared" si="8"/>
        <v>8.0707271684705368</v>
      </c>
      <c r="Y23" s="150">
        <f t="shared" si="8"/>
        <v>5.7068659099320209</v>
      </c>
      <c r="Z23" s="150">
        <f t="shared" si="8"/>
        <v>4.0353635842352693</v>
      </c>
      <c r="AA23" s="150">
        <f t="shared" si="8"/>
        <v>2.8534329549660109</v>
      </c>
      <c r="AB23" s="150">
        <f t="shared" si="8"/>
        <v>2.0176817921176351</v>
      </c>
      <c r="AC23" s="150">
        <f t="shared" si="8"/>
        <v>1.4267164774830057</v>
      </c>
      <c r="AD23" s="150">
        <f t="shared" si="8"/>
        <v>1.0088408960588175</v>
      </c>
      <c r="AE23" s="150">
        <f t="shared" si="8"/>
        <v>2.2452067791694916</v>
      </c>
      <c r="AF23" s="169">
        <f t="shared" si="8"/>
        <v>1.5876009387167549</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30" x14ac:dyDescent="0.25">
      <c r="A24" s="69" t="s">
        <v>193</v>
      </c>
      <c r="B24" s="12">
        <v>0</v>
      </c>
      <c r="C24" s="31">
        <f t="shared" ref="C24:AF24" si="9">(EXP(-$C$57))*B23</f>
        <v>0</v>
      </c>
      <c r="D24" s="31">
        <f t="shared" si="9"/>
        <v>0</v>
      </c>
      <c r="E24" s="31">
        <f t="shared" si="9"/>
        <v>0</v>
      </c>
      <c r="F24" s="31">
        <f t="shared" si="9"/>
        <v>0</v>
      </c>
      <c r="G24" s="31">
        <f t="shared" si="9"/>
        <v>0</v>
      </c>
      <c r="H24" s="31">
        <f t="shared" si="9"/>
        <v>0</v>
      </c>
      <c r="I24" s="31">
        <f t="shared" si="9"/>
        <v>0</v>
      </c>
      <c r="J24" s="31">
        <f t="shared" si="9"/>
        <v>0</v>
      </c>
      <c r="K24" s="31">
        <f t="shared" si="9"/>
        <v>0</v>
      </c>
      <c r="L24" s="31">
        <f t="shared" si="9"/>
        <v>0</v>
      </c>
      <c r="M24" s="31">
        <f t="shared" si="9"/>
        <v>0</v>
      </c>
      <c r="N24" s="31">
        <f t="shared" si="9"/>
        <v>0</v>
      </c>
      <c r="O24" s="31">
        <f t="shared" si="9"/>
        <v>0</v>
      </c>
      <c r="P24" s="31">
        <f t="shared" si="9"/>
        <v>0</v>
      </c>
      <c r="Q24" s="31">
        <f t="shared" si="9"/>
        <v>0</v>
      </c>
      <c r="R24" s="31">
        <f t="shared" si="9"/>
        <v>0</v>
      </c>
      <c r="S24" s="31">
        <f t="shared" si="9"/>
        <v>0</v>
      </c>
      <c r="T24" s="31">
        <f t="shared" si="9"/>
        <v>0</v>
      </c>
      <c r="U24" s="31">
        <f t="shared" si="9"/>
        <v>0</v>
      </c>
      <c r="V24" s="150">
        <f>(EXP(-$C$57))*U23</f>
        <v>0</v>
      </c>
      <c r="W24" s="150">
        <f t="shared" si="9"/>
        <v>0</v>
      </c>
      <c r="X24" s="150">
        <f>(EXP(-$C$57))*W23</f>
        <v>8.0707271684705368</v>
      </c>
      <c r="Y24" s="150">
        <f t="shared" si="9"/>
        <v>5.7068659099320209</v>
      </c>
      <c r="Z24" s="150">
        <f t="shared" si="9"/>
        <v>4.0353635842352693</v>
      </c>
      <c r="AA24" s="150">
        <f t="shared" si="9"/>
        <v>2.8534329549660109</v>
      </c>
      <c r="AB24" s="150">
        <f t="shared" si="9"/>
        <v>2.0176817921176351</v>
      </c>
      <c r="AC24" s="150">
        <f t="shared" si="9"/>
        <v>1.4267164774830057</v>
      </c>
      <c r="AD24" s="150">
        <f t="shared" si="9"/>
        <v>1.0088408960588175</v>
      </c>
      <c r="AE24" s="150">
        <f t="shared" si="9"/>
        <v>0.71335823874150284</v>
      </c>
      <c r="AF24" s="169">
        <f t="shared" si="9"/>
        <v>1.5876009387167549</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5" x14ac:dyDescent="0.25">
      <c r="A25" s="69" t="s">
        <v>194</v>
      </c>
      <c r="B25" s="12">
        <f t="shared" ref="B25:U25" si="10">((1-EXP(-$C$57))/$C$57)*(B31*$C$50*$B$49)</f>
        <v>0</v>
      </c>
      <c r="C25" s="12">
        <f t="shared" si="10"/>
        <v>0</v>
      </c>
      <c r="D25" s="12">
        <f t="shared" si="10"/>
        <v>0</v>
      </c>
      <c r="E25" s="12">
        <f t="shared" si="10"/>
        <v>0</v>
      </c>
      <c r="F25" s="12">
        <f t="shared" si="10"/>
        <v>0</v>
      </c>
      <c r="G25" s="12">
        <f t="shared" si="10"/>
        <v>0</v>
      </c>
      <c r="H25" s="12">
        <f t="shared" si="10"/>
        <v>0</v>
      </c>
      <c r="I25" s="12">
        <f t="shared" si="10"/>
        <v>0</v>
      </c>
      <c r="J25" s="12">
        <f t="shared" si="10"/>
        <v>0</v>
      </c>
      <c r="K25" s="12">
        <f t="shared" si="10"/>
        <v>0</v>
      </c>
      <c r="L25" s="12">
        <f t="shared" si="10"/>
        <v>0</v>
      </c>
      <c r="M25" s="12">
        <f t="shared" si="10"/>
        <v>0</v>
      </c>
      <c r="N25" s="12">
        <f t="shared" si="10"/>
        <v>0</v>
      </c>
      <c r="O25" s="12">
        <f t="shared" si="10"/>
        <v>0</v>
      </c>
      <c r="P25" s="12">
        <f t="shared" si="10"/>
        <v>0</v>
      </c>
      <c r="Q25" s="12">
        <f t="shared" si="10"/>
        <v>0</v>
      </c>
      <c r="R25" s="12">
        <f t="shared" si="10"/>
        <v>0</v>
      </c>
      <c r="S25" s="12">
        <f t="shared" si="10"/>
        <v>0</v>
      </c>
      <c r="T25" s="12">
        <f t="shared" si="10"/>
        <v>0</v>
      </c>
      <c r="U25" s="12">
        <f t="shared" si="10"/>
        <v>0</v>
      </c>
      <c r="V25" s="150">
        <f>((1-EXP(-$C$57))/$C$57)*(V31*(($C$50+$E$50)/2)*$B$49)</f>
        <v>11.41373181986404</v>
      </c>
      <c r="W25" s="150">
        <f t="shared" ref="W25:AF25" si="11">((1-EXP(-$C$57))/$C$57)*(W31*(($C$50+$E$50)/2)*$B$49)</f>
        <v>0</v>
      </c>
      <c r="X25" s="150">
        <f t="shared" si="11"/>
        <v>0</v>
      </c>
      <c r="Y25" s="150">
        <f t="shared" si="11"/>
        <v>0</v>
      </c>
      <c r="Z25" s="150">
        <f t="shared" si="11"/>
        <v>0</v>
      </c>
      <c r="AA25" s="150">
        <f t="shared" si="11"/>
        <v>0</v>
      </c>
      <c r="AB25" s="150">
        <f t="shared" si="11"/>
        <v>0</v>
      </c>
      <c r="AC25" s="150">
        <f t="shared" si="11"/>
        <v>0</v>
      </c>
      <c r="AD25" s="150">
        <f>((1-EXP(-$C$57))/$C$57)*(AD31*$E$50*$B$49)</f>
        <v>1.5318485404279887</v>
      </c>
      <c r="AE25" s="150">
        <f t="shared" si="11"/>
        <v>0</v>
      </c>
      <c r="AF25" s="150">
        <f t="shared" si="11"/>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x14ac:dyDescent="0.25">
      <c r="A26" s="95" t="s">
        <v>195</v>
      </c>
      <c r="B26" s="12">
        <v>0</v>
      </c>
      <c r="C26" s="31">
        <f>C27+B28</f>
        <v>0</v>
      </c>
      <c r="D26" s="31">
        <f>D27+C28</f>
        <v>0</v>
      </c>
      <c r="E26" s="31">
        <f t="shared" ref="E26:AF26" si="12">E27+D28</f>
        <v>0</v>
      </c>
      <c r="F26" s="31">
        <f t="shared" si="12"/>
        <v>0</v>
      </c>
      <c r="G26" s="31">
        <f t="shared" si="12"/>
        <v>0</v>
      </c>
      <c r="H26" s="31">
        <f t="shared" si="12"/>
        <v>0</v>
      </c>
      <c r="I26" s="31">
        <f t="shared" si="12"/>
        <v>0</v>
      </c>
      <c r="J26" s="31">
        <f t="shared" si="12"/>
        <v>0</v>
      </c>
      <c r="K26" s="31">
        <f>K27+J28</f>
        <v>0</v>
      </c>
      <c r="L26" s="31">
        <f t="shared" si="12"/>
        <v>0</v>
      </c>
      <c r="M26" s="31">
        <f t="shared" si="12"/>
        <v>0</v>
      </c>
      <c r="N26" s="31">
        <f t="shared" si="12"/>
        <v>0</v>
      </c>
      <c r="O26" s="31">
        <f t="shared" si="12"/>
        <v>0</v>
      </c>
      <c r="P26" s="31">
        <f t="shared" si="12"/>
        <v>0</v>
      </c>
      <c r="Q26" s="31">
        <f t="shared" si="12"/>
        <v>0</v>
      </c>
      <c r="R26" s="31">
        <f t="shared" si="12"/>
        <v>0</v>
      </c>
      <c r="S26" s="31">
        <f t="shared" si="12"/>
        <v>0</v>
      </c>
      <c r="T26" s="31">
        <f t="shared" si="12"/>
        <v>0</v>
      </c>
      <c r="U26" s="31">
        <f t="shared" si="12"/>
        <v>0</v>
      </c>
      <c r="V26" s="150">
        <f t="shared" si="12"/>
        <v>0</v>
      </c>
      <c r="W26" s="150">
        <f t="shared" si="12"/>
        <v>0</v>
      </c>
      <c r="X26" s="150">
        <f t="shared" si="12"/>
        <v>0</v>
      </c>
      <c r="Y26" s="150">
        <f t="shared" si="12"/>
        <v>0</v>
      </c>
      <c r="Z26" s="150">
        <f t="shared" si="12"/>
        <v>0</v>
      </c>
      <c r="AA26" s="150">
        <f t="shared" si="12"/>
        <v>0</v>
      </c>
      <c r="AB26" s="150">
        <f t="shared" si="12"/>
        <v>0</v>
      </c>
      <c r="AC26" s="150">
        <f t="shared" si="12"/>
        <v>0</v>
      </c>
      <c r="AD26" s="150">
        <f t="shared" si="12"/>
        <v>0</v>
      </c>
      <c r="AE26" s="150">
        <f t="shared" si="12"/>
        <v>0</v>
      </c>
      <c r="AF26" s="169">
        <f t="shared" si="12"/>
        <v>0</v>
      </c>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0" x14ac:dyDescent="0.25">
      <c r="A27" s="95" t="s">
        <v>196</v>
      </c>
      <c r="B27" s="12">
        <v>0</v>
      </c>
      <c r="C27" s="31">
        <f t="shared" ref="C27:AF27" si="13">(EXP(-$C$58))*B26</f>
        <v>0</v>
      </c>
      <c r="D27" s="31">
        <f t="shared" si="13"/>
        <v>0</v>
      </c>
      <c r="E27" s="31">
        <f t="shared" si="13"/>
        <v>0</v>
      </c>
      <c r="F27" s="31">
        <f t="shared" si="13"/>
        <v>0</v>
      </c>
      <c r="G27" s="31">
        <f t="shared" si="13"/>
        <v>0</v>
      </c>
      <c r="H27" s="31">
        <f t="shared" si="13"/>
        <v>0</v>
      </c>
      <c r="I27" s="31">
        <f t="shared" si="13"/>
        <v>0</v>
      </c>
      <c r="J27" s="31">
        <f t="shared" si="13"/>
        <v>0</v>
      </c>
      <c r="K27" s="31">
        <f t="shared" si="13"/>
        <v>0</v>
      </c>
      <c r="L27" s="31">
        <f t="shared" si="13"/>
        <v>0</v>
      </c>
      <c r="M27" s="31">
        <f t="shared" si="13"/>
        <v>0</v>
      </c>
      <c r="N27" s="31">
        <f t="shared" si="13"/>
        <v>0</v>
      </c>
      <c r="O27" s="31">
        <f t="shared" si="13"/>
        <v>0</v>
      </c>
      <c r="P27" s="31">
        <f t="shared" si="13"/>
        <v>0</v>
      </c>
      <c r="Q27" s="31">
        <f t="shared" si="13"/>
        <v>0</v>
      </c>
      <c r="R27" s="31">
        <f t="shared" si="13"/>
        <v>0</v>
      </c>
      <c r="S27" s="31">
        <f t="shared" si="13"/>
        <v>0</v>
      </c>
      <c r="T27" s="31">
        <f t="shared" si="13"/>
        <v>0</v>
      </c>
      <c r="U27" s="31">
        <f t="shared" si="13"/>
        <v>0</v>
      </c>
      <c r="V27" s="150">
        <f t="shared" si="13"/>
        <v>0</v>
      </c>
      <c r="W27" s="150">
        <f t="shared" si="13"/>
        <v>0</v>
      </c>
      <c r="X27" s="150">
        <f t="shared" si="13"/>
        <v>0</v>
      </c>
      <c r="Y27" s="150">
        <f t="shared" si="13"/>
        <v>0</v>
      </c>
      <c r="Z27" s="150">
        <f t="shared" si="13"/>
        <v>0</v>
      </c>
      <c r="AA27" s="150">
        <f t="shared" si="13"/>
        <v>0</v>
      </c>
      <c r="AB27" s="150">
        <f t="shared" si="13"/>
        <v>0</v>
      </c>
      <c r="AC27" s="150">
        <f t="shared" si="13"/>
        <v>0</v>
      </c>
      <c r="AD27" s="150">
        <f t="shared" si="13"/>
        <v>0</v>
      </c>
      <c r="AE27" s="150">
        <f t="shared" si="13"/>
        <v>0</v>
      </c>
      <c r="AF27" s="169">
        <f t="shared" si="13"/>
        <v>0</v>
      </c>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45" x14ac:dyDescent="0.25">
      <c r="A28" s="95" t="s">
        <v>197</v>
      </c>
      <c r="B28" s="12">
        <f t="shared" ref="B28:AF28" si="14">((1-EXP(-$C$58))/$C$58)*(B32*$C$50*$B$49)</f>
        <v>0</v>
      </c>
      <c r="C28" s="12">
        <f t="shared" si="14"/>
        <v>0</v>
      </c>
      <c r="D28" s="12">
        <f t="shared" si="14"/>
        <v>0</v>
      </c>
      <c r="E28" s="12">
        <f t="shared" si="14"/>
        <v>0</v>
      </c>
      <c r="F28" s="12">
        <f t="shared" si="14"/>
        <v>0</v>
      </c>
      <c r="G28" s="12">
        <f t="shared" si="14"/>
        <v>0</v>
      </c>
      <c r="H28" s="12">
        <f t="shared" si="14"/>
        <v>0</v>
      </c>
      <c r="I28" s="12">
        <f t="shared" si="14"/>
        <v>0</v>
      </c>
      <c r="J28" s="12">
        <f t="shared" si="14"/>
        <v>0</v>
      </c>
      <c r="K28" s="12">
        <f t="shared" si="14"/>
        <v>0</v>
      </c>
      <c r="L28" s="12">
        <f t="shared" si="14"/>
        <v>0</v>
      </c>
      <c r="M28" s="12">
        <f t="shared" si="14"/>
        <v>0</v>
      </c>
      <c r="N28" s="12">
        <f t="shared" si="14"/>
        <v>0</v>
      </c>
      <c r="O28" s="12">
        <f t="shared" si="14"/>
        <v>0</v>
      </c>
      <c r="P28" s="12">
        <f t="shared" si="14"/>
        <v>0</v>
      </c>
      <c r="Q28" s="12">
        <f t="shared" si="14"/>
        <v>0</v>
      </c>
      <c r="R28" s="12">
        <f t="shared" si="14"/>
        <v>0</v>
      </c>
      <c r="S28" s="12">
        <f t="shared" si="14"/>
        <v>0</v>
      </c>
      <c r="T28" s="12">
        <f t="shared" si="14"/>
        <v>0</v>
      </c>
      <c r="U28" s="12">
        <f t="shared" si="14"/>
        <v>0</v>
      </c>
      <c r="V28" s="150">
        <f t="shared" si="14"/>
        <v>0</v>
      </c>
      <c r="W28" s="150">
        <f t="shared" si="14"/>
        <v>0</v>
      </c>
      <c r="X28" s="150">
        <f t="shared" si="14"/>
        <v>0</v>
      </c>
      <c r="Y28" s="150">
        <f t="shared" si="14"/>
        <v>0</v>
      </c>
      <c r="Z28" s="150">
        <f t="shared" si="14"/>
        <v>0</v>
      </c>
      <c r="AA28" s="150">
        <f t="shared" si="14"/>
        <v>0</v>
      </c>
      <c r="AB28" s="150">
        <f t="shared" si="14"/>
        <v>0</v>
      </c>
      <c r="AC28" s="150">
        <f t="shared" si="14"/>
        <v>0</v>
      </c>
      <c r="AD28" s="150">
        <f t="shared" si="14"/>
        <v>0</v>
      </c>
      <c r="AE28" s="150">
        <f t="shared" si="14"/>
        <v>0</v>
      </c>
      <c r="AF28" s="169">
        <f t="shared" si="14"/>
        <v>0</v>
      </c>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32.1" customHeight="1" x14ac:dyDescent="0.25">
      <c r="A29" s="18" t="s">
        <v>203</v>
      </c>
      <c r="B29" s="17"/>
      <c r="C29" s="17"/>
      <c r="D29" s="17"/>
      <c r="E29" s="17"/>
      <c r="F29" s="17"/>
      <c r="G29" s="17"/>
      <c r="H29" s="17"/>
      <c r="I29" s="17"/>
      <c r="J29" s="17"/>
      <c r="K29" s="17"/>
      <c r="L29" s="17"/>
      <c r="M29" s="17"/>
      <c r="N29" s="17"/>
      <c r="O29" s="17"/>
      <c r="P29" s="17"/>
      <c r="Q29" s="17"/>
      <c r="R29" s="17"/>
      <c r="S29" s="17"/>
      <c r="T29" s="17"/>
      <c r="U29" s="17"/>
      <c r="V29" s="170">
        <f>((0.55*201.3)/2)+((0.6*87)/2)</f>
        <v>81.45750000000001</v>
      </c>
      <c r="W29" s="170"/>
      <c r="X29" s="170"/>
      <c r="Y29" s="170"/>
      <c r="Z29" s="170"/>
      <c r="AA29" s="170"/>
      <c r="AB29" s="170"/>
      <c r="AC29" s="170"/>
      <c r="AD29" s="170">
        <f>(0.8*53)/2</f>
        <v>21.200000000000003</v>
      </c>
      <c r="AE29" s="170"/>
      <c r="AF29" s="171"/>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row>
    <row r="30" spans="1:177" ht="32.1" customHeight="1" x14ac:dyDescent="0.25">
      <c r="A30" s="18" t="s">
        <v>204</v>
      </c>
      <c r="B30" s="17"/>
      <c r="C30" s="17"/>
      <c r="D30" s="17"/>
      <c r="E30" s="17"/>
      <c r="F30" s="17"/>
      <c r="G30" s="17"/>
      <c r="H30" s="17"/>
      <c r="I30" s="17"/>
      <c r="J30" s="17"/>
      <c r="K30" s="17"/>
      <c r="L30" s="17"/>
      <c r="M30" s="17"/>
      <c r="N30" s="17"/>
      <c r="O30" s="17"/>
      <c r="P30" s="17"/>
      <c r="Q30" s="17"/>
      <c r="R30" s="17"/>
      <c r="S30" s="17"/>
      <c r="T30" s="17"/>
      <c r="U30" s="17"/>
      <c r="V30" s="170">
        <f>0.225*201.3</f>
        <v>45.292500000000004</v>
      </c>
      <c r="W30" s="170"/>
      <c r="X30" s="170"/>
      <c r="Y30" s="170"/>
      <c r="Z30" s="170"/>
      <c r="AA30" s="170"/>
      <c r="AB30" s="170"/>
      <c r="AC30" s="170"/>
      <c r="AD30" s="170"/>
      <c r="AE30" s="170"/>
      <c r="AF30" s="171"/>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row>
    <row r="31" spans="1:177" x14ac:dyDescent="0.25">
      <c r="A31" s="18" t="s">
        <v>205</v>
      </c>
      <c r="B31" s="17"/>
      <c r="C31" s="17"/>
      <c r="D31" s="17"/>
      <c r="E31" s="17"/>
      <c r="F31" s="17"/>
      <c r="G31" s="17"/>
      <c r="H31" s="17"/>
      <c r="I31" s="17"/>
      <c r="J31" s="17"/>
      <c r="K31" s="17"/>
      <c r="L31" s="17"/>
      <c r="M31" s="17"/>
      <c r="N31" s="17"/>
      <c r="O31" s="17"/>
      <c r="P31" s="17"/>
      <c r="Q31" s="17"/>
      <c r="R31" s="17"/>
      <c r="S31" s="17"/>
      <c r="T31" s="17"/>
      <c r="U31" s="17"/>
      <c r="V31" s="170">
        <f>(0.225*201.3)+(0.4*87)</f>
        <v>80.092500000000001</v>
      </c>
      <c r="W31" s="170"/>
      <c r="X31" s="170"/>
      <c r="Y31" s="170"/>
      <c r="Z31" s="170"/>
      <c r="AA31" s="170"/>
      <c r="AB31" s="170"/>
      <c r="AC31" s="170"/>
      <c r="AD31" s="170">
        <f>0.2*53</f>
        <v>10.600000000000001</v>
      </c>
      <c r="AE31" s="170"/>
      <c r="AF31" s="171"/>
    </row>
    <row r="32" spans="1:177" x14ac:dyDescent="0.25">
      <c r="A32" s="18" t="s">
        <v>185</v>
      </c>
      <c r="B32" s="17"/>
      <c r="C32" s="17"/>
      <c r="D32" s="17"/>
      <c r="E32" s="17"/>
      <c r="F32" s="17"/>
      <c r="G32" s="17"/>
      <c r="H32" s="17"/>
      <c r="I32" s="17"/>
      <c r="J32" s="17"/>
      <c r="K32" s="17"/>
      <c r="L32" s="17"/>
      <c r="M32" s="17"/>
      <c r="N32" s="17"/>
      <c r="O32" s="17"/>
      <c r="P32" s="17"/>
      <c r="Q32" s="17"/>
      <c r="R32" s="17"/>
      <c r="S32" s="17"/>
      <c r="T32" s="17"/>
      <c r="U32" s="17"/>
      <c r="V32" s="170"/>
      <c r="W32" s="170"/>
      <c r="X32" s="170"/>
      <c r="Y32" s="170"/>
      <c r="Z32" s="170"/>
      <c r="AA32" s="170"/>
      <c r="AB32" s="170"/>
      <c r="AC32" s="170"/>
      <c r="AD32" s="170"/>
      <c r="AE32" s="170"/>
      <c r="AF32" s="171"/>
    </row>
    <row r="33" spans="1:32" x14ac:dyDescent="0.25">
      <c r="A33" s="195" t="s">
        <v>2</v>
      </c>
      <c r="B33" s="196"/>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7"/>
    </row>
    <row r="34" spans="1:32" x14ac:dyDescent="0.25">
      <c r="A34" s="3" t="s">
        <v>199</v>
      </c>
      <c r="B34" s="12">
        <f>SUM(B35,B38,B41)</f>
        <v>0</v>
      </c>
      <c r="C34" s="31">
        <f>SUM(C35,C38,C41)</f>
        <v>0</v>
      </c>
      <c r="D34" s="12">
        <f t="shared" ref="D34:AE34" si="15">SUM(D35,D38,D41)</f>
        <v>0</v>
      </c>
      <c r="E34" s="12">
        <f t="shared" si="15"/>
        <v>0</v>
      </c>
      <c r="F34" s="12">
        <f t="shared" si="15"/>
        <v>0</v>
      </c>
      <c r="G34" s="12">
        <f t="shared" si="15"/>
        <v>0</v>
      </c>
      <c r="H34" s="12">
        <f t="shared" si="15"/>
        <v>0</v>
      </c>
      <c r="I34" s="12">
        <f t="shared" si="15"/>
        <v>0</v>
      </c>
      <c r="J34" s="12">
        <f t="shared" si="15"/>
        <v>0</v>
      </c>
      <c r="K34" s="12">
        <f t="shared" si="15"/>
        <v>0</v>
      </c>
      <c r="L34" s="12">
        <f t="shared" si="15"/>
        <v>0</v>
      </c>
      <c r="M34" s="12">
        <f t="shared" si="15"/>
        <v>0</v>
      </c>
      <c r="N34" s="12">
        <f t="shared" si="15"/>
        <v>0</v>
      </c>
      <c r="O34" s="12">
        <f t="shared" si="15"/>
        <v>0</v>
      </c>
      <c r="P34" s="12">
        <f t="shared" si="15"/>
        <v>0</v>
      </c>
      <c r="Q34" s="12">
        <f t="shared" si="15"/>
        <v>0</v>
      </c>
      <c r="R34" s="12">
        <f t="shared" si="15"/>
        <v>0</v>
      </c>
      <c r="S34" s="12">
        <f t="shared" si="15"/>
        <v>0</v>
      </c>
      <c r="T34" s="12">
        <f t="shared" si="15"/>
        <v>0</v>
      </c>
      <c r="U34" s="12">
        <f t="shared" si="15"/>
        <v>0</v>
      </c>
      <c r="V34" s="12">
        <f t="shared" si="15"/>
        <v>0</v>
      </c>
      <c r="W34" s="12">
        <f t="shared" si="15"/>
        <v>0</v>
      </c>
      <c r="X34" s="12">
        <f t="shared" si="15"/>
        <v>0</v>
      </c>
      <c r="Y34" s="12">
        <f t="shared" si="15"/>
        <v>0</v>
      </c>
      <c r="Z34" s="12">
        <f t="shared" si="15"/>
        <v>0</v>
      </c>
      <c r="AA34" s="12">
        <f t="shared" si="15"/>
        <v>0</v>
      </c>
      <c r="AB34" s="12">
        <f t="shared" si="15"/>
        <v>0</v>
      </c>
      <c r="AC34" s="12">
        <f t="shared" si="15"/>
        <v>0</v>
      </c>
      <c r="AD34" s="12">
        <f t="shared" si="15"/>
        <v>0</v>
      </c>
      <c r="AE34" s="12">
        <f t="shared" si="15"/>
        <v>0</v>
      </c>
      <c r="AF34" s="31">
        <f>SUM(AF35,AF38,AF41)</f>
        <v>0</v>
      </c>
    </row>
    <row r="35" spans="1:32" ht="30" x14ac:dyDescent="0.25">
      <c r="A35" s="68" t="s">
        <v>189</v>
      </c>
      <c r="B35" s="12">
        <v>0</v>
      </c>
      <c r="C35" s="31">
        <f>C36+B37</f>
        <v>0</v>
      </c>
      <c r="D35" s="31">
        <f>D36+C37</f>
        <v>0</v>
      </c>
      <c r="E35" s="31">
        <f t="shared" ref="E35:AE35" si="16">E36+D37</f>
        <v>0</v>
      </c>
      <c r="F35" s="31">
        <f t="shared" si="16"/>
        <v>0</v>
      </c>
      <c r="G35" s="31">
        <f t="shared" si="16"/>
        <v>0</v>
      </c>
      <c r="H35" s="31">
        <f t="shared" si="16"/>
        <v>0</v>
      </c>
      <c r="I35" s="31">
        <f t="shared" si="16"/>
        <v>0</v>
      </c>
      <c r="J35" s="31">
        <f t="shared" si="16"/>
        <v>0</v>
      </c>
      <c r="K35" s="31">
        <f t="shared" si="16"/>
        <v>0</v>
      </c>
      <c r="L35" s="31">
        <f t="shared" si="16"/>
        <v>0</v>
      </c>
      <c r="M35" s="31">
        <f t="shared" si="16"/>
        <v>0</v>
      </c>
      <c r="N35" s="31">
        <f t="shared" si="16"/>
        <v>0</v>
      </c>
      <c r="O35" s="31">
        <f t="shared" si="16"/>
        <v>0</v>
      </c>
      <c r="P35" s="31">
        <f t="shared" si="16"/>
        <v>0</v>
      </c>
      <c r="Q35" s="31">
        <f t="shared" si="16"/>
        <v>0</v>
      </c>
      <c r="R35" s="31">
        <f t="shared" si="16"/>
        <v>0</v>
      </c>
      <c r="S35" s="31">
        <f t="shared" si="16"/>
        <v>0</v>
      </c>
      <c r="T35" s="31">
        <f t="shared" si="16"/>
        <v>0</v>
      </c>
      <c r="U35" s="31">
        <f t="shared" si="16"/>
        <v>0</v>
      </c>
      <c r="V35" s="31">
        <f t="shared" si="16"/>
        <v>0</v>
      </c>
      <c r="W35" s="31">
        <f t="shared" si="16"/>
        <v>0</v>
      </c>
      <c r="X35" s="31">
        <f t="shared" si="16"/>
        <v>0</v>
      </c>
      <c r="Y35" s="31">
        <f t="shared" si="16"/>
        <v>0</v>
      </c>
      <c r="Z35" s="31">
        <f t="shared" si="16"/>
        <v>0</v>
      </c>
      <c r="AA35" s="31">
        <f t="shared" si="16"/>
        <v>0</v>
      </c>
      <c r="AB35" s="31">
        <f t="shared" si="16"/>
        <v>0</v>
      </c>
      <c r="AC35" s="31">
        <f t="shared" si="16"/>
        <v>0</v>
      </c>
      <c r="AD35" s="31">
        <f>AD36+AC37</f>
        <v>0</v>
      </c>
      <c r="AE35" s="31">
        <f t="shared" si="16"/>
        <v>0</v>
      </c>
      <c r="AF35" s="107">
        <f>AF36+AE37</f>
        <v>0</v>
      </c>
    </row>
    <row r="36" spans="1:32" ht="30" x14ac:dyDescent="0.25">
      <c r="A36" s="68" t="s">
        <v>190</v>
      </c>
      <c r="B36" s="12">
        <v>0</v>
      </c>
      <c r="C36" s="31">
        <f>(EXP(-$C$56))*B35</f>
        <v>0</v>
      </c>
      <c r="D36" s="31">
        <f t="shared" ref="D36:AF36" si="17">(EXP(-$C$56))*C35</f>
        <v>0</v>
      </c>
      <c r="E36" s="31">
        <f t="shared" si="17"/>
        <v>0</v>
      </c>
      <c r="F36" s="31">
        <f t="shared" si="17"/>
        <v>0</v>
      </c>
      <c r="G36" s="31">
        <f t="shared" si="17"/>
        <v>0</v>
      </c>
      <c r="H36" s="31">
        <f t="shared" si="17"/>
        <v>0</v>
      </c>
      <c r="I36" s="31">
        <f t="shared" si="17"/>
        <v>0</v>
      </c>
      <c r="J36" s="31">
        <f t="shared" si="17"/>
        <v>0</v>
      </c>
      <c r="K36" s="31">
        <f t="shared" si="17"/>
        <v>0</v>
      </c>
      <c r="L36" s="31">
        <f t="shared" si="17"/>
        <v>0</v>
      </c>
      <c r="M36" s="31">
        <f t="shared" si="17"/>
        <v>0</v>
      </c>
      <c r="N36" s="31">
        <f t="shared" si="17"/>
        <v>0</v>
      </c>
      <c r="O36" s="31">
        <f t="shared" si="17"/>
        <v>0</v>
      </c>
      <c r="P36" s="31">
        <f t="shared" si="17"/>
        <v>0</v>
      </c>
      <c r="Q36" s="31">
        <f t="shared" si="17"/>
        <v>0</v>
      </c>
      <c r="R36" s="31">
        <f t="shared" si="17"/>
        <v>0</v>
      </c>
      <c r="S36" s="31">
        <f t="shared" si="17"/>
        <v>0</v>
      </c>
      <c r="T36" s="31">
        <f t="shared" si="17"/>
        <v>0</v>
      </c>
      <c r="U36" s="31">
        <f t="shared" si="17"/>
        <v>0</v>
      </c>
      <c r="V36" s="31">
        <f t="shared" si="17"/>
        <v>0</v>
      </c>
      <c r="W36" s="31">
        <f t="shared" si="17"/>
        <v>0</v>
      </c>
      <c r="X36" s="31">
        <f t="shared" si="17"/>
        <v>0</v>
      </c>
      <c r="Y36" s="31">
        <f t="shared" si="17"/>
        <v>0</v>
      </c>
      <c r="Z36" s="31">
        <f t="shared" si="17"/>
        <v>0</v>
      </c>
      <c r="AA36" s="31">
        <f t="shared" si="17"/>
        <v>0</v>
      </c>
      <c r="AB36" s="31">
        <f t="shared" si="17"/>
        <v>0</v>
      </c>
      <c r="AC36" s="31">
        <f t="shared" si="17"/>
        <v>0</v>
      </c>
      <c r="AD36" s="31">
        <f t="shared" si="17"/>
        <v>0</v>
      </c>
      <c r="AE36" s="31">
        <f t="shared" si="17"/>
        <v>0</v>
      </c>
      <c r="AF36" s="107">
        <f t="shared" si="17"/>
        <v>0</v>
      </c>
    </row>
    <row r="37" spans="1:32" ht="45" x14ac:dyDescent="0.25">
      <c r="A37" s="68" t="s">
        <v>191</v>
      </c>
      <c r="B37" s="12">
        <f>((1-EXP(-$C$56))/$C$56)*(B44*$E$50*$B$49)</f>
        <v>0</v>
      </c>
      <c r="C37" s="12">
        <f>((1-EXP(-$C$56))/$C$56)*(C44*$E$50*$B$49)</f>
        <v>0</v>
      </c>
      <c r="D37" s="12">
        <f>((1-EXP(-$C$56))/$C$56)*(D44*$E$50*$B$49)</f>
        <v>0</v>
      </c>
      <c r="E37" s="12">
        <f t="shared" ref="E37:AD37" si="18">((1-EXP(-$C$56))/$C$56)*(E44*$E$50*$B$49)</f>
        <v>0</v>
      </c>
      <c r="F37" s="12">
        <f t="shared" si="18"/>
        <v>0</v>
      </c>
      <c r="G37" s="12">
        <f t="shared" si="18"/>
        <v>0</v>
      </c>
      <c r="H37" s="12">
        <f t="shared" si="18"/>
        <v>0</v>
      </c>
      <c r="I37" s="12">
        <f t="shared" si="18"/>
        <v>0</v>
      </c>
      <c r="J37" s="12">
        <f t="shared" si="18"/>
        <v>0</v>
      </c>
      <c r="K37" s="12">
        <f t="shared" si="18"/>
        <v>0</v>
      </c>
      <c r="L37" s="12">
        <f t="shared" si="18"/>
        <v>0</v>
      </c>
      <c r="M37" s="12">
        <f t="shared" si="18"/>
        <v>0</v>
      </c>
      <c r="N37" s="12">
        <f t="shared" si="18"/>
        <v>0</v>
      </c>
      <c r="O37" s="12">
        <f t="shared" si="18"/>
        <v>0</v>
      </c>
      <c r="P37" s="12">
        <f t="shared" si="18"/>
        <v>0</v>
      </c>
      <c r="Q37" s="12">
        <f t="shared" si="18"/>
        <v>0</v>
      </c>
      <c r="R37" s="12">
        <f t="shared" si="18"/>
        <v>0</v>
      </c>
      <c r="S37" s="12">
        <f t="shared" si="18"/>
        <v>0</v>
      </c>
      <c r="T37" s="12">
        <f t="shared" si="18"/>
        <v>0</v>
      </c>
      <c r="U37" s="12">
        <f t="shared" si="18"/>
        <v>0</v>
      </c>
      <c r="V37" s="12">
        <f t="shared" si="18"/>
        <v>0</v>
      </c>
      <c r="W37" s="12">
        <f t="shared" si="18"/>
        <v>0</v>
      </c>
      <c r="X37" s="12">
        <f t="shared" si="18"/>
        <v>0</v>
      </c>
      <c r="Y37" s="12">
        <f t="shared" si="18"/>
        <v>0</v>
      </c>
      <c r="Z37" s="12">
        <f t="shared" si="18"/>
        <v>0</v>
      </c>
      <c r="AA37" s="12">
        <f t="shared" si="18"/>
        <v>0</v>
      </c>
      <c r="AB37" s="12">
        <f t="shared" si="18"/>
        <v>0</v>
      </c>
      <c r="AC37" s="12">
        <f t="shared" si="18"/>
        <v>0</v>
      </c>
      <c r="AD37" s="12">
        <f t="shared" si="18"/>
        <v>0</v>
      </c>
      <c r="AE37" s="12">
        <f>((1-EXP(-$C$56))/$C$56)*(AE44*$E$50*$B$49)</f>
        <v>0</v>
      </c>
      <c r="AF37" s="27">
        <f>((1-EXP(-$C$56))/$C$56)*(AF44*$E$50*$B$49)</f>
        <v>0</v>
      </c>
    </row>
    <row r="38" spans="1:32" x14ac:dyDescent="0.25">
      <c r="A38" s="69" t="s">
        <v>192</v>
      </c>
      <c r="B38" s="12">
        <v>0</v>
      </c>
      <c r="C38" s="31">
        <f>C39+B40</f>
        <v>0</v>
      </c>
      <c r="D38" s="31">
        <f>D39+C40</f>
        <v>0</v>
      </c>
      <c r="E38" s="31">
        <f t="shared" ref="E38:AF38" si="19">E39+D40</f>
        <v>0</v>
      </c>
      <c r="F38" s="31">
        <f t="shared" si="19"/>
        <v>0</v>
      </c>
      <c r="G38" s="31">
        <f t="shared" si="19"/>
        <v>0</v>
      </c>
      <c r="H38" s="31">
        <f t="shared" si="19"/>
        <v>0</v>
      </c>
      <c r="I38" s="31">
        <f t="shared" si="19"/>
        <v>0</v>
      </c>
      <c r="J38" s="31">
        <f t="shared" si="19"/>
        <v>0</v>
      </c>
      <c r="K38" s="31">
        <f t="shared" si="19"/>
        <v>0</v>
      </c>
      <c r="L38" s="31">
        <f t="shared" si="19"/>
        <v>0</v>
      </c>
      <c r="M38" s="31">
        <f t="shared" si="19"/>
        <v>0</v>
      </c>
      <c r="N38" s="31">
        <f>N39+M40</f>
        <v>0</v>
      </c>
      <c r="O38" s="31">
        <f t="shared" si="19"/>
        <v>0</v>
      </c>
      <c r="P38" s="31">
        <f t="shared" si="19"/>
        <v>0</v>
      </c>
      <c r="Q38" s="31">
        <f t="shared" si="19"/>
        <v>0</v>
      </c>
      <c r="R38" s="31">
        <f t="shared" si="19"/>
        <v>0</v>
      </c>
      <c r="S38" s="31">
        <f t="shared" si="19"/>
        <v>0</v>
      </c>
      <c r="T38" s="31">
        <f t="shared" si="19"/>
        <v>0</v>
      </c>
      <c r="U38" s="31">
        <f t="shared" si="19"/>
        <v>0</v>
      </c>
      <c r="V38" s="31">
        <f t="shared" si="19"/>
        <v>0</v>
      </c>
      <c r="W38" s="31">
        <f t="shared" si="19"/>
        <v>0</v>
      </c>
      <c r="X38" s="31">
        <f t="shared" si="19"/>
        <v>0</v>
      </c>
      <c r="Y38" s="31">
        <f t="shared" si="19"/>
        <v>0</v>
      </c>
      <c r="Z38" s="31">
        <f t="shared" si="19"/>
        <v>0</v>
      </c>
      <c r="AA38" s="31">
        <f t="shared" si="19"/>
        <v>0</v>
      </c>
      <c r="AB38" s="31">
        <f t="shared" si="19"/>
        <v>0</v>
      </c>
      <c r="AC38" s="31">
        <f t="shared" si="19"/>
        <v>0</v>
      </c>
      <c r="AD38" s="31">
        <f t="shared" si="19"/>
        <v>0</v>
      </c>
      <c r="AE38" s="31">
        <f t="shared" si="19"/>
        <v>0</v>
      </c>
      <c r="AF38" s="107">
        <f t="shared" si="19"/>
        <v>0</v>
      </c>
    </row>
    <row r="39" spans="1:32" ht="30" x14ac:dyDescent="0.25">
      <c r="A39" s="69" t="s">
        <v>193</v>
      </c>
      <c r="B39" s="12">
        <v>0</v>
      </c>
      <c r="C39" s="31">
        <f t="shared" ref="C39:AF39" si="20">(EXP(-$C$57))*B38</f>
        <v>0</v>
      </c>
      <c r="D39" s="31">
        <f t="shared" si="20"/>
        <v>0</v>
      </c>
      <c r="E39" s="31">
        <f t="shared" si="20"/>
        <v>0</v>
      </c>
      <c r="F39" s="31">
        <f t="shared" si="20"/>
        <v>0</v>
      </c>
      <c r="G39" s="31">
        <f t="shared" si="20"/>
        <v>0</v>
      </c>
      <c r="H39" s="31">
        <f t="shared" si="20"/>
        <v>0</v>
      </c>
      <c r="I39" s="31">
        <f t="shared" si="20"/>
        <v>0</v>
      </c>
      <c r="J39" s="31">
        <f t="shared" si="20"/>
        <v>0</v>
      </c>
      <c r="K39" s="31">
        <f t="shared" si="20"/>
        <v>0</v>
      </c>
      <c r="L39" s="31">
        <f t="shared" si="20"/>
        <v>0</v>
      </c>
      <c r="M39" s="31">
        <f t="shared" si="20"/>
        <v>0</v>
      </c>
      <c r="N39" s="31">
        <f t="shared" si="20"/>
        <v>0</v>
      </c>
      <c r="O39" s="31">
        <f t="shared" si="20"/>
        <v>0</v>
      </c>
      <c r="P39" s="31">
        <f t="shared" si="20"/>
        <v>0</v>
      </c>
      <c r="Q39" s="31">
        <f t="shared" si="20"/>
        <v>0</v>
      </c>
      <c r="R39" s="31">
        <f t="shared" si="20"/>
        <v>0</v>
      </c>
      <c r="S39" s="31">
        <f t="shared" si="20"/>
        <v>0</v>
      </c>
      <c r="T39" s="31">
        <f t="shared" si="20"/>
        <v>0</v>
      </c>
      <c r="U39" s="31">
        <f t="shared" si="20"/>
        <v>0</v>
      </c>
      <c r="V39" s="31">
        <f t="shared" si="20"/>
        <v>0</v>
      </c>
      <c r="W39" s="31">
        <f t="shared" si="20"/>
        <v>0</v>
      </c>
      <c r="X39" s="31">
        <f t="shared" si="20"/>
        <v>0</v>
      </c>
      <c r="Y39" s="31">
        <f t="shared" si="20"/>
        <v>0</v>
      </c>
      <c r="Z39" s="31">
        <f t="shared" si="20"/>
        <v>0</v>
      </c>
      <c r="AA39" s="31">
        <f t="shared" si="20"/>
        <v>0</v>
      </c>
      <c r="AB39" s="31">
        <f t="shared" si="20"/>
        <v>0</v>
      </c>
      <c r="AC39" s="31">
        <f t="shared" si="20"/>
        <v>0</v>
      </c>
      <c r="AD39" s="31">
        <f t="shared" si="20"/>
        <v>0</v>
      </c>
      <c r="AE39" s="31">
        <f t="shared" si="20"/>
        <v>0</v>
      </c>
      <c r="AF39" s="107">
        <f t="shared" si="20"/>
        <v>0</v>
      </c>
    </row>
    <row r="40" spans="1:32" ht="45" x14ac:dyDescent="0.25">
      <c r="A40" s="69" t="s">
        <v>194</v>
      </c>
      <c r="B40" s="12">
        <f>((1-EXP(-$C$57))/$C$57)*(B45*$E$50*$B$49)</f>
        <v>0</v>
      </c>
      <c r="C40" s="12">
        <f>((1-EXP(-$C$57))/$C$57)*(C45*$E$50*$B$49)</f>
        <v>0</v>
      </c>
      <c r="D40" s="12">
        <f t="shared" ref="D40:AE40" si="21">((1-EXP(-$C$57))/$C$57)*(D45*$E$50*$B$49)</f>
        <v>0</v>
      </c>
      <c r="E40" s="12">
        <f t="shared" si="21"/>
        <v>0</v>
      </c>
      <c r="F40" s="12">
        <f t="shared" si="21"/>
        <v>0</v>
      </c>
      <c r="G40" s="12">
        <f t="shared" si="21"/>
        <v>0</v>
      </c>
      <c r="H40" s="12">
        <f t="shared" si="21"/>
        <v>0</v>
      </c>
      <c r="I40" s="12">
        <f t="shared" si="21"/>
        <v>0</v>
      </c>
      <c r="J40" s="12">
        <f t="shared" si="21"/>
        <v>0</v>
      </c>
      <c r="K40" s="12">
        <f t="shared" si="21"/>
        <v>0</v>
      </c>
      <c r="L40" s="12">
        <f t="shared" si="21"/>
        <v>0</v>
      </c>
      <c r="M40" s="12">
        <f t="shared" si="21"/>
        <v>0</v>
      </c>
      <c r="N40" s="12">
        <f t="shared" si="21"/>
        <v>0</v>
      </c>
      <c r="O40" s="12">
        <f t="shared" si="21"/>
        <v>0</v>
      </c>
      <c r="P40" s="12">
        <f t="shared" si="21"/>
        <v>0</v>
      </c>
      <c r="Q40" s="12">
        <f t="shared" si="21"/>
        <v>0</v>
      </c>
      <c r="R40" s="12">
        <f t="shared" si="21"/>
        <v>0</v>
      </c>
      <c r="S40" s="12">
        <f t="shared" si="21"/>
        <v>0</v>
      </c>
      <c r="T40" s="12">
        <f t="shared" si="21"/>
        <v>0</v>
      </c>
      <c r="U40" s="12">
        <f t="shared" si="21"/>
        <v>0</v>
      </c>
      <c r="V40" s="12">
        <f t="shared" si="21"/>
        <v>0</v>
      </c>
      <c r="W40" s="12">
        <f t="shared" si="21"/>
        <v>0</v>
      </c>
      <c r="X40" s="12">
        <f t="shared" si="21"/>
        <v>0</v>
      </c>
      <c r="Y40" s="12">
        <f t="shared" si="21"/>
        <v>0</v>
      </c>
      <c r="Z40" s="12">
        <f t="shared" si="21"/>
        <v>0</v>
      </c>
      <c r="AA40" s="12">
        <f t="shared" si="21"/>
        <v>0</v>
      </c>
      <c r="AB40" s="12">
        <f t="shared" si="21"/>
        <v>0</v>
      </c>
      <c r="AC40" s="12">
        <f t="shared" si="21"/>
        <v>0</v>
      </c>
      <c r="AD40" s="12">
        <f t="shared" si="21"/>
        <v>0</v>
      </c>
      <c r="AE40" s="12">
        <f t="shared" si="21"/>
        <v>0</v>
      </c>
      <c r="AF40" s="27">
        <f>((1-EXP(-$C$57))/$C$57)*(AF45*$E$50*$B$49)</f>
        <v>0</v>
      </c>
    </row>
    <row r="41" spans="1:32" x14ac:dyDescent="0.25">
      <c r="A41" s="95" t="s">
        <v>195</v>
      </c>
      <c r="B41" s="12">
        <v>0</v>
      </c>
      <c r="C41" s="31">
        <f>C42+B43</f>
        <v>0</v>
      </c>
      <c r="D41" s="31">
        <f>D42+C43</f>
        <v>0</v>
      </c>
      <c r="E41" s="31">
        <f t="shared" ref="E41:AF41" si="22">E42+D43</f>
        <v>0</v>
      </c>
      <c r="F41" s="31">
        <f t="shared" si="22"/>
        <v>0</v>
      </c>
      <c r="G41" s="31">
        <f t="shared" si="22"/>
        <v>0</v>
      </c>
      <c r="H41" s="31">
        <f t="shared" si="22"/>
        <v>0</v>
      </c>
      <c r="I41" s="31">
        <f t="shared" si="22"/>
        <v>0</v>
      </c>
      <c r="J41" s="31">
        <f t="shared" si="22"/>
        <v>0</v>
      </c>
      <c r="K41" s="31">
        <f t="shared" si="22"/>
        <v>0</v>
      </c>
      <c r="L41" s="31">
        <f t="shared" si="22"/>
        <v>0</v>
      </c>
      <c r="M41" s="31">
        <f t="shared" si="22"/>
        <v>0</v>
      </c>
      <c r="N41" s="31">
        <f>N42+M43</f>
        <v>0</v>
      </c>
      <c r="O41" s="31">
        <f t="shared" si="22"/>
        <v>0</v>
      </c>
      <c r="P41" s="31">
        <f t="shared" si="22"/>
        <v>0</v>
      </c>
      <c r="Q41" s="31">
        <f t="shared" si="22"/>
        <v>0</v>
      </c>
      <c r="R41" s="31">
        <f t="shared" si="22"/>
        <v>0</v>
      </c>
      <c r="S41" s="31">
        <f t="shared" si="22"/>
        <v>0</v>
      </c>
      <c r="T41" s="31">
        <f t="shared" si="22"/>
        <v>0</v>
      </c>
      <c r="U41" s="31">
        <f t="shared" si="22"/>
        <v>0</v>
      </c>
      <c r="V41" s="31">
        <f t="shared" si="22"/>
        <v>0</v>
      </c>
      <c r="W41" s="31">
        <f t="shared" si="22"/>
        <v>0</v>
      </c>
      <c r="X41" s="31">
        <f t="shared" si="22"/>
        <v>0</v>
      </c>
      <c r="Y41" s="31">
        <f t="shared" si="22"/>
        <v>0</v>
      </c>
      <c r="Z41" s="31">
        <f t="shared" si="22"/>
        <v>0</v>
      </c>
      <c r="AA41" s="31">
        <f t="shared" si="22"/>
        <v>0</v>
      </c>
      <c r="AB41" s="31">
        <f t="shared" si="22"/>
        <v>0</v>
      </c>
      <c r="AC41" s="31">
        <f t="shared" si="22"/>
        <v>0</v>
      </c>
      <c r="AD41" s="31">
        <f t="shared" si="22"/>
        <v>0</v>
      </c>
      <c r="AE41" s="31">
        <f t="shared" si="22"/>
        <v>0</v>
      </c>
      <c r="AF41" s="107">
        <f t="shared" si="22"/>
        <v>0</v>
      </c>
    </row>
    <row r="42" spans="1:32" ht="30" x14ac:dyDescent="0.25">
      <c r="A42" s="95" t="s">
        <v>196</v>
      </c>
      <c r="B42" s="12">
        <v>0</v>
      </c>
      <c r="C42" s="31">
        <f t="shared" ref="C42:AF42" si="23">(EXP(-$C$58))*B41</f>
        <v>0</v>
      </c>
      <c r="D42" s="31">
        <f t="shared" si="23"/>
        <v>0</v>
      </c>
      <c r="E42" s="31">
        <f t="shared" si="23"/>
        <v>0</v>
      </c>
      <c r="F42" s="31">
        <f t="shared" si="23"/>
        <v>0</v>
      </c>
      <c r="G42" s="31">
        <f t="shared" si="23"/>
        <v>0</v>
      </c>
      <c r="H42" s="31">
        <f t="shared" si="23"/>
        <v>0</v>
      </c>
      <c r="I42" s="31">
        <f t="shared" si="23"/>
        <v>0</v>
      </c>
      <c r="J42" s="31">
        <f t="shared" si="23"/>
        <v>0</v>
      </c>
      <c r="K42" s="31">
        <f t="shared" si="23"/>
        <v>0</v>
      </c>
      <c r="L42" s="31">
        <f t="shared" si="23"/>
        <v>0</v>
      </c>
      <c r="M42" s="31">
        <f t="shared" si="23"/>
        <v>0</v>
      </c>
      <c r="N42" s="31">
        <f t="shared" si="23"/>
        <v>0</v>
      </c>
      <c r="O42" s="31">
        <f t="shared" si="23"/>
        <v>0</v>
      </c>
      <c r="P42" s="31">
        <f t="shared" si="23"/>
        <v>0</v>
      </c>
      <c r="Q42" s="31">
        <f t="shared" si="23"/>
        <v>0</v>
      </c>
      <c r="R42" s="31">
        <f t="shared" si="23"/>
        <v>0</v>
      </c>
      <c r="S42" s="31">
        <f t="shared" si="23"/>
        <v>0</v>
      </c>
      <c r="T42" s="31">
        <f t="shared" si="23"/>
        <v>0</v>
      </c>
      <c r="U42" s="31">
        <f t="shared" si="23"/>
        <v>0</v>
      </c>
      <c r="V42" s="31">
        <f t="shared" si="23"/>
        <v>0</v>
      </c>
      <c r="W42" s="31">
        <f t="shared" si="23"/>
        <v>0</v>
      </c>
      <c r="X42" s="31">
        <f t="shared" si="23"/>
        <v>0</v>
      </c>
      <c r="Y42" s="31">
        <f t="shared" si="23"/>
        <v>0</v>
      </c>
      <c r="Z42" s="31">
        <f t="shared" si="23"/>
        <v>0</v>
      </c>
      <c r="AA42" s="31">
        <f t="shared" si="23"/>
        <v>0</v>
      </c>
      <c r="AB42" s="31">
        <f t="shared" si="23"/>
        <v>0</v>
      </c>
      <c r="AC42" s="31">
        <f t="shared" si="23"/>
        <v>0</v>
      </c>
      <c r="AD42" s="31">
        <f t="shared" si="23"/>
        <v>0</v>
      </c>
      <c r="AE42" s="31">
        <f t="shared" si="23"/>
        <v>0</v>
      </c>
      <c r="AF42" s="107">
        <f t="shared" si="23"/>
        <v>0</v>
      </c>
    </row>
    <row r="43" spans="1:32" ht="45" x14ac:dyDescent="0.25">
      <c r="A43" s="95" t="s">
        <v>197</v>
      </c>
      <c r="B43" s="12">
        <f>((1-EXP(-$C$58))/$C$58)*(B46*$E$50*$B$49)</f>
        <v>0</v>
      </c>
      <c r="C43" s="12">
        <f>((1-EXP(-$C$58))/$C$58)*(C46*$E$50*$B$49)</f>
        <v>0</v>
      </c>
      <c r="D43" s="12">
        <f t="shared" ref="D43:AD43" si="24">((1-EXP(-$C$58))/$C$58)*(D46*$E$50*$B$49)</f>
        <v>0</v>
      </c>
      <c r="E43" s="12">
        <f t="shared" si="24"/>
        <v>0</v>
      </c>
      <c r="F43" s="12">
        <f t="shared" si="24"/>
        <v>0</v>
      </c>
      <c r="G43" s="12">
        <f t="shared" si="24"/>
        <v>0</v>
      </c>
      <c r="H43" s="12">
        <f t="shared" si="24"/>
        <v>0</v>
      </c>
      <c r="I43" s="12">
        <f t="shared" si="24"/>
        <v>0</v>
      </c>
      <c r="J43" s="12">
        <f t="shared" si="24"/>
        <v>0</v>
      </c>
      <c r="K43" s="12">
        <f t="shared" si="24"/>
        <v>0</v>
      </c>
      <c r="L43" s="12">
        <f t="shared" si="24"/>
        <v>0</v>
      </c>
      <c r="M43" s="12">
        <f t="shared" si="24"/>
        <v>0</v>
      </c>
      <c r="N43" s="12">
        <f t="shared" si="24"/>
        <v>0</v>
      </c>
      <c r="O43" s="12">
        <f t="shared" si="24"/>
        <v>0</v>
      </c>
      <c r="P43" s="12">
        <f t="shared" si="24"/>
        <v>0</v>
      </c>
      <c r="Q43" s="12">
        <f t="shared" si="24"/>
        <v>0</v>
      </c>
      <c r="R43" s="12">
        <f t="shared" si="24"/>
        <v>0</v>
      </c>
      <c r="S43" s="12">
        <f t="shared" si="24"/>
        <v>0</v>
      </c>
      <c r="T43" s="12">
        <f t="shared" si="24"/>
        <v>0</v>
      </c>
      <c r="U43" s="12">
        <f t="shared" si="24"/>
        <v>0</v>
      </c>
      <c r="V43" s="12">
        <f t="shared" si="24"/>
        <v>0</v>
      </c>
      <c r="W43" s="12">
        <f t="shared" si="24"/>
        <v>0</v>
      </c>
      <c r="X43" s="12">
        <f t="shared" si="24"/>
        <v>0</v>
      </c>
      <c r="Y43" s="12">
        <f t="shared" si="24"/>
        <v>0</v>
      </c>
      <c r="Z43" s="12">
        <f t="shared" si="24"/>
        <v>0</v>
      </c>
      <c r="AA43" s="12">
        <f t="shared" si="24"/>
        <v>0</v>
      </c>
      <c r="AB43" s="12">
        <f t="shared" si="24"/>
        <v>0</v>
      </c>
      <c r="AC43" s="12">
        <f t="shared" si="24"/>
        <v>0</v>
      </c>
      <c r="AD43" s="12">
        <f t="shared" si="24"/>
        <v>0</v>
      </c>
      <c r="AE43" s="12">
        <f>((1-EXP(-$C$58))/$C$58)*(AE46*$E$50*$B$49)</f>
        <v>0</v>
      </c>
      <c r="AF43" s="27">
        <f>((1-EXP(-$C$58))/$C$58)*(AF46*$E$50*$B$49)</f>
        <v>0</v>
      </c>
    </row>
    <row r="44" spans="1:32" ht="34.5" customHeight="1" x14ac:dyDescent="0.25">
      <c r="A44" s="18" t="s">
        <v>204</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08"/>
    </row>
    <row r="45" spans="1:32" x14ac:dyDescent="0.25">
      <c r="A45" s="18" t="s">
        <v>205</v>
      </c>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08"/>
    </row>
    <row r="46" spans="1:32" x14ac:dyDescent="0.25">
      <c r="A46" s="18" t="s">
        <v>206</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109"/>
    </row>
    <row r="47" spans="1:32" ht="15.75" thickBot="1" x14ac:dyDescent="0.3">
      <c r="A47" s="32" t="s">
        <v>200</v>
      </c>
      <c r="B47" s="12">
        <f>B16-B34</f>
        <v>0</v>
      </c>
      <c r="C47" s="33">
        <f>C16-C34</f>
        <v>0</v>
      </c>
      <c r="D47" s="23">
        <f t="shared" ref="D47:AF47" si="25">D16-D34</f>
        <v>0</v>
      </c>
      <c r="E47" s="33">
        <f t="shared" si="25"/>
        <v>0</v>
      </c>
      <c r="F47" s="23">
        <f t="shared" si="25"/>
        <v>0</v>
      </c>
      <c r="G47" s="23">
        <f t="shared" si="25"/>
        <v>0</v>
      </c>
      <c r="H47" s="23">
        <f t="shared" si="25"/>
        <v>0</v>
      </c>
      <c r="I47" s="23">
        <f t="shared" si="25"/>
        <v>0</v>
      </c>
      <c r="J47" s="23">
        <f t="shared" si="25"/>
        <v>0</v>
      </c>
      <c r="K47" s="23">
        <f t="shared" si="25"/>
        <v>0</v>
      </c>
      <c r="L47" s="23">
        <f t="shared" si="25"/>
        <v>0</v>
      </c>
      <c r="M47" s="23">
        <f t="shared" si="25"/>
        <v>0</v>
      </c>
      <c r="N47" s="23">
        <f t="shared" si="25"/>
        <v>0</v>
      </c>
      <c r="O47" s="23">
        <f t="shared" si="25"/>
        <v>0</v>
      </c>
      <c r="P47" s="23">
        <f t="shared" si="25"/>
        <v>0</v>
      </c>
      <c r="Q47" s="23">
        <f t="shared" si="25"/>
        <v>0</v>
      </c>
      <c r="R47" s="23">
        <f t="shared" si="25"/>
        <v>0</v>
      </c>
      <c r="S47" s="23">
        <f t="shared" si="25"/>
        <v>0</v>
      </c>
      <c r="T47" s="23">
        <f t="shared" si="25"/>
        <v>0</v>
      </c>
      <c r="U47" s="23">
        <f t="shared" si="25"/>
        <v>0</v>
      </c>
      <c r="V47" s="23">
        <f t="shared" si="25"/>
        <v>0</v>
      </c>
      <c r="W47" s="166">
        <f t="shared" si="25"/>
        <v>32.440833126261566</v>
      </c>
      <c r="X47" s="166">
        <f t="shared" si="25"/>
        <v>28.628051333055463</v>
      </c>
      <c r="Y47" s="166">
        <f t="shared" si="25"/>
        <v>25.805195908459133</v>
      </c>
      <c r="Z47" s="166">
        <f t="shared" si="25"/>
        <v>23.685227987648862</v>
      </c>
      <c r="AA47" s="166">
        <f t="shared" si="25"/>
        <v>22.065112092790834</v>
      </c>
      <c r="AB47" s="166">
        <f t="shared" si="25"/>
        <v>20.801213762868169</v>
      </c>
      <c r="AC47" s="166">
        <f t="shared" si="25"/>
        <v>19.791903009969271</v>
      </c>
      <c r="AD47" s="166">
        <f t="shared" si="25"/>
        <v>18.965253065366909</v>
      </c>
      <c r="AE47" s="166">
        <f t="shared" si="25"/>
        <v>23.39172928129452</v>
      </c>
      <c r="AF47" s="99">
        <f t="shared" si="25"/>
        <v>22.273432761438716</v>
      </c>
    </row>
    <row r="48" spans="1:32" x14ac:dyDescent="0.25">
      <c r="A48" s="198" t="s">
        <v>10</v>
      </c>
      <c r="B48" s="199"/>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ht="30.75" thickBot="1" x14ac:dyDescent="0.3">
      <c r="A49" s="3" t="s">
        <v>4</v>
      </c>
      <c r="B49" s="27">
        <v>0.47499999999999998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ht="30.75" thickBot="1" x14ac:dyDescent="0.3">
      <c r="A50" s="3" t="s">
        <v>6</v>
      </c>
      <c r="B50" s="22" t="s">
        <v>53</v>
      </c>
      <c r="C50" s="24">
        <f>IF(B50="Alisier torminal",0.62,IF(B50="Arbousier",0.64,IF(B50="Aulne vert",0.42,IF(B50="Grands aulnes",0.42,IF(B50="Bouleaux",0.52,IF(B50="Cèdre de l’Atlas",0.36,IF(B50="Charme",0.61,IF(B50="Charme-houblon",0.66,IF(B50="Châtaignier",0.47,IF(B50="Chêne chevelu",0.67,IF(B50="Chêne-liège",0.7,IF(B50="Chêne pédonculé",0.54,IF(B50="Chêne pubescent",0.65,IF(B50="Chêne rouge d’Amérique",0.56,IF(B50="Chêne rouvre (sessile)",0.58,IF(B50="Chêne tauzin",0.64,IF(B50="Chêne vert",0.73,IF(B50="Chênes indifférenciés",0.56,IF(B50="Cornouiller mâle",0.74,IF(B50="Cyprès",0.4,IF(B50="Cytise aubour",0.6,IF(B50="Douglas",0.43,IF(B50="Epicéa commun",0.37,IF(B50="Epicéa de Sitka",0.36,IF(B50="Grands érables",0.51,IF(B50="Petits érables",0.56,IF(B50="Eucalyptus",0.56,IF(B50="Genévrier thurifère",0.48,IF(B50="Hêtre",0.55,IF(B50="Frênes",0.56,IF(B50="Fruitiers",0.58,IF(B50="If",0.58,IF(B50="Mélèze d’Europe",0.48,IF(B50="Mélèze du Japon",0.42,IF(B50="Merisier",0.5,IF(B50="Micocoulier",0.55,IF(B50="Mûrier",0.53,IF(B50="Noisetier",0.52,IF(B50="Noyer",0.52,IF(B50="Olivier",0.75,IF(B50="Ormes",0.52,IF(B50="Peupliers cultivés",0.35,IF(B50="Peupliers non cultivés",0.37,IF(B50="Pin d'Alep",0.45,IF(B50="Pin cembro",0.39,IF(B50="Pin à crochets",0.44,IF(B50="Pin laricio",0.46,IF(B50="Pin maritime",0.46,IF(B50="Pin mugho",0.44,IF(B50="Pin noir d'Autriche",0.46,IF(B50="Pin pignon",0.48,IF(B50="Pin sylvestre",0.44,IF(B50="Pin Weymouth",0.34,IF(B50="Platanes",0.5,IF(B50="Robinier faux acacia",0.58,IF(B50="Sapin méditerranéen",0.37,IF(B50="Sapin de Nordmann",0.37,IF(B50="Sapin pectiné",0.38,IF(B50="Sapin de Vancouver",0.36,IF(B50="Saules",0.37,IF(B50="Tamaris",0.53,IF(B50="Tilleuls",0.43,IF(B50="Tremble",0.38,IF(B50="Conifères (moyenne)",0.42,IF(B50="Feuillus (moyenne)",0.57,0)))))))))))))))))))))))))))))))))))))))))))))))))))))))))))))))))</f>
        <v>0.35</v>
      </c>
      <c r="D50" s="25" t="s">
        <v>23</v>
      </c>
      <c r="E50" s="26">
        <f>IF(D50="Alisier torminal",0.62,IF(D50="Arbousier",0.64,IF(D50="Aulne vert",0.42,IF(D50="Grands aulnes",0.42,IF(D50="Bouleaux",0.52,IF(D50="Cèdre de l’Atlas",0.36,IF(D50="Charme",0.61,IF(D50="Charme-houblon",0.66,IF(D50="Châtaignier",0.47,IF(D50="Chêne chevelu",0.67,IF(D50="Chêne-liège",0.7,IF(D50="Chêne pédonculé",0.54,IF(D50="Chêne pubescent",0.65,IF(D50="Chêne rouge d’Amérique",0.56,IF(D50="Chêne rouvre (sessile)",0.58,IF(D50="Chêne tauzin",0.64,IF(D50="Chêne vert",0.73,IF(D50="Chênes indifférenciés",0.56,IF(D50="Cornouiller mâle",0.74,IF(D50="Cyprès",0.4,IF(D50="Cytise aubour",0.6,IF(D50="Douglas",0.43,IF(D50="Epicéa commun",0.37,IF(D50="Epicéa de Sitka",0.36,IF(D50="Grands érables",0.51,IF(D50="Petits érables",0.56,IF(D50="Eucalyptus",0.56,IF(D50="Genévrier thurifère",0.48,IF(D50="Hêtre",0.55,IF(D50="Frênes",0.56,IF(D50="Fruitiers",0.58,IF(D50="If",0.58,IF(D50="Mélèze d’Europe",0.48,IF(D50="Mélèze du Japon",0.42,IF(D50="Merisier",0.5,IF(D50="Micocoulier",0.55,IF(D50="Mûrier",0.53,IF(D50="Noisetier",0.52,IF(D50="Noyer",0.52,IF(D50="Olivier",0.75,IF(D50="Ormes",0.52,IF(D50="Peupliers cultivés",0.35,IF(D50="Peupliers non cultivés",0.37,IF(D50="Pin d'Alep",0.45,IF(D50="Pin cembro",0.39,IF(D50="Pin à crochets",0.44,IF(D50="Pin laricio",0.46,IF(D50="Pin maritime",0.46,IF(D50="Pin mugho",0.44,IF(D50="Pin noir d'Autriche",0.46,IF(D50="Pin pignon",0.48,IF(D50="Pin sylvestre",0.44,IF(D50="Pin Weymouth",0.34,IF(D50="Platanes",0.5,IF(D50="Robinier faux acacia",0.58,IF(D50="Sapin méditerranéen",0.37,IF(D50="Sapin de Nordmann",0.37,IF(D50="Sapin pectiné",0.38,IF(D50="Sapin de Vancouver",0.36,IF(D50="Saules",0.37,IF(D50="Tamaris",0.53,IF(D50="Tilleuls",0.43,IF(D50="Tremble",0.38,IF(D50="Conifères (moyenne)",0.42,IF(D50="Feuillus (moyenne)",0.57,0)))))))))))))))))))))))))))))))))))))))))))))))))))))))))))))))))</f>
        <v>0.36</v>
      </c>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ht="14.45" customHeight="1" x14ac:dyDescent="0.25">
      <c r="A51" s="188" t="s">
        <v>88</v>
      </c>
      <c r="B51" s="12" t="s">
        <v>91</v>
      </c>
      <c r="C51" s="27">
        <v>35</v>
      </c>
      <c r="D51" s="15"/>
      <c r="E51" s="15"/>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x14ac:dyDescent="0.25">
      <c r="A52" s="189"/>
      <c r="B52" s="12" t="s">
        <v>92</v>
      </c>
      <c r="C52" s="27">
        <v>25</v>
      </c>
      <c r="D52" s="15"/>
      <c r="E52" s="15"/>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x14ac:dyDescent="0.25">
      <c r="A53" s="189"/>
      <c r="B53" s="12" t="s">
        <v>93</v>
      </c>
      <c r="C53" s="27">
        <v>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x14ac:dyDescent="0.25">
      <c r="A54" s="191"/>
      <c r="B54" s="28" t="s">
        <v>150</v>
      </c>
      <c r="C54" s="62">
        <v>5</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ht="29.1" customHeight="1" x14ac:dyDescent="0.25">
      <c r="A55" s="188" t="s">
        <v>94</v>
      </c>
      <c r="B55" s="28" t="s">
        <v>91</v>
      </c>
      <c r="C55" s="29">
        <f>LN(2)/C51</f>
        <v>1.980420515885558E-2</v>
      </c>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row>
    <row r="56" spans="1:32" x14ac:dyDescent="0.25">
      <c r="A56" s="189"/>
      <c r="B56" s="12" t="s">
        <v>92</v>
      </c>
      <c r="C56" s="29">
        <f>LN(2)/C52</f>
        <v>2.7725887222397813E-2</v>
      </c>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row>
    <row r="57" spans="1:32" x14ac:dyDescent="0.25">
      <c r="A57" s="189"/>
      <c r="B57" s="63" t="s">
        <v>93</v>
      </c>
      <c r="C57" s="64">
        <f>LN(2)/C53</f>
        <v>0.34657359027997264</v>
      </c>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row>
    <row r="58" spans="1:32" ht="15.75" thickBot="1" x14ac:dyDescent="0.3">
      <c r="A58" s="190"/>
      <c r="B58" s="23" t="s">
        <v>150</v>
      </c>
      <c r="C58" s="30">
        <f>LN(2)/C54</f>
        <v>0.13862943611198905</v>
      </c>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row>
    <row r="59" spans="1:32" x14ac:dyDescent="0.25">
      <c r="A59" s="8"/>
      <c r="B59" s="11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row>
    <row r="60" spans="1:32" x14ac:dyDescent="0.25">
      <c r="A60" s="8"/>
      <c r="B60" s="11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row>
  </sheetData>
  <sheetProtection algorithmName="SHA-512" hashValue="svJNnoimUmYthG/8FnLpscFGtHNxSvpc7Vq5or8H1wThsASbR5l45vIFZW3rouELsJvOS1nia+p6vgeVA8MHDQ==" saltValue="jvTLvY6kcsWga50vTHmRMg==" spinCount="100000" sheet="1" objects="1" scenarios="1"/>
  <mergeCells count="6">
    <mergeCell ref="A55:A58"/>
    <mergeCell ref="A51:A54"/>
    <mergeCell ref="A9:B9"/>
    <mergeCell ref="A15:AF15"/>
    <mergeCell ref="A33:AF33"/>
    <mergeCell ref="A48:B48"/>
  </mergeCells>
  <conditionalFormatting sqref="B16:AF32">
    <cfRule type="cellIs" dxfId="1" priority="2" operator="greaterThan">
      <formula>0</formula>
    </cfRule>
  </conditionalFormatting>
  <conditionalFormatting sqref="B34:AF46">
    <cfRule type="cellIs" dxfId="0"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D50:D52</xm:sqref>
        </x14:dataValidation>
        <x14:dataValidation type="list" showInputMessage="1" showErrorMessage="1" prompt="Choisir l'essence pour avoir la di pour le scénario de projet">
          <x14:formula1>
            <xm:f>'Listes choix'!$C$2:$C$66</xm:f>
          </x14:formula1>
          <xm:sqref>B50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5"/>
  <sheetViews>
    <sheetView zoomScale="85" workbookViewId="0">
      <selection activeCell="U21" sqref="U21"/>
    </sheetView>
  </sheetViews>
  <sheetFormatPr baseColWidth="10" defaultRowHeight="15" x14ac:dyDescent="0.25"/>
  <cols>
    <col min="1" max="1" width="38.140625" style="1" customWidth="1"/>
    <col min="2" max="2" width="27.140625" customWidth="1"/>
    <col min="4" max="4" width="13.140625" customWidth="1"/>
  </cols>
  <sheetData>
    <row r="4" spans="1:32" ht="16.5" thickBot="1" x14ac:dyDescent="0.3">
      <c r="A4" s="19"/>
      <c r="B4" s="7"/>
    </row>
    <row r="5" spans="1:32" ht="16.5" thickBot="1" x14ac:dyDescent="0.3">
      <c r="A5" s="20" t="s">
        <v>182</v>
      </c>
      <c r="B5" s="104">
        <f>B6/B10</f>
        <v>163.19730000000001</v>
      </c>
    </row>
    <row r="6" spans="1:32" ht="16.5" thickBot="1" x14ac:dyDescent="0.3">
      <c r="A6" s="20" t="s">
        <v>95</v>
      </c>
      <c r="B6" s="104">
        <f>SUM(B26:AE26)</f>
        <v>897.58515000000011</v>
      </c>
    </row>
    <row r="8" spans="1:32" ht="15.75" thickBot="1" x14ac:dyDescent="0.3"/>
    <row r="9" spans="1:32" ht="15.75" thickBot="1" x14ac:dyDescent="0.3">
      <c r="A9" s="183" t="s">
        <v>12</v>
      </c>
      <c r="B9" s="184"/>
    </row>
    <row r="10" spans="1:32" x14ac:dyDescent="0.25">
      <c r="A10" s="2" t="s">
        <v>7</v>
      </c>
      <c r="B10" s="96">
        <v>5.5</v>
      </c>
    </row>
    <row r="11" spans="1:32" x14ac:dyDescent="0.25">
      <c r="A11" s="98" t="s">
        <v>15</v>
      </c>
      <c r="B11" s="102">
        <v>30</v>
      </c>
    </row>
    <row r="12" spans="1:32" x14ac:dyDescent="0.25">
      <c r="A12" s="3" t="s">
        <v>107</v>
      </c>
      <c r="B12" s="38"/>
      <c r="C12" s="122" t="s">
        <v>230</v>
      </c>
    </row>
    <row r="13" spans="1:32" ht="30" x14ac:dyDescent="0.25">
      <c r="A13" s="3" t="s">
        <v>211</v>
      </c>
      <c r="B13" s="38"/>
    </row>
    <row r="14" spans="1:32" ht="36" customHeight="1" x14ac:dyDescent="0.25">
      <c r="A14" s="3" t="s">
        <v>162</v>
      </c>
      <c r="B14" s="27">
        <f>IF(B12="Feuillus",C32,IF(B12="Peuplier",C33,IF(B12="Résineux",C35,IF(B12="Pin maritime en gestion dynamique (3 éclaircies durant les 30 1ères années)",C34,0))))</f>
        <v>0</v>
      </c>
      <c r="C14" s="122" t="s">
        <v>231</v>
      </c>
    </row>
    <row r="15" spans="1:32" ht="45.75" thickBot="1" x14ac:dyDescent="0.3">
      <c r="A15" s="4" t="s">
        <v>110</v>
      </c>
      <c r="B15" s="42">
        <f>IF(B13="Feuillus",0,IF(B13="Résineux pionniers (PM, PA, PS…)",0.43,0))</f>
        <v>0</v>
      </c>
    </row>
    <row r="16" spans="1:32" ht="15.75" thickBot="1" x14ac:dyDescent="0.3">
      <c r="AF16" s="7"/>
    </row>
    <row r="17" spans="1:177" s="5" customFormat="1" ht="15.75" x14ac:dyDescent="0.25">
      <c r="A17" s="129" t="s">
        <v>96</v>
      </c>
      <c r="B17" s="130"/>
      <c r="C17" s="130"/>
      <c r="D17" s="130"/>
      <c r="E17" s="130"/>
      <c r="F17" s="130"/>
      <c r="G17" s="130"/>
      <c r="H17" s="130"/>
      <c r="I17" s="130"/>
      <c r="J17" s="130"/>
      <c r="K17" s="130"/>
      <c r="L17" s="130"/>
      <c r="M17" s="130"/>
      <c r="N17" s="130"/>
      <c r="O17" s="130"/>
      <c r="P17" s="130"/>
      <c r="Q17" s="130"/>
      <c r="R17" s="130"/>
      <c r="S17" s="130"/>
      <c r="T17" s="130"/>
      <c r="U17" s="136"/>
      <c r="V17" s="130"/>
      <c r="W17" s="130"/>
      <c r="X17" s="130"/>
      <c r="Y17" s="130"/>
      <c r="Z17" s="130"/>
      <c r="AA17" s="130"/>
      <c r="AB17" s="130"/>
      <c r="AC17" s="130"/>
      <c r="AD17" s="130"/>
      <c r="AE17" s="142"/>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25">
      <c r="A18" s="3" t="s">
        <v>16</v>
      </c>
      <c r="B18" s="12">
        <v>1</v>
      </c>
      <c r="C18" s="12">
        <v>2</v>
      </c>
      <c r="D18" s="12">
        <v>3</v>
      </c>
      <c r="E18" s="12">
        <v>4</v>
      </c>
      <c r="F18" s="12">
        <v>5</v>
      </c>
      <c r="G18" s="12">
        <v>6</v>
      </c>
      <c r="H18" s="12">
        <v>7</v>
      </c>
      <c r="I18" s="12">
        <v>8</v>
      </c>
      <c r="J18" s="12">
        <v>9</v>
      </c>
      <c r="K18" s="12">
        <v>10</v>
      </c>
      <c r="L18" s="12">
        <v>11</v>
      </c>
      <c r="M18" s="12">
        <v>12</v>
      </c>
      <c r="N18" s="12">
        <v>13</v>
      </c>
      <c r="O18" s="12">
        <v>14</v>
      </c>
      <c r="P18" s="12">
        <v>15</v>
      </c>
      <c r="Q18" s="12">
        <v>16</v>
      </c>
      <c r="R18" s="12">
        <v>17</v>
      </c>
      <c r="S18" s="12">
        <v>18</v>
      </c>
      <c r="T18" s="12">
        <v>19</v>
      </c>
      <c r="U18" s="123">
        <v>20</v>
      </c>
      <c r="V18" s="12">
        <v>21</v>
      </c>
      <c r="W18" s="12">
        <v>22</v>
      </c>
      <c r="X18" s="12">
        <v>23</v>
      </c>
      <c r="Y18" s="12">
        <v>24</v>
      </c>
      <c r="Z18" s="12">
        <v>25</v>
      </c>
      <c r="AA18" s="12">
        <v>26</v>
      </c>
      <c r="AB18" s="12">
        <v>27</v>
      </c>
      <c r="AC18" s="137">
        <v>28</v>
      </c>
      <c r="AD18" s="12">
        <v>29</v>
      </c>
      <c r="AE18" s="27">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25">
      <c r="A19" s="195" t="s">
        <v>3</v>
      </c>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7"/>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25">
      <c r="A20" s="172" t="s">
        <v>234</v>
      </c>
      <c r="B20" s="173">
        <f t="shared" ref="B20:T20" si="0">$B$14*B22</f>
        <v>0</v>
      </c>
      <c r="C20" s="173">
        <f t="shared" si="0"/>
        <v>0</v>
      </c>
      <c r="D20" s="173">
        <f t="shared" si="0"/>
        <v>0</v>
      </c>
      <c r="E20" s="173">
        <f t="shared" si="0"/>
        <v>0</v>
      </c>
      <c r="F20" s="173">
        <f t="shared" si="0"/>
        <v>0</v>
      </c>
      <c r="G20" s="173">
        <f t="shared" si="0"/>
        <v>0</v>
      </c>
      <c r="H20" s="173">
        <f t="shared" si="0"/>
        <v>0</v>
      </c>
      <c r="I20" s="173">
        <f t="shared" si="0"/>
        <v>0</v>
      </c>
      <c r="J20" s="173">
        <f t="shared" si="0"/>
        <v>0</v>
      </c>
      <c r="K20" s="173">
        <f t="shared" si="0"/>
        <v>0</v>
      </c>
      <c r="L20" s="173">
        <f t="shared" si="0"/>
        <v>0</v>
      </c>
      <c r="M20" s="173">
        <f t="shared" si="0"/>
        <v>0</v>
      </c>
      <c r="N20" s="173">
        <f t="shared" si="0"/>
        <v>0</v>
      </c>
      <c r="O20" s="173">
        <f t="shared" si="0"/>
        <v>0</v>
      </c>
      <c r="P20" s="173">
        <f t="shared" si="0"/>
        <v>0</v>
      </c>
      <c r="Q20" s="173">
        <f t="shared" si="0"/>
        <v>0</v>
      </c>
      <c r="R20" s="173">
        <f t="shared" si="0"/>
        <v>0</v>
      </c>
      <c r="S20" s="173">
        <f t="shared" si="0"/>
        <v>0</v>
      </c>
      <c r="T20" s="173">
        <f t="shared" si="0"/>
        <v>0</v>
      </c>
      <c r="U20" s="173">
        <f>(U21*$C$33)+(U22*$C$35)</f>
        <v>859.98165000000017</v>
      </c>
      <c r="V20" s="173">
        <f t="shared" ref="V20:AE20" si="1">(V21*$C$33)+(V22*$C$35)</f>
        <v>0</v>
      </c>
      <c r="W20" s="173">
        <f t="shared" si="1"/>
        <v>0</v>
      </c>
      <c r="X20" s="173">
        <f t="shared" si="1"/>
        <v>0</v>
      </c>
      <c r="Y20" s="173">
        <f t="shared" si="1"/>
        <v>0</v>
      </c>
      <c r="Z20" s="173">
        <f t="shared" si="1"/>
        <v>0</v>
      </c>
      <c r="AA20" s="173">
        <f t="shared" si="1"/>
        <v>0</v>
      </c>
      <c r="AB20" s="173">
        <f t="shared" si="1"/>
        <v>0</v>
      </c>
      <c r="AC20" s="173">
        <f>AC22*$C$35</f>
        <v>37.603499999999997</v>
      </c>
      <c r="AD20" s="173">
        <f t="shared" si="1"/>
        <v>0</v>
      </c>
      <c r="AE20" s="173">
        <f t="shared" si="1"/>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s="5" customFormat="1" x14ac:dyDescent="0.25">
      <c r="A21" s="174" t="s">
        <v>232</v>
      </c>
      <c r="B21" s="175"/>
      <c r="C21" s="175"/>
      <c r="D21" s="175"/>
      <c r="E21" s="175"/>
      <c r="F21" s="175"/>
      <c r="G21" s="175"/>
      <c r="H21" s="175"/>
      <c r="I21" s="175"/>
      <c r="J21" s="175"/>
      <c r="K21" s="175"/>
      <c r="L21" s="175"/>
      <c r="M21" s="175"/>
      <c r="N21" s="175"/>
      <c r="O21" s="175"/>
      <c r="P21" s="175"/>
      <c r="Q21" s="175"/>
      <c r="R21" s="175"/>
      <c r="S21" s="175"/>
      <c r="T21" s="175"/>
      <c r="U21" s="175">
        <f>201.3*3.85</f>
        <v>775.00500000000011</v>
      </c>
      <c r="V21" s="175"/>
      <c r="W21" s="175"/>
      <c r="X21" s="175"/>
      <c r="Y21" s="175"/>
      <c r="Z21" s="175"/>
      <c r="AA21" s="175"/>
      <c r="AB21" s="175"/>
      <c r="AC21" s="175"/>
      <c r="AD21" s="175"/>
      <c r="AE21" s="176"/>
      <c r="AF21" s="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25">
      <c r="A22" s="174" t="s">
        <v>233</v>
      </c>
      <c r="B22" s="170"/>
      <c r="C22" s="170"/>
      <c r="D22" s="170"/>
      <c r="E22" s="170"/>
      <c r="F22" s="170"/>
      <c r="G22" s="170"/>
      <c r="H22" s="170"/>
      <c r="I22" s="170"/>
      <c r="J22" s="170"/>
      <c r="K22" s="170"/>
      <c r="L22" s="170"/>
      <c r="M22" s="170"/>
      <c r="N22" s="170"/>
      <c r="O22" s="170"/>
      <c r="P22" s="170"/>
      <c r="Q22" s="170"/>
      <c r="R22" s="170"/>
      <c r="S22" s="170"/>
      <c r="T22" s="170"/>
      <c r="U22" s="170">
        <f>87*1.65</f>
        <v>143.54999999999998</v>
      </c>
      <c r="V22" s="170"/>
      <c r="W22" s="170"/>
      <c r="X22" s="170"/>
      <c r="Y22" s="170"/>
      <c r="Z22" s="170"/>
      <c r="AA22" s="170"/>
      <c r="AB22" s="170"/>
      <c r="AC22" s="170">
        <f>53*1.65</f>
        <v>87.449999999999989</v>
      </c>
      <c r="AD22" s="170"/>
      <c r="AE22" s="171"/>
      <c r="AF22" s="41"/>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25">
      <c r="A23" s="202" t="s">
        <v>2</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4"/>
      <c r="AF23" s="6"/>
    </row>
    <row r="24" spans="1:177" x14ac:dyDescent="0.25">
      <c r="A24" s="172" t="s">
        <v>237</v>
      </c>
      <c r="B24" s="173">
        <f>$B$15*B25</f>
        <v>0</v>
      </c>
      <c r="C24" s="173">
        <f>$B$15*C25</f>
        <v>0</v>
      </c>
      <c r="D24" s="173">
        <f t="shared" ref="D24:AD24" si="2">$B$15*D25</f>
        <v>0</v>
      </c>
      <c r="E24" s="173">
        <f t="shared" si="2"/>
        <v>0</v>
      </c>
      <c r="F24" s="173">
        <f t="shared" si="2"/>
        <v>0</v>
      </c>
      <c r="G24" s="173">
        <f t="shared" si="2"/>
        <v>0</v>
      </c>
      <c r="H24" s="173">
        <f t="shared" si="2"/>
        <v>0</v>
      </c>
      <c r="I24" s="173">
        <f t="shared" si="2"/>
        <v>0</v>
      </c>
      <c r="J24" s="173">
        <f t="shared" si="2"/>
        <v>0</v>
      </c>
      <c r="K24" s="173">
        <f t="shared" si="2"/>
        <v>0</v>
      </c>
      <c r="L24" s="173">
        <f t="shared" si="2"/>
        <v>0</v>
      </c>
      <c r="M24" s="173">
        <f t="shared" si="2"/>
        <v>0</v>
      </c>
      <c r="N24" s="173">
        <f t="shared" si="2"/>
        <v>0</v>
      </c>
      <c r="O24" s="173">
        <f t="shared" si="2"/>
        <v>0</v>
      </c>
      <c r="P24" s="173">
        <f t="shared" si="2"/>
        <v>0</v>
      </c>
      <c r="Q24" s="173">
        <f t="shared" si="2"/>
        <v>0</v>
      </c>
      <c r="R24" s="173">
        <f t="shared" si="2"/>
        <v>0</v>
      </c>
      <c r="S24" s="173">
        <f t="shared" si="2"/>
        <v>0</v>
      </c>
      <c r="T24" s="173">
        <f t="shared" si="2"/>
        <v>0</v>
      </c>
      <c r="U24" s="173">
        <f t="shared" si="2"/>
        <v>0</v>
      </c>
      <c r="V24" s="173">
        <f t="shared" si="2"/>
        <v>0</v>
      </c>
      <c r="W24" s="173">
        <f t="shared" si="2"/>
        <v>0</v>
      </c>
      <c r="X24" s="173">
        <f t="shared" si="2"/>
        <v>0</v>
      </c>
      <c r="Y24" s="173">
        <f t="shared" si="2"/>
        <v>0</v>
      </c>
      <c r="Z24" s="173">
        <f t="shared" si="2"/>
        <v>0</v>
      </c>
      <c r="AA24" s="173">
        <f t="shared" si="2"/>
        <v>0</v>
      </c>
      <c r="AB24" s="173">
        <f t="shared" si="2"/>
        <v>0</v>
      </c>
      <c r="AC24" s="173">
        <f t="shared" si="2"/>
        <v>0</v>
      </c>
      <c r="AD24" s="173">
        <f t="shared" si="2"/>
        <v>0</v>
      </c>
      <c r="AE24" s="177">
        <f>$B$15*AE25</f>
        <v>0</v>
      </c>
      <c r="AF24" s="6"/>
    </row>
    <row r="25" spans="1:177" x14ac:dyDescent="0.25">
      <c r="A25" s="174" t="s">
        <v>236</v>
      </c>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1"/>
      <c r="AF25" s="41"/>
    </row>
    <row r="26" spans="1:177" ht="30.75" thickBot="1" x14ac:dyDescent="0.3">
      <c r="A26" s="178" t="s">
        <v>235</v>
      </c>
      <c r="B26" s="150">
        <f>B20-B24</f>
        <v>0</v>
      </c>
      <c r="C26" s="166">
        <f>C20-C24</f>
        <v>0</v>
      </c>
      <c r="D26" s="166">
        <f t="shared" ref="D26:AD26" si="3">D20-D24</f>
        <v>0</v>
      </c>
      <c r="E26" s="166">
        <f t="shared" si="3"/>
        <v>0</v>
      </c>
      <c r="F26" s="166">
        <f t="shared" si="3"/>
        <v>0</v>
      </c>
      <c r="G26" s="166">
        <f t="shared" si="3"/>
        <v>0</v>
      </c>
      <c r="H26" s="166">
        <f t="shared" si="3"/>
        <v>0</v>
      </c>
      <c r="I26" s="166">
        <f t="shared" si="3"/>
        <v>0</v>
      </c>
      <c r="J26" s="166">
        <f t="shared" si="3"/>
        <v>0</v>
      </c>
      <c r="K26" s="166">
        <f t="shared" si="3"/>
        <v>0</v>
      </c>
      <c r="L26" s="166">
        <f t="shared" si="3"/>
        <v>0</v>
      </c>
      <c r="M26" s="166">
        <f t="shared" si="3"/>
        <v>0</v>
      </c>
      <c r="N26" s="166">
        <f t="shared" si="3"/>
        <v>0</v>
      </c>
      <c r="O26" s="166">
        <f t="shared" si="3"/>
        <v>0</v>
      </c>
      <c r="P26" s="166">
        <f t="shared" si="3"/>
        <v>0</v>
      </c>
      <c r="Q26" s="166">
        <f t="shared" si="3"/>
        <v>0</v>
      </c>
      <c r="R26" s="166">
        <f t="shared" si="3"/>
        <v>0</v>
      </c>
      <c r="S26" s="166">
        <f t="shared" si="3"/>
        <v>0</v>
      </c>
      <c r="T26" s="166">
        <f t="shared" si="3"/>
        <v>0</v>
      </c>
      <c r="U26" s="166">
        <f t="shared" si="3"/>
        <v>859.98165000000017</v>
      </c>
      <c r="V26" s="166">
        <f t="shared" si="3"/>
        <v>0</v>
      </c>
      <c r="W26" s="166">
        <f t="shared" si="3"/>
        <v>0</v>
      </c>
      <c r="X26" s="166">
        <f t="shared" si="3"/>
        <v>0</v>
      </c>
      <c r="Y26" s="166">
        <f t="shared" si="3"/>
        <v>0</v>
      </c>
      <c r="Z26" s="166">
        <f t="shared" si="3"/>
        <v>0</v>
      </c>
      <c r="AA26" s="166">
        <f t="shared" si="3"/>
        <v>0</v>
      </c>
      <c r="AB26" s="166">
        <f t="shared" si="3"/>
        <v>0</v>
      </c>
      <c r="AC26" s="166">
        <f t="shared" si="3"/>
        <v>37.603499999999997</v>
      </c>
      <c r="AD26" s="166">
        <f t="shared" si="3"/>
        <v>0</v>
      </c>
      <c r="AE26" s="99">
        <f>AE20-AE24</f>
        <v>0</v>
      </c>
      <c r="AF26" s="15"/>
    </row>
    <row r="27" spans="1:177" ht="15.75" thickBot="1" x14ac:dyDescent="0.3">
      <c r="A27" s="198" t="s">
        <v>10</v>
      </c>
      <c r="B27" s="199"/>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row>
    <row r="28" spans="1:177" x14ac:dyDescent="0.25">
      <c r="A28" s="188" t="s">
        <v>97</v>
      </c>
      <c r="B28" s="12" t="s">
        <v>98</v>
      </c>
      <c r="C28" s="36">
        <v>1.52</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25">
      <c r="A29" s="189"/>
      <c r="B29" s="12" t="s">
        <v>100</v>
      </c>
      <c r="C29" s="27">
        <v>0</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25">
      <c r="A30" s="189"/>
      <c r="B30" s="12" t="s">
        <v>101</v>
      </c>
      <c r="C30" s="27">
        <v>0.77</v>
      </c>
      <c r="D30" s="15"/>
      <c r="E30" s="15"/>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25">
      <c r="A31" s="189"/>
      <c r="B31" s="12" t="s">
        <v>99</v>
      </c>
      <c r="C31" s="27">
        <v>0.25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x14ac:dyDescent="0.25">
      <c r="A32" s="200" t="s">
        <v>102</v>
      </c>
      <c r="B32" s="28" t="s">
        <v>103</v>
      </c>
      <c r="C32" s="39">
        <v>0.25</v>
      </c>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row>
    <row r="33" spans="1:31" x14ac:dyDescent="0.25">
      <c r="A33" s="200"/>
      <c r="B33" s="28" t="s">
        <v>104</v>
      </c>
      <c r="C33" s="39">
        <v>1.03</v>
      </c>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row>
    <row r="34" spans="1:31" ht="30" x14ac:dyDescent="0.25">
      <c r="A34" s="200"/>
      <c r="B34" s="37" t="s">
        <v>105</v>
      </c>
      <c r="C34" s="39">
        <v>0.59</v>
      </c>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row>
    <row r="35" spans="1:31" ht="15.75" thickBot="1" x14ac:dyDescent="0.3">
      <c r="A35" s="201"/>
      <c r="B35" s="23" t="s">
        <v>106</v>
      </c>
      <c r="C35" s="40">
        <v>0.43</v>
      </c>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row>
  </sheetData>
  <sheetProtection algorithmName="SHA-512" hashValue="Yc4/9F22Zc+1xhs/OCJdT1hvtq4aq3QzwQdgSJcAwW6j48ACn9JEWzV0W4Rp07WNgxIduvY0GVjVuap7NOFeBQ==" saltValue="2OSQz+9uPoMwXxuFZViY6w==" spinCount="100000" sheet="1" objects="1" scenarios="1"/>
  <mergeCells count="6">
    <mergeCell ref="A32:A35"/>
    <mergeCell ref="A9:B9"/>
    <mergeCell ref="A27:B27"/>
    <mergeCell ref="A28:A31"/>
    <mergeCell ref="A19:AE19"/>
    <mergeCell ref="A23:AE23"/>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D28:D30</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76" workbookViewId="0">
      <selection activeCell="E10" sqref="E10"/>
    </sheetView>
  </sheetViews>
  <sheetFormatPr baseColWidth="10" defaultRowHeight="15" x14ac:dyDescent="0.25"/>
  <cols>
    <col min="1" max="1" width="55.85546875" customWidth="1"/>
    <col min="2" max="2" width="29.7109375" customWidth="1"/>
    <col min="3" max="3" width="22.5703125" customWidth="1"/>
  </cols>
  <sheetData>
    <row r="1" spans="1:4" ht="15.75" thickBot="1" x14ac:dyDescent="0.3"/>
    <row r="2" spans="1:4" ht="16.5" thickBot="1" x14ac:dyDescent="0.3">
      <c r="A2" s="43" t="s">
        <v>114</v>
      </c>
      <c r="B2" s="144" t="s">
        <v>113</v>
      </c>
      <c r="C2" s="143"/>
      <c r="D2" s="143"/>
    </row>
    <row r="3" spans="1:4" ht="15.75" x14ac:dyDescent="0.25">
      <c r="A3" s="34" t="s">
        <v>115</v>
      </c>
      <c r="B3" s="145">
        <f>SUM(B4,B6)</f>
        <v>702.0693988834837</v>
      </c>
      <c r="C3" s="143"/>
      <c r="D3" s="143"/>
    </row>
    <row r="4" spans="1:4" ht="15.75" x14ac:dyDescent="0.25">
      <c r="A4" s="44" t="s">
        <v>116</v>
      </c>
      <c r="B4" s="146">
        <f>REAforêtMBoisement!B6</f>
        <v>542.18271981777502</v>
      </c>
      <c r="C4" s="143"/>
      <c r="D4" s="143"/>
    </row>
    <row r="5" spans="1:4" ht="15.75" x14ac:dyDescent="0.25">
      <c r="A5" s="105" t="s">
        <v>120</v>
      </c>
      <c r="B5" s="146">
        <f>B4*(1-C15)*(1-C16)*(1-C17)*(1-C18)</f>
        <v>370.85298035535811</v>
      </c>
      <c r="C5" s="143"/>
      <c r="D5" s="143"/>
    </row>
    <row r="6" spans="1:4" ht="15.75" x14ac:dyDescent="0.25">
      <c r="A6" s="44" t="s">
        <v>117</v>
      </c>
      <c r="B6" s="146">
        <f>REAproduitsMBoisement!B6</f>
        <v>159.88667906570871</v>
      </c>
      <c r="C6" s="143"/>
      <c r="D6" s="143"/>
    </row>
    <row r="7" spans="1:4" ht="15.75" x14ac:dyDescent="0.25">
      <c r="A7" s="105" t="s">
        <v>121</v>
      </c>
      <c r="B7" s="146">
        <f>B6*(1-C15)*(1-C16)*(1-C17)*(1-C18)</f>
        <v>109.36248848094475</v>
      </c>
      <c r="C7" s="143"/>
      <c r="D7" s="143"/>
    </row>
    <row r="8" spans="1:4" ht="31.5" x14ac:dyDescent="0.25">
      <c r="A8" s="44" t="s">
        <v>118</v>
      </c>
      <c r="B8" s="146">
        <f>REEsubsMBoisement!B6</f>
        <v>897.58515000000011</v>
      </c>
      <c r="C8" s="143"/>
      <c r="D8" s="143"/>
    </row>
    <row r="9" spans="1:4" ht="16.5" thickBot="1" x14ac:dyDescent="0.3">
      <c r="A9" s="106" t="s">
        <v>122</v>
      </c>
      <c r="B9" s="147">
        <f>B8*(1-C15)*(1-C16)*(1-C17)*(1-C18)</f>
        <v>613.94824260000007</v>
      </c>
      <c r="C9" s="143"/>
      <c r="D9" s="143"/>
    </row>
    <row r="10" spans="1:4" ht="15.75" x14ac:dyDescent="0.25">
      <c r="A10" s="45" t="s">
        <v>119</v>
      </c>
      <c r="B10" s="148">
        <f>SUM(B3,B8)</f>
        <v>1599.6545488834838</v>
      </c>
      <c r="C10" s="15"/>
      <c r="D10" s="15"/>
    </row>
    <row r="11" spans="1:4" ht="16.5" thickBot="1" x14ac:dyDescent="0.3">
      <c r="A11" s="46" t="s">
        <v>123</v>
      </c>
      <c r="B11" s="149">
        <f>SUM(B5,B7,B9)</f>
        <v>1094.1637114363029</v>
      </c>
      <c r="C11" s="15"/>
      <c r="D11" s="15"/>
    </row>
    <row r="13" spans="1:4" ht="15.75" thickBot="1" x14ac:dyDescent="0.3"/>
    <row r="14" spans="1:4" ht="16.5" thickBot="1" x14ac:dyDescent="0.3">
      <c r="A14" s="48" t="s">
        <v>124</v>
      </c>
      <c r="B14" s="70" t="s">
        <v>125</v>
      </c>
      <c r="C14" s="94" t="s">
        <v>132</v>
      </c>
    </row>
    <row r="15" spans="1:4" x14ac:dyDescent="0.25">
      <c r="A15" s="121" t="s">
        <v>238</v>
      </c>
      <c r="B15" s="51" t="s">
        <v>178</v>
      </c>
      <c r="C15" s="53">
        <f>IF(B15="Réalisée",0,IF(B15="Pas réalisée",0.2,""))</f>
        <v>0.2</v>
      </c>
    </row>
    <row r="16" spans="1:4" x14ac:dyDescent="0.25">
      <c r="A16" s="119" t="s">
        <v>239</v>
      </c>
      <c r="B16" s="50" t="s">
        <v>129</v>
      </c>
      <c r="C16" s="54">
        <v>0.1</v>
      </c>
      <c r="D16" s="47"/>
    </row>
    <row r="17" spans="1:5" ht="30" x14ac:dyDescent="0.25">
      <c r="A17" s="118" t="s">
        <v>154</v>
      </c>
      <c r="B17" s="52" t="s">
        <v>134</v>
      </c>
      <c r="C17" s="54">
        <f>IF(B17="Départements sans risque ou risque négligeable",0,IF(B17="Départements avec risque très faible ou faible",0.05,IF(B17="Départements avec risque moyen",0.1,IF(B17="Départements avec risque fort ou très fort", 0.15,""))))</f>
        <v>0.05</v>
      </c>
      <c r="D17" s="47"/>
    </row>
    <row r="18" spans="1:5" ht="15.75" thickBot="1" x14ac:dyDescent="0.3">
      <c r="A18" s="120" t="s">
        <v>131</v>
      </c>
      <c r="B18" s="179" t="s">
        <v>138</v>
      </c>
      <c r="C18" s="180">
        <f>IF(B18="Démontrée",0,IF(B18="Non démontrée",0.1,""))</f>
        <v>0</v>
      </c>
    </row>
    <row r="19" spans="1:5" x14ac:dyDescent="0.25">
      <c r="A19" s="55"/>
      <c r="B19" s="15"/>
      <c r="C19" s="15"/>
      <c r="D19" s="55"/>
      <c r="E19" s="92"/>
    </row>
    <row r="20" spans="1:5" x14ac:dyDescent="0.25">
      <c r="A20" s="55"/>
      <c r="B20" s="15"/>
      <c r="C20" s="15"/>
      <c r="D20" s="55"/>
      <c r="E20" s="92"/>
    </row>
    <row r="21" spans="1:5" x14ac:dyDescent="0.25">
      <c r="A21" s="55"/>
      <c r="B21" s="15"/>
      <c r="C21" s="15"/>
      <c r="D21" s="55"/>
      <c r="E21" s="92"/>
    </row>
    <row r="22" spans="1:5" x14ac:dyDescent="0.25">
      <c r="A22" s="55"/>
      <c r="B22" s="15"/>
      <c r="C22" s="56"/>
      <c r="D22" s="55"/>
    </row>
    <row r="23" spans="1:5" x14ac:dyDescent="0.25">
      <c r="A23" s="55"/>
      <c r="B23" s="55"/>
      <c r="C23" s="55"/>
      <c r="D23" s="55"/>
    </row>
    <row r="24" spans="1:5" x14ac:dyDescent="0.25">
      <c r="A24" s="55"/>
      <c r="B24" s="55"/>
      <c r="C24" s="55"/>
      <c r="D24" s="55"/>
    </row>
    <row r="25" spans="1:5" x14ac:dyDescent="0.25">
      <c r="A25" s="55"/>
      <c r="B25" s="55"/>
      <c r="C25" s="55"/>
      <c r="D25" s="55"/>
    </row>
    <row r="26" spans="1:5" x14ac:dyDescent="0.25">
      <c r="A26" s="55"/>
      <c r="B26" s="55"/>
      <c r="C26" s="55"/>
      <c r="D26" s="55"/>
    </row>
  </sheetData>
  <sheetProtection algorithmName="SHA-512" hashValue="XRJVSxekVdpijkCtmSjRLsoTQqaawwzD2KDEvN18R60EMoiCxIZBorFwubXUPjRW8WhJe95jq122/lCLueDtYA==" saltValue="l3Ov3e7TGmu0AFI8tkzHAA=="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ColWidth="10.85546875" defaultRowHeight="15" x14ac:dyDescent="0.25"/>
  <cols>
    <col min="1" max="1" width="23.140625" style="47" customWidth="1"/>
    <col min="2" max="2" width="10.85546875" style="47"/>
    <col min="3" max="3" width="22.140625" style="47" customWidth="1"/>
    <col min="4" max="6" width="10.85546875" style="47"/>
    <col min="7" max="7" width="14.85546875" style="47" customWidth="1"/>
    <col min="8" max="8" width="16.7109375" style="47" customWidth="1"/>
    <col min="9" max="9" width="22.28515625" style="47" customWidth="1"/>
    <col min="10" max="10" width="25" style="47" customWidth="1"/>
    <col min="11" max="11" width="26.85546875" style="47" customWidth="1"/>
    <col min="12" max="15" width="10.85546875" style="47"/>
    <col min="16" max="16" width="13.5703125" style="47" customWidth="1"/>
    <col min="17" max="16384" width="10.85546875" style="47"/>
  </cols>
  <sheetData>
    <row r="1" spans="1:20" ht="45.75" thickBot="1" x14ac:dyDescent="0.3">
      <c r="A1" s="74" t="s">
        <v>9</v>
      </c>
      <c r="B1" s="74" t="s">
        <v>17</v>
      </c>
      <c r="C1" s="78" t="s">
        <v>55</v>
      </c>
      <c r="D1" s="79" t="s">
        <v>20</v>
      </c>
      <c r="E1" s="78" t="s">
        <v>89</v>
      </c>
      <c r="F1" s="78" t="s">
        <v>90</v>
      </c>
      <c r="G1" s="78" t="s">
        <v>108</v>
      </c>
      <c r="H1" s="78" t="s">
        <v>111</v>
      </c>
      <c r="I1" s="87" t="s">
        <v>124</v>
      </c>
      <c r="J1" s="205" t="s">
        <v>125</v>
      </c>
      <c r="K1" s="206"/>
      <c r="L1" s="10"/>
      <c r="M1" s="10"/>
      <c r="N1" s="78" t="s">
        <v>55</v>
      </c>
      <c r="O1" s="78" t="s">
        <v>151</v>
      </c>
      <c r="P1" s="79" t="s">
        <v>154</v>
      </c>
      <c r="Q1" s="207" t="s">
        <v>164</v>
      </c>
      <c r="R1" s="208"/>
      <c r="S1" s="209"/>
      <c r="T1" s="78" t="s">
        <v>208</v>
      </c>
    </row>
    <row r="2" spans="1:20" ht="90.75" thickBot="1" x14ac:dyDescent="0.3">
      <c r="A2" s="71" t="s">
        <v>157</v>
      </c>
      <c r="B2" s="76" t="s">
        <v>19</v>
      </c>
      <c r="C2" s="80" t="s">
        <v>21</v>
      </c>
      <c r="D2" s="83">
        <v>0.62</v>
      </c>
      <c r="E2" s="80" t="s">
        <v>91</v>
      </c>
      <c r="F2" s="83">
        <v>35</v>
      </c>
      <c r="G2" s="76" t="s">
        <v>18</v>
      </c>
      <c r="H2" s="76" t="s">
        <v>18</v>
      </c>
      <c r="I2" s="80" t="s">
        <v>126</v>
      </c>
      <c r="J2" s="88" t="s">
        <v>133</v>
      </c>
      <c r="K2" s="88" t="s">
        <v>178</v>
      </c>
      <c r="L2" s="91" t="s">
        <v>133</v>
      </c>
      <c r="M2" s="90" t="s">
        <v>178</v>
      </c>
      <c r="N2" s="76" t="s">
        <v>21</v>
      </c>
      <c r="O2" s="76" t="s">
        <v>152</v>
      </c>
      <c r="P2" s="75" t="s">
        <v>155</v>
      </c>
      <c r="Q2" s="78" t="s">
        <v>163</v>
      </c>
      <c r="R2" s="78" t="s">
        <v>165</v>
      </c>
      <c r="S2" s="113" t="s">
        <v>166</v>
      </c>
      <c r="T2" s="49" t="s">
        <v>209</v>
      </c>
    </row>
    <row r="3" spans="1:20" ht="105.75" thickBot="1" x14ac:dyDescent="0.3">
      <c r="A3" s="72" t="s">
        <v>158</v>
      </c>
      <c r="B3" s="77" t="s">
        <v>18</v>
      </c>
      <c r="C3" s="65" t="s">
        <v>77</v>
      </c>
      <c r="D3" s="84">
        <v>0.64</v>
      </c>
      <c r="E3" s="65" t="s">
        <v>92</v>
      </c>
      <c r="F3" s="84">
        <v>25</v>
      </c>
      <c r="G3" s="86" t="s">
        <v>104</v>
      </c>
      <c r="H3" s="77" t="s">
        <v>112</v>
      </c>
      <c r="I3" s="65" t="s">
        <v>127</v>
      </c>
      <c r="J3" s="49" t="s">
        <v>139</v>
      </c>
      <c r="K3" s="81" t="s">
        <v>141</v>
      </c>
      <c r="L3" s="10"/>
      <c r="M3" s="10"/>
      <c r="N3" s="86" t="s">
        <v>22</v>
      </c>
      <c r="O3" s="86" t="s">
        <v>26</v>
      </c>
      <c r="P3" s="77" t="s">
        <v>136</v>
      </c>
      <c r="Q3" s="76" t="s">
        <v>167</v>
      </c>
      <c r="R3" s="76" t="s">
        <v>176</v>
      </c>
      <c r="S3" s="76" t="s">
        <v>170</v>
      </c>
      <c r="T3" s="49" t="s">
        <v>210</v>
      </c>
    </row>
    <row r="4" spans="1:20" ht="90.75" thickBot="1" x14ac:dyDescent="0.3">
      <c r="A4" s="72" t="s">
        <v>159</v>
      </c>
      <c r="B4" s="10"/>
      <c r="C4" s="65" t="s">
        <v>22</v>
      </c>
      <c r="D4" s="84">
        <v>0.42</v>
      </c>
      <c r="E4" s="66" t="s">
        <v>93</v>
      </c>
      <c r="F4" s="85">
        <v>2</v>
      </c>
      <c r="G4" s="72" t="s">
        <v>106</v>
      </c>
      <c r="H4" s="10"/>
      <c r="I4" s="65" t="s">
        <v>128</v>
      </c>
      <c r="J4" s="49" t="s">
        <v>129</v>
      </c>
      <c r="K4" s="81" t="s">
        <v>129</v>
      </c>
      <c r="L4" s="10"/>
      <c r="M4" s="10"/>
      <c r="N4" s="86" t="s">
        <v>78</v>
      </c>
      <c r="O4" s="73" t="s">
        <v>153</v>
      </c>
      <c r="P4" s="10"/>
      <c r="Q4" s="86" t="s">
        <v>168</v>
      </c>
      <c r="R4" s="77" t="s">
        <v>169</v>
      </c>
      <c r="S4" s="72" t="s">
        <v>171</v>
      </c>
    </row>
    <row r="5" spans="1:20" ht="90.75" thickBot="1" x14ac:dyDescent="0.3">
      <c r="A5" s="73" t="s">
        <v>160</v>
      </c>
      <c r="B5" s="10"/>
      <c r="C5" s="65" t="s">
        <v>78</v>
      </c>
      <c r="D5" s="81">
        <v>0.42</v>
      </c>
      <c r="E5" s="10"/>
      <c r="F5" s="10"/>
      <c r="G5" s="73" t="s">
        <v>109</v>
      </c>
      <c r="H5" s="10"/>
      <c r="I5" s="188" t="s">
        <v>130</v>
      </c>
      <c r="J5" s="49"/>
      <c r="K5" s="81" t="s">
        <v>140</v>
      </c>
      <c r="L5" s="10"/>
      <c r="M5" s="10"/>
      <c r="N5" s="72" t="s">
        <v>24</v>
      </c>
      <c r="O5" s="10"/>
      <c r="P5" s="10"/>
      <c r="Q5" s="73" t="s">
        <v>175</v>
      </c>
      <c r="S5" s="72" t="s">
        <v>172</v>
      </c>
    </row>
    <row r="6" spans="1:20" ht="90" x14ac:dyDescent="0.25">
      <c r="A6" s="10"/>
      <c r="B6" s="10"/>
      <c r="C6" s="65" t="s">
        <v>79</v>
      </c>
      <c r="D6" s="81">
        <v>0.52</v>
      </c>
      <c r="E6" s="10"/>
      <c r="F6" s="10"/>
      <c r="G6" s="10"/>
      <c r="H6" s="10"/>
      <c r="I6" s="189"/>
      <c r="J6" s="49"/>
      <c r="K6" s="81" t="s">
        <v>134</v>
      </c>
      <c r="L6" s="10"/>
      <c r="M6" s="10"/>
      <c r="N6" s="72" t="s">
        <v>25</v>
      </c>
      <c r="O6" s="10"/>
      <c r="P6" s="10"/>
      <c r="S6" s="72" t="s">
        <v>173</v>
      </c>
    </row>
    <row r="7" spans="1:20" ht="120" x14ac:dyDescent="0.25">
      <c r="A7" s="10"/>
      <c r="B7" s="10"/>
      <c r="C7" s="65" t="s">
        <v>23</v>
      </c>
      <c r="D7" s="81">
        <v>0.36</v>
      </c>
      <c r="E7" s="10"/>
      <c r="F7" s="10"/>
      <c r="G7" s="10"/>
      <c r="H7" s="10"/>
      <c r="I7" s="189"/>
      <c r="J7" s="49"/>
      <c r="K7" s="81" t="s">
        <v>135</v>
      </c>
      <c r="L7" s="10"/>
      <c r="M7" s="10"/>
      <c r="N7" s="72" t="s">
        <v>26</v>
      </c>
      <c r="O7" s="10"/>
      <c r="P7" s="10"/>
      <c r="S7" s="93" t="s">
        <v>174</v>
      </c>
    </row>
    <row r="8" spans="1:20" ht="30.75" thickBot="1" x14ac:dyDescent="0.3">
      <c r="A8" s="10"/>
      <c r="B8" s="10"/>
      <c r="C8" s="65" t="s">
        <v>24</v>
      </c>
      <c r="D8" s="81">
        <v>0.61</v>
      </c>
      <c r="E8" s="10"/>
      <c r="F8" s="10"/>
      <c r="G8" s="10"/>
      <c r="H8" s="10"/>
      <c r="I8" s="191"/>
      <c r="J8" s="49"/>
      <c r="K8" s="81" t="s">
        <v>136</v>
      </c>
      <c r="L8" s="10"/>
      <c r="M8" s="10"/>
      <c r="N8" s="72" t="s">
        <v>27</v>
      </c>
      <c r="O8" s="10"/>
      <c r="P8" s="10"/>
      <c r="S8" s="73" t="s">
        <v>177</v>
      </c>
    </row>
    <row r="9" spans="1:20" ht="30.75" thickBot="1" x14ac:dyDescent="0.3">
      <c r="A9" s="10"/>
      <c r="B9" s="10"/>
      <c r="C9" s="65" t="s">
        <v>25</v>
      </c>
      <c r="D9" s="81">
        <v>0.66</v>
      </c>
      <c r="E9" s="10"/>
      <c r="F9" s="10"/>
      <c r="G9" s="10"/>
      <c r="H9" s="10"/>
      <c r="I9" s="66" t="s">
        <v>131</v>
      </c>
      <c r="J9" s="89" t="s">
        <v>138</v>
      </c>
      <c r="K9" s="82" t="s">
        <v>137</v>
      </c>
      <c r="L9" s="10"/>
      <c r="M9" s="10"/>
      <c r="N9" s="72" t="s">
        <v>28</v>
      </c>
      <c r="O9" s="10"/>
      <c r="P9" s="10"/>
    </row>
    <row r="10" spans="1:20" ht="30" x14ac:dyDescent="0.25">
      <c r="A10" s="10"/>
      <c r="B10" s="10"/>
      <c r="C10" s="65" t="s">
        <v>26</v>
      </c>
      <c r="D10" s="81">
        <v>0.47</v>
      </c>
      <c r="E10" s="10"/>
      <c r="F10" s="10"/>
      <c r="G10" s="10"/>
      <c r="H10" s="10"/>
      <c r="I10" s="10"/>
      <c r="J10" s="10"/>
      <c r="K10" s="10"/>
      <c r="L10" s="10"/>
      <c r="M10" s="10"/>
      <c r="N10" s="72" t="s">
        <v>29</v>
      </c>
      <c r="O10" s="10"/>
      <c r="P10" s="10"/>
    </row>
    <row r="11" spans="1:20" ht="30" x14ac:dyDescent="0.25">
      <c r="A11" s="10"/>
      <c r="B11" s="10"/>
      <c r="C11" s="65" t="s">
        <v>27</v>
      </c>
      <c r="D11" s="81">
        <v>0.67</v>
      </c>
      <c r="E11" s="10"/>
      <c r="F11" s="10"/>
      <c r="G11" s="10"/>
      <c r="H11" s="10"/>
      <c r="I11" s="10"/>
      <c r="J11" s="10"/>
      <c r="K11" s="10"/>
      <c r="L11" s="10"/>
      <c r="M11" s="10"/>
      <c r="N11" s="72" t="s">
        <v>30</v>
      </c>
      <c r="O11" s="10"/>
      <c r="P11" s="10"/>
    </row>
    <row r="12" spans="1:20" ht="45" x14ac:dyDescent="0.25">
      <c r="A12" s="10"/>
      <c r="B12" s="10"/>
      <c r="C12" s="65" t="s">
        <v>28</v>
      </c>
      <c r="D12" s="81">
        <v>0.7</v>
      </c>
      <c r="E12" s="10"/>
      <c r="F12" s="10"/>
      <c r="G12" s="10"/>
      <c r="H12" s="10"/>
      <c r="I12" s="10"/>
      <c r="J12" s="10"/>
      <c r="K12" s="10"/>
      <c r="L12" s="10"/>
      <c r="M12" s="10"/>
      <c r="N12" s="72" t="s">
        <v>31</v>
      </c>
      <c r="O12" s="10"/>
      <c r="P12" s="10"/>
    </row>
    <row r="13" spans="1:20" ht="30" x14ac:dyDescent="0.25">
      <c r="A13" s="10"/>
      <c r="B13" s="10"/>
      <c r="C13" s="65" t="s">
        <v>29</v>
      </c>
      <c r="D13" s="81">
        <v>0.54</v>
      </c>
      <c r="E13" s="10"/>
      <c r="F13" s="10"/>
      <c r="G13" s="10"/>
      <c r="H13" s="10"/>
      <c r="I13" s="10"/>
      <c r="J13" s="10"/>
      <c r="K13" s="10"/>
      <c r="L13" s="10"/>
      <c r="M13" s="10"/>
      <c r="N13" s="72" t="s">
        <v>32</v>
      </c>
      <c r="O13" s="10"/>
      <c r="P13" s="10"/>
    </row>
    <row r="14" spans="1:20" x14ac:dyDescent="0.25">
      <c r="A14" s="10"/>
      <c r="B14" s="10"/>
      <c r="C14" s="65" t="s">
        <v>30</v>
      </c>
      <c r="D14" s="81">
        <v>0.65</v>
      </c>
      <c r="E14" s="10"/>
      <c r="F14" s="10"/>
      <c r="G14" s="10"/>
      <c r="H14" s="10"/>
      <c r="I14" s="10"/>
      <c r="J14" s="10"/>
      <c r="K14" s="10"/>
      <c r="L14" s="10"/>
      <c r="M14" s="10"/>
      <c r="N14" s="72" t="s">
        <v>33</v>
      </c>
      <c r="O14" s="10"/>
      <c r="P14" s="10"/>
    </row>
    <row r="15" spans="1:20" ht="45" x14ac:dyDescent="0.25">
      <c r="A15" s="10"/>
      <c r="B15" s="10"/>
      <c r="C15" s="65" t="s">
        <v>80</v>
      </c>
      <c r="D15" s="81">
        <v>0.56000000000000005</v>
      </c>
      <c r="E15" s="10"/>
      <c r="F15" s="10"/>
      <c r="G15" s="10"/>
      <c r="H15" s="10"/>
      <c r="I15" s="10"/>
      <c r="J15" s="10"/>
      <c r="K15" s="10"/>
      <c r="L15" s="10"/>
      <c r="M15" s="10"/>
      <c r="N15" s="72" t="s">
        <v>34</v>
      </c>
      <c r="O15" s="10"/>
      <c r="P15" s="10"/>
    </row>
    <row r="16" spans="1:20" ht="30" x14ac:dyDescent="0.25">
      <c r="A16" s="10"/>
      <c r="B16" s="10"/>
      <c r="C16" s="65" t="s">
        <v>31</v>
      </c>
      <c r="D16" s="81">
        <v>0.57999999999999996</v>
      </c>
      <c r="E16" s="10"/>
      <c r="F16" s="10"/>
      <c r="G16" s="10"/>
      <c r="H16" s="10"/>
      <c r="I16" s="10"/>
      <c r="J16" s="10"/>
      <c r="K16" s="10"/>
      <c r="L16" s="10"/>
      <c r="M16" s="10"/>
      <c r="N16" s="72" t="s">
        <v>41</v>
      </c>
      <c r="O16" s="10"/>
      <c r="P16" s="10"/>
    </row>
    <row r="17" spans="1:16" ht="30" x14ac:dyDescent="0.25">
      <c r="A17" s="10"/>
      <c r="B17" s="10"/>
      <c r="C17" s="65" t="s">
        <v>32</v>
      </c>
      <c r="D17" s="81">
        <v>0.64</v>
      </c>
      <c r="E17" s="10"/>
      <c r="F17" s="10"/>
      <c r="G17" s="10"/>
      <c r="H17" s="10"/>
      <c r="I17" s="10"/>
      <c r="J17" s="10"/>
      <c r="K17" s="10"/>
      <c r="L17" s="10"/>
      <c r="M17" s="10"/>
      <c r="N17" s="72" t="s">
        <v>42</v>
      </c>
      <c r="O17" s="10"/>
      <c r="P17" s="10"/>
    </row>
    <row r="18" spans="1:16" x14ac:dyDescent="0.25">
      <c r="A18" s="10"/>
      <c r="B18" s="10"/>
      <c r="C18" s="65" t="s">
        <v>33</v>
      </c>
      <c r="D18" s="81">
        <v>0.73</v>
      </c>
      <c r="E18" s="10"/>
      <c r="F18" s="10"/>
      <c r="G18" s="10"/>
      <c r="H18" s="10"/>
      <c r="I18" s="10"/>
      <c r="J18" s="10"/>
      <c r="K18" s="10"/>
      <c r="L18" s="10"/>
      <c r="M18" s="10"/>
      <c r="N18" s="72" t="s">
        <v>44</v>
      </c>
      <c r="O18" s="10"/>
      <c r="P18" s="10"/>
    </row>
    <row r="19" spans="1:16" x14ac:dyDescent="0.25">
      <c r="A19" s="10"/>
      <c r="B19" s="10"/>
      <c r="C19" s="65" t="s">
        <v>34</v>
      </c>
      <c r="D19" s="81">
        <v>0.56000000000000005</v>
      </c>
      <c r="E19" s="10"/>
      <c r="F19" s="10"/>
      <c r="G19" s="10"/>
      <c r="H19" s="10"/>
      <c r="I19" s="10"/>
      <c r="J19" s="10"/>
      <c r="K19" s="10"/>
      <c r="L19" s="10"/>
      <c r="M19" s="10"/>
      <c r="N19" s="72" t="s">
        <v>82</v>
      </c>
      <c r="O19" s="10"/>
      <c r="P19" s="10"/>
    </row>
    <row r="20" spans="1:16" x14ac:dyDescent="0.25">
      <c r="A20" s="10"/>
      <c r="B20" s="10"/>
      <c r="C20" s="65" t="s">
        <v>35</v>
      </c>
      <c r="D20" s="81">
        <v>0.74</v>
      </c>
      <c r="E20" s="10"/>
      <c r="F20" s="10"/>
      <c r="G20" s="10"/>
      <c r="H20" s="10"/>
      <c r="I20" s="10"/>
      <c r="J20" s="10"/>
      <c r="K20" s="10"/>
      <c r="L20" s="10"/>
      <c r="M20" s="10"/>
      <c r="N20" s="72" t="s">
        <v>85</v>
      </c>
      <c r="O20" s="10"/>
      <c r="P20" s="10"/>
    </row>
    <row r="21" spans="1:16" x14ac:dyDescent="0.25">
      <c r="A21" s="10"/>
      <c r="B21" s="10"/>
      <c r="C21" s="65" t="s">
        <v>36</v>
      </c>
      <c r="D21" s="81">
        <v>0.4</v>
      </c>
      <c r="E21" s="10"/>
      <c r="F21" s="10"/>
      <c r="G21" s="10"/>
      <c r="H21" s="10"/>
      <c r="I21" s="10"/>
      <c r="J21" s="10"/>
      <c r="K21" s="10"/>
      <c r="L21" s="10"/>
      <c r="M21" s="10"/>
      <c r="N21" s="72" t="s">
        <v>52</v>
      </c>
      <c r="O21" s="10"/>
      <c r="P21" s="10"/>
    </row>
    <row r="22" spans="1:16" x14ac:dyDescent="0.25">
      <c r="A22" s="10"/>
      <c r="B22" s="10"/>
      <c r="C22" s="65" t="s">
        <v>37</v>
      </c>
      <c r="D22" s="81">
        <v>0.6</v>
      </c>
      <c r="E22" s="10"/>
      <c r="F22" s="10"/>
      <c r="G22" s="10"/>
      <c r="H22" s="10"/>
      <c r="I22" s="10"/>
      <c r="J22" s="10"/>
      <c r="K22" s="10"/>
      <c r="L22" s="10"/>
      <c r="M22" s="10"/>
      <c r="N22" s="72" t="s">
        <v>65</v>
      </c>
      <c r="O22" s="10"/>
      <c r="P22" s="10"/>
    </row>
    <row r="23" spans="1:16" ht="30" x14ac:dyDescent="0.25">
      <c r="A23" s="10"/>
      <c r="B23" s="10"/>
      <c r="C23" s="65" t="s">
        <v>38</v>
      </c>
      <c r="D23" s="81">
        <v>0.43</v>
      </c>
      <c r="E23" s="10"/>
      <c r="F23" s="10"/>
      <c r="G23" s="10"/>
      <c r="H23" s="10"/>
      <c r="I23" s="10"/>
      <c r="J23" s="10"/>
      <c r="K23" s="10"/>
      <c r="L23" s="10"/>
      <c r="M23" s="10"/>
      <c r="N23" s="72" t="s">
        <v>86</v>
      </c>
      <c r="O23" s="10"/>
      <c r="P23" s="10"/>
    </row>
    <row r="24" spans="1:16" x14ac:dyDescent="0.25">
      <c r="A24" s="10"/>
      <c r="B24" s="10"/>
      <c r="C24" s="65" t="s">
        <v>39</v>
      </c>
      <c r="D24" s="81">
        <v>0.37</v>
      </c>
      <c r="E24" s="10"/>
      <c r="F24" s="10"/>
      <c r="G24" s="10"/>
      <c r="H24" s="10"/>
      <c r="I24" s="10"/>
      <c r="J24" s="10"/>
      <c r="K24" s="10"/>
      <c r="L24" s="10"/>
      <c r="M24" s="10"/>
      <c r="N24" s="72" t="s">
        <v>72</v>
      </c>
      <c r="O24" s="10"/>
      <c r="P24" s="10"/>
    </row>
    <row r="25" spans="1:16" ht="30.75" thickBot="1" x14ac:dyDescent="0.3">
      <c r="A25" s="10"/>
      <c r="B25" s="10"/>
      <c r="C25" s="65" t="s">
        <v>40</v>
      </c>
      <c r="D25" s="81">
        <v>0.36</v>
      </c>
      <c r="E25" s="10"/>
      <c r="F25" s="10"/>
      <c r="G25" s="10"/>
      <c r="H25" s="10"/>
      <c r="I25" s="10"/>
      <c r="J25" s="10"/>
      <c r="K25" s="10"/>
      <c r="L25" s="10"/>
      <c r="M25" s="10"/>
      <c r="N25" s="73" t="s">
        <v>75</v>
      </c>
      <c r="O25" s="10"/>
      <c r="P25" s="10"/>
    </row>
    <row r="26" spans="1:16" x14ac:dyDescent="0.25">
      <c r="A26" s="10"/>
      <c r="B26" s="10"/>
      <c r="C26" s="65" t="s">
        <v>41</v>
      </c>
      <c r="D26" s="81">
        <v>0.51</v>
      </c>
      <c r="E26" s="10"/>
      <c r="F26" s="10"/>
      <c r="G26" s="10"/>
      <c r="H26" s="10"/>
      <c r="I26" s="10"/>
      <c r="J26" s="10"/>
      <c r="K26" s="10"/>
      <c r="L26" s="10"/>
      <c r="M26" s="10"/>
      <c r="N26" s="10"/>
      <c r="O26" s="10"/>
      <c r="P26" s="10"/>
    </row>
    <row r="27" spans="1:16" x14ac:dyDescent="0.25">
      <c r="A27" s="10"/>
      <c r="B27" s="10"/>
      <c r="C27" s="65" t="s">
        <v>42</v>
      </c>
      <c r="D27" s="81">
        <v>0.56000000000000005</v>
      </c>
      <c r="E27" s="10"/>
      <c r="F27" s="10"/>
      <c r="G27" s="10"/>
      <c r="H27" s="10"/>
      <c r="I27" s="10"/>
      <c r="J27" s="10"/>
      <c r="K27" s="10"/>
      <c r="L27" s="10"/>
      <c r="M27" s="10"/>
      <c r="N27" s="10"/>
      <c r="O27" s="10"/>
      <c r="P27" s="10"/>
    </row>
    <row r="28" spans="1:16" x14ac:dyDescent="0.25">
      <c r="A28" s="10"/>
      <c r="B28" s="10"/>
      <c r="C28" s="65" t="s">
        <v>43</v>
      </c>
      <c r="D28" s="81">
        <v>0.56000000000000005</v>
      </c>
      <c r="E28" s="10"/>
      <c r="F28" s="10"/>
      <c r="G28" s="10"/>
      <c r="H28" s="10"/>
      <c r="I28" s="10"/>
      <c r="J28" s="10"/>
      <c r="K28" s="10"/>
      <c r="L28" s="10"/>
      <c r="M28" s="10"/>
      <c r="N28" s="10"/>
      <c r="O28" s="10"/>
      <c r="P28" s="10"/>
    </row>
    <row r="29" spans="1:16" x14ac:dyDescent="0.25">
      <c r="A29" s="10"/>
      <c r="B29" s="10"/>
      <c r="C29" s="65" t="s">
        <v>81</v>
      </c>
      <c r="D29" s="81">
        <v>0.48</v>
      </c>
      <c r="E29" s="10"/>
      <c r="F29" s="10"/>
      <c r="G29" s="10"/>
      <c r="H29" s="10"/>
      <c r="I29" s="10"/>
      <c r="J29" s="10"/>
      <c r="K29" s="10"/>
      <c r="L29" s="10"/>
      <c r="M29" s="10"/>
      <c r="N29" s="10"/>
      <c r="O29" s="10"/>
      <c r="P29" s="10"/>
    </row>
    <row r="30" spans="1:16" x14ac:dyDescent="0.25">
      <c r="A30" s="10"/>
      <c r="B30" s="10"/>
      <c r="C30" s="65" t="s">
        <v>44</v>
      </c>
      <c r="D30" s="81">
        <v>0.55000000000000004</v>
      </c>
      <c r="E30" s="10"/>
      <c r="F30" s="10"/>
      <c r="G30" s="10"/>
      <c r="H30" s="10"/>
      <c r="I30" s="10"/>
      <c r="J30" s="10"/>
      <c r="K30" s="10"/>
      <c r="L30" s="10"/>
      <c r="M30" s="10"/>
      <c r="N30" s="10"/>
      <c r="O30" s="10"/>
      <c r="P30" s="10"/>
    </row>
    <row r="31" spans="1:16" x14ac:dyDescent="0.25">
      <c r="A31" s="10"/>
      <c r="B31" s="10"/>
      <c r="C31" s="65" t="s">
        <v>82</v>
      </c>
      <c r="D31" s="81">
        <v>0.56000000000000005</v>
      </c>
      <c r="E31" s="10"/>
      <c r="F31" s="10"/>
      <c r="G31" s="10"/>
      <c r="H31" s="10"/>
      <c r="I31" s="10"/>
      <c r="J31" s="10"/>
      <c r="K31" s="10"/>
      <c r="L31" s="10"/>
      <c r="M31" s="10"/>
      <c r="N31" s="10"/>
      <c r="O31" s="10"/>
      <c r="P31" s="10"/>
    </row>
    <row r="32" spans="1:16" x14ac:dyDescent="0.25">
      <c r="A32" s="10"/>
      <c r="B32" s="10"/>
      <c r="C32" s="65" t="s">
        <v>45</v>
      </c>
      <c r="D32" s="81">
        <v>0.57999999999999996</v>
      </c>
      <c r="E32" s="10"/>
      <c r="F32" s="10"/>
      <c r="G32" s="10"/>
      <c r="H32" s="10"/>
      <c r="I32" s="10"/>
      <c r="J32" s="10"/>
      <c r="K32" s="10"/>
      <c r="L32" s="10"/>
      <c r="M32" s="10"/>
      <c r="N32" s="10"/>
      <c r="O32" s="10"/>
      <c r="P32" s="10"/>
    </row>
    <row r="33" spans="1:16" x14ac:dyDescent="0.25">
      <c r="A33" s="10"/>
      <c r="B33" s="10"/>
      <c r="C33" s="65" t="s">
        <v>46</v>
      </c>
      <c r="D33" s="81">
        <v>0.57999999999999996</v>
      </c>
      <c r="E33" s="10"/>
      <c r="F33" s="10"/>
      <c r="G33" s="10"/>
      <c r="H33" s="10"/>
      <c r="I33" s="10"/>
      <c r="J33" s="10"/>
      <c r="K33" s="10"/>
      <c r="L33" s="10"/>
      <c r="M33" s="10"/>
      <c r="N33" s="10"/>
      <c r="O33" s="10"/>
      <c r="P33" s="10"/>
    </row>
    <row r="34" spans="1:16" x14ac:dyDescent="0.25">
      <c r="A34" s="10"/>
      <c r="B34" s="10"/>
      <c r="C34" s="65" t="s">
        <v>47</v>
      </c>
      <c r="D34" s="81">
        <v>0.48</v>
      </c>
      <c r="E34" s="10"/>
      <c r="F34" s="10"/>
      <c r="G34" s="10"/>
      <c r="H34" s="10"/>
      <c r="I34" s="10"/>
      <c r="J34" s="10"/>
      <c r="K34" s="10"/>
      <c r="L34" s="10"/>
      <c r="M34" s="10"/>
      <c r="N34" s="10"/>
      <c r="O34" s="10"/>
      <c r="P34" s="10"/>
    </row>
    <row r="35" spans="1:16" x14ac:dyDescent="0.25">
      <c r="A35" s="10"/>
      <c r="B35" s="10"/>
      <c r="C35" s="65" t="s">
        <v>48</v>
      </c>
      <c r="D35" s="81">
        <v>0.42</v>
      </c>
      <c r="E35" s="10"/>
      <c r="F35" s="10"/>
      <c r="G35" s="10"/>
      <c r="H35" s="10"/>
      <c r="I35" s="10"/>
      <c r="J35" s="10"/>
      <c r="K35" s="10"/>
      <c r="L35" s="10"/>
      <c r="M35" s="10"/>
      <c r="N35" s="10"/>
      <c r="O35" s="10"/>
      <c r="P35" s="10"/>
    </row>
    <row r="36" spans="1:16" x14ac:dyDescent="0.25">
      <c r="A36" s="10"/>
      <c r="B36" s="10"/>
      <c r="C36" s="65" t="s">
        <v>83</v>
      </c>
      <c r="D36" s="81">
        <v>0.5</v>
      </c>
      <c r="E36" s="10"/>
      <c r="F36" s="10"/>
      <c r="G36" s="10"/>
      <c r="H36" s="10"/>
      <c r="I36" s="10"/>
      <c r="J36" s="10"/>
      <c r="K36" s="10"/>
      <c r="L36" s="10"/>
      <c r="M36" s="10"/>
      <c r="N36" s="10"/>
      <c r="O36" s="10"/>
      <c r="P36" s="10"/>
    </row>
    <row r="37" spans="1:16" x14ac:dyDescent="0.25">
      <c r="A37" s="10"/>
      <c r="B37" s="10"/>
      <c r="C37" s="65" t="s">
        <v>49</v>
      </c>
      <c r="D37" s="81">
        <v>0.55000000000000004</v>
      </c>
      <c r="E37" s="10"/>
      <c r="F37" s="10"/>
      <c r="G37" s="10"/>
      <c r="H37" s="10"/>
      <c r="I37" s="10"/>
      <c r="J37" s="10"/>
      <c r="K37" s="10"/>
      <c r="L37" s="10"/>
      <c r="M37" s="10"/>
      <c r="N37" s="10"/>
      <c r="O37" s="10"/>
      <c r="P37" s="10"/>
    </row>
    <row r="38" spans="1:16" x14ac:dyDescent="0.25">
      <c r="A38" s="10"/>
      <c r="B38" s="10"/>
      <c r="C38" s="65" t="s">
        <v>84</v>
      </c>
      <c r="D38" s="81">
        <v>0.53</v>
      </c>
      <c r="E38" s="10"/>
      <c r="F38" s="10"/>
      <c r="G38" s="10"/>
      <c r="H38" s="10"/>
      <c r="I38" s="10"/>
      <c r="J38" s="10"/>
      <c r="K38" s="10"/>
      <c r="L38" s="10"/>
      <c r="M38" s="10"/>
      <c r="N38" s="10"/>
      <c r="O38" s="10"/>
      <c r="P38" s="10"/>
    </row>
    <row r="39" spans="1:16" x14ac:dyDescent="0.25">
      <c r="A39" s="10"/>
      <c r="B39" s="10"/>
      <c r="C39" s="65" t="s">
        <v>85</v>
      </c>
      <c r="D39" s="81">
        <v>0.52</v>
      </c>
      <c r="E39" s="10"/>
      <c r="F39" s="10"/>
      <c r="G39" s="10"/>
      <c r="H39" s="10"/>
      <c r="I39" s="10"/>
      <c r="J39" s="10"/>
      <c r="K39" s="10"/>
      <c r="L39" s="10"/>
      <c r="M39" s="10"/>
      <c r="N39" s="10"/>
      <c r="O39" s="10"/>
      <c r="P39" s="10"/>
    </row>
    <row r="40" spans="1:16" x14ac:dyDescent="0.25">
      <c r="A40" s="10"/>
      <c r="B40" s="10"/>
      <c r="C40" s="65" t="s">
        <v>50</v>
      </c>
      <c r="D40" s="81">
        <v>0.52</v>
      </c>
      <c r="E40" s="10"/>
      <c r="F40" s="10"/>
      <c r="G40" s="10"/>
      <c r="H40" s="10"/>
      <c r="I40" s="10"/>
      <c r="J40" s="10"/>
      <c r="K40" s="10"/>
      <c r="L40" s="10"/>
      <c r="M40" s="10"/>
      <c r="N40" s="10"/>
      <c r="O40" s="10"/>
      <c r="P40" s="10"/>
    </row>
    <row r="41" spans="1:16" x14ac:dyDescent="0.25">
      <c r="A41" s="10"/>
      <c r="B41" s="10"/>
      <c r="C41" s="65" t="s">
        <v>51</v>
      </c>
      <c r="D41" s="81">
        <v>0.75</v>
      </c>
      <c r="E41" s="10"/>
      <c r="F41" s="10"/>
      <c r="G41" s="10"/>
      <c r="H41" s="10"/>
      <c r="I41" s="10"/>
      <c r="J41" s="10"/>
      <c r="K41" s="10"/>
      <c r="L41" s="10"/>
      <c r="M41" s="10"/>
      <c r="N41" s="10"/>
      <c r="O41" s="10"/>
      <c r="P41" s="10"/>
    </row>
    <row r="42" spans="1:16" x14ac:dyDescent="0.25">
      <c r="A42" s="10"/>
      <c r="B42" s="10"/>
      <c r="C42" s="65" t="s">
        <v>52</v>
      </c>
      <c r="D42" s="81">
        <v>0.52</v>
      </c>
      <c r="E42" s="10"/>
      <c r="F42" s="10"/>
      <c r="G42" s="10"/>
      <c r="H42" s="10"/>
      <c r="I42" s="10"/>
      <c r="J42" s="10"/>
      <c r="K42" s="10"/>
      <c r="L42" s="10"/>
      <c r="M42" s="10"/>
      <c r="N42" s="10"/>
      <c r="O42" s="10"/>
      <c r="P42" s="10"/>
    </row>
    <row r="43" spans="1:16" x14ac:dyDescent="0.25">
      <c r="A43" s="10"/>
      <c r="B43" s="10"/>
      <c r="C43" s="65" t="s">
        <v>53</v>
      </c>
      <c r="D43" s="81">
        <v>0.35</v>
      </c>
      <c r="E43" s="10"/>
      <c r="F43" s="10"/>
      <c r="G43" s="10"/>
      <c r="H43" s="10"/>
      <c r="I43" s="10"/>
      <c r="J43" s="10"/>
      <c r="K43" s="10"/>
      <c r="L43" s="10"/>
      <c r="M43" s="10"/>
      <c r="N43" s="10"/>
      <c r="O43" s="10"/>
      <c r="P43" s="10"/>
    </row>
    <row r="44" spans="1:16" x14ac:dyDescent="0.25">
      <c r="A44" s="10"/>
      <c r="B44" s="10"/>
      <c r="C44" s="65" t="s">
        <v>54</v>
      </c>
      <c r="D44" s="81">
        <v>0.37</v>
      </c>
      <c r="E44" s="10"/>
      <c r="F44" s="10"/>
      <c r="G44" s="10"/>
      <c r="H44" s="10"/>
      <c r="I44" s="10"/>
      <c r="J44" s="10"/>
      <c r="K44" s="10"/>
      <c r="L44" s="10"/>
      <c r="M44" s="10"/>
      <c r="N44" s="10"/>
      <c r="O44" s="10"/>
      <c r="P44" s="10"/>
    </row>
    <row r="45" spans="1:16" x14ac:dyDescent="0.25">
      <c r="A45" s="10"/>
      <c r="B45" s="10"/>
      <c r="C45" s="65" t="s">
        <v>56</v>
      </c>
      <c r="D45" s="81">
        <v>0.45</v>
      </c>
      <c r="E45" s="10"/>
      <c r="F45" s="10"/>
      <c r="G45" s="10"/>
      <c r="H45" s="10"/>
      <c r="I45" s="10"/>
      <c r="J45" s="10"/>
      <c r="K45" s="10"/>
      <c r="L45" s="10"/>
      <c r="M45" s="10"/>
      <c r="N45" s="10"/>
      <c r="O45" s="10"/>
      <c r="P45" s="10"/>
    </row>
    <row r="46" spans="1:16" x14ac:dyDescent="0.25">
      <c r="A46" s="10"/>
      <c r="B46" s="10"/>
      <c r="C46" s="65" t="s">
        <v>57</v>
      </c>
      <c r="D46" s="81">
        <v>0.39</v>
      </c>
      <c r="E46" s="10"/>
      <c r="F46" s="10"/>
      <c r="G46" s="10"/>
      <c r="H46" s="10"/>
      <c r="I46" s="10"/>
      <c r="J46" s="10"/>
      <c r="K46" s="10"/>
      <c r="L46" s="10"/>
      <c r="M46" s="10"/>
      <c r="N46" s="10"/>
      <c r="O46" s="10"/>
      <c r="P46" s="10"/>
    </row>
    <row r="47" spans="1:16" x14ac:dyDescent="0.25">
      <c r="A47" s="10"/>
      <c r="B47" s="10"/>
      <c r="C47" s="65" t="s">
        <v>58</v>
      </c>
      <c r="D47" s="81">
        <v>0.44</v>
      </c>
      <c r="E47" s="10"/>
      <c r="F47" s="10"/>
      <c r="G47" s="10"/>
      <c r="H47" s="10"/>
      <c r="I47" s="10"/>
      <c r="J47" s="10"/>
      <c r="K47" s="10"/>
      <c r="L47" s="10"/>
      <c r="M47" s="10"/>
      <c r="N47" s="10"/>
      <c r="O47" s="10"/>
      <c r="P47" s="10"/>
    </row>
    <row r="48" spans="1:16" x14ac:dyDescent="0.25">
      <c r="A48" s="10"/>
      <c r="B48" s="10"/>
      <c r="C48" s="65" t="s">
        <v>59</v>
      </c>
      <c r="D48" s="81">
        <v>0.46</v>
      </c>
      <c r="E48" s="10"/>
      <c r="F48" s="10"/>
      <c r="G48" s="10"/>
      <c r="H48" s="10"/>
      <c r="I48" s="10"/>
      <c r="J48" s="10"/>
      <c r="K48" s="10"/>
      <c r="L48" s="10"/>
      <c r="M48" s="10"/>
      <c r="N48" s="10"/>
      <c r="O48" s="10"/>
      <c r="P48" s="10"/>
    </row>
    <row r="49" spans="1:16" x14ac:dyDescent="0.25">
      <c r="A49" s="10"/>
      <c r="B49" s="10"/>
      <c r="C49" s="65" t="s">
        <v>60</v>
      </c>
      <c r="D49" s="81">
        <v>0.46</v>
      </c>
      <c r="E49" s="10"/>
      <c r="F49" s="10"/>
      <c r="G49" s="10"/>
      <c r="H49" s="10"/>
      <c r="I49" s="10"/>
      <c r="J49" s="10"/>
      <c r="K49" s="10"/>
      <c r="L49" s="10"/>
      <c r="M49" s="10"/>
      <c r="N49" s="10"/>
      <c r="O49" s="10"/>
      <c r="P49" s="10"/>
    </row>
    <row r="50" spans="1:16" x14ac:dyDescent="0.25">
      <c r="A50" s="10"/>
      <c r="B50" s="10"/>
      <c r="C50" s="65" t="s">
        <v>61</v>
      </c>
      <c r="D50" s="81">
        <v>0.44</v>
      </c>
      <c r="E50" s="10"/>
      <c r="F50" s="10"/>
      <c r="G50" s="10"/>
      <c r="H50" s="10"/>
      <c r="I50" s="10"/>
      <c r="J50" s="10"/>
      <c r="K50" s="10"/>
      <c r="L50" s="10"/>
      <c r="M50" s="10"/>
      <c r="N50" s="10"/>
      <c r="O50" s="10"/>
      <c r="P50" s="10"/>
    </row>
    <row r="51" spans="1:16" x14ac:dyDescent="0.25">
      <c r="A51" s="10"/>
      <c r="B51" s="10"/>
      <c r="C51" s="65" t="s">
        <v>62</v>
      </c>
      <c r="D51" s="81">
        <v>0.46</v>
      </c>
      <c r="E51" s="10"/>
      <c r="F51" s="10"/>
      <c r="G51" s="10"/>
      <c r="H51" s="10"/>
      <c r="I51" s="10"/>
      <c r="J51" s="10"/>
      <c r="K51" s="10"/>
      <c r="L51" s="10"/>
      <c r="M51" s="10"/>
      <c r="N51" s="10"/>
      <c r="O51" s="10"/>
      <c r="P51" s="10"/>
    </row>
    <row r="52" spans="1:16" x14ac:dyDescent="0.25">
      <c r="A52" s="10"/>
      <c r="B52" s="10"/>
      <c r="C52" s="65" t="s">
        <v>76</v>
      </c>
      <c r="D52" s="81">
        <v>0.48</v>
      </c>
      <c r="E52" s="10"/>
      <c r="F52" s="10"/>
      <c r="G52" s="10"/>
      <c r="H52" s="10"/>
      <c r="I52" s="10"/>
      <c r="J52" s="10"/>
      <c r="K52" s="10"/>
      <c r="L52" s="10"/>
      <c r="M52" s="10"/>
      <c r="N52" s="10"/>
      <c r="O52" s="10"/>
      <c r="P52" s="10"/>
    </row>
    <row r="53" spans="1:16" x14ac:dyDescent="0.25">
      <c r="A53" s="10"/>
      <c r="B53" s="10"/>
      <c r="C53" s="65" t="s">
        <v>63</v>
      </c>
      <c r="D53" s="81">
        <v>0.44</v>
      </c>
      <c r="E53" s="10"/>
      <c r="F53" s="10"/>
      <c r="G53" s="10"/>
      <c r="H53" s="10"/>
      <c r="I53" s="10"/>
      <c r="J53" s="10"/>
      <c r="K53" s="10"/>
      <c r="L53" s="10"/>
      <c r="M53" s="10"/>
      <c r="N53" s="10"/>
      <c r="O53" s="10"/>
      <c r="P53" s="10"/>
    </row>
    <row r="54" spans="1:16" x14ac:dyDescent="0.25">
      <c r="A54" s="10"/>
      <c r="B54" s="10"/>
      <c r="C54" s="65" t="s">
        <v>64</v>
      </c>
      <c r="D54" s="81">
        <v>0.34</v>
      </c>
      <c r="E54" s="10"/>
      <c r="F54" s="10"/>
      <c r="G54" s="10"/>
      <c r="H54" s="10"/>
      <c r="I54" s="10"/>
      <c r="J54" s="10"/>
      <c r="K54" s="10"/>
      <c r="L54" s="10"/>
      <c r="M54" s="10"/>
      <c r="N54" s="10"/>
      <c r="O54" s="10"/>
      <c r="P54" s="10"/>
    </row>
    <row r="55" spans="1:16" x14ac:dyDescent="0.25">
      <c r="A55" s="10"/>
      <c r="B55" s="10"/>
      <c r="C55" s="65" t="s">
        <v>65</v>
      </c>
      <c r="D55" s="81">
        <v>0.5</v>
      </c>
      <c r="E55" s="10"/>
      <c r="F55" s="10"/>
      <c r="G55" s="10"/>
      <c r="H55" s="10"/>
      <c r="I55" s="10"/>
      <c r="J55" s="10"/>
      <c r="K55" s="10"/>
      <c r="L55" s="10"/>
      <c r="M55" s="10"/>
      <c r="N55" s="10"/>
      <c r="O55" s="10"/>
      <c r="P55" s="10"/>
    </row>
    <row r="56" spans="1:16" x14ac:dyDescent="0.25">
      <c r="A56" s="10"/>
      <c r="B56" s="10"/>
      <c r="C56" s="65" t="s">
        <v>86</v>
      </c>
      <c r="D56" s="81">
        <v>0.57999999999999996</v>
      </c>
      <c r="E56" s="10"/>
      <c r="F56" s="10"/>
      <c r="G56" s="10"/>
      <c r="H56" s="10"/>
      <c r="I56" s="10"/>
      <c r="J56" s="10"/>
      <c r="K56" s="10"/>
      <c r="L56" s="10"/>
      <c r="M56" s="10"/>
      <c r="N56" s="10"/>
      <c r="O56" s="10"/>
      <c r="P56" s="10"/>
    </row>
    <row r="57" spans="1:16" x14ac:dyDescent="0.25">
      <c r="A57" s="10"/>
      <c r="B57" s="10"/>
      <c r="C57" s="65" t="s">
        <v>66</v>
      </c>
      <c r="D57" s="81">
        <v>0.37</v>
      </c>
      <c r="E57" s="10"/>
      <c r="F57" s="10"/>
      <c r="G57" s="10"/>
      <c r="H57" s="10"/>
      <c r="I57" s="10"/>
      <c r="J57" s="10"/>
      <c r="K57" s="10"/>
      <c r="L57" s="10"/>
      <c r="M57" s="10"/>
      <c r="N57" s="10"/>
      <c r="O57" s="10"/>
      <c r="P57" s="10"/>
    </row>
    <row r="58" spans="1:16" x14ac:dyDescent="0.25">
      <c r="A58" s="10"/>
      <c r="B58" s="10"/>
      <c r="C58" s="65" t="s">
        <v>67</v>
      </c>
      <c r="D58" s="81">
        <v>0.37</v>
      </c>
      <c r="E58" s="10"/>
      <c r="F58" s="10"/>
      <c r="G58" s="10"/>
      <c r="H58" s="10"/>
      <c r="I58" s="10"/>
      <c r="J58" s="10"/>
      <c r="K58" s="10"/>
      <c r="L58" s="10"/>
      <c r="M58" s="10"/>
      <c r="N58" s="10"/>
      <c r="O58" s="10"/>
      <c r="P58" s="10"/>
    </row>
    <row r="59" spans="1:16" x14ac:dyDescent="0.25">
      <c r="A59" s="10"/>
      <c r="B59" s="10"/>
      <c r="C59" s="65" t="s">
        <v>68</v>
      </c>
      <c r="D59" s="81">
        <v>0.38</v>
      </c>
      <c r="E59" s="10"/>
      <c r="F59" s="10"/>
      <c r="G59" s="10"/>
      <c r="H59" s="10"/>
      <c r="I59" s="10"/>
      <c r="J59" s="10"/>
      <c r="K59" s="10"/>
      <c r="L59" s="10"/>
      <c r="M59" s="10"/>
      <c r="N59" s="10"/>
      <c r="O59" s="10"/>
      <c r="P59" s="10"/>
    </row>
    <row r="60" spans="1:16" x14ac:dyDescent="0.25">
      <c r="A60" s="10"/>
      <c r="B60" s="10"/>
      <c r="C60" s="65" t="s">
        <v>69</v>
      </c>
      <c r="D60" s="81">
        <v>0.36</v>
      </c>
      <c r="E60" s="10"/>
      <c r="F60" s="10"/>
      <c r="G60" s="10"/>
      <c r="H60" s="10"/>
      <c r="I60" s="10"/>
      <c r="J60" s="10"/>
      <c r="K60" s="10"/>
      <c r="L60" s="10"/>
      <c r="M60" s="10"/>
      <c r="N60" s="10"/>
      <c r="O60" s="10"/>
      <c r="P60" s="10"/>
    </row>
    <row r="61" spans="1:16" x14ac:dyDescent="0.25">
      <c r="A61" s="10"/>
      <c r="B61" s="10"/>
      <c r="C61" s="65" t="s">
        <v>70</v>
      </c>
      <c r="D61" s="81">
        <v>0.37</v>
      </c>
      <c r="E61" s="10"/>
      <c r="F61" s="10"/>
      <c r="G61" s="10"/>
      <c r="H61" s="10"/>
      <c r="I61" s="10"/>
      <c r="J61" s="10"/>
      <c r="K61" s="10"/>
      <c r="L61" s="10"/>
      <c r="M61" s="10"/>
      <c r="N61" s="10"/>
      <c r="O61" s="10"/>
      <c r="P61" s="10"/>
    </row>
    <row r="62" spans="1:16" x14ac:dyDescent="0.25">
      <c r="A62" s="10"/>
      <c r="B62" s="10"/>
      <c r="C62" s="65" t="s">
        <v>71</v>
      </c>
      <c r="D62" s="81">
        <v>0.53</v>
      </c>
      <c r="E62" s="10"/>
      <c r="F62" s="10"/>
      <c r="G62" s="10"/>
      <c r="H62" s="10"/>
      <c r="I62" s="10"/>
      <c r="J62" s="10"/>
      <c r="K62" s="10"/>
      <c r="L62" s="10"/>
      <c r="M62" s="10"/>
      <c r="N62" s="10"/>
      <c r="O62" s="10"/>
      <c r="P62" s="10"/>
    </row>
    <row r="63" spans="1:16" x14ac:dyDescent="0.25">
      <c r="A63" s="10"/>
      <c r="B63" s="10"/>
      <c r="C63" s="65" t="s">
        <v>72</v>
      </c>
      <c r="D63" s="81">
        <v>0.43</v>
      </c>
      <c r="E63" s="10"/>
      <c r="F63" s="10"/>
      <c r="G63" s="10"/>
      <c r="H63" s="10"/>
      <c r="I63" s="10"/>
      <c r="J63" s="10"/>
      <c r="K63" s="10"/>
      <c r="L63" s="10"/>
      <c r="M63" s="10"/>
      <c r="N63" s="10"/>
      <c r="O63" s="10"/>
      <c r="P63" s="10"/>
    </row>
    <row r="64" spans="1:16" x14ac:dyDescent="0.25">
      <c r="A64" s="10"/>
      <c r="B64" s="10"/>
      <c r="C64" s="65" t="s">
        <v>73</v>
      </c>
      <c r="D64" s="81">
        <v>0.38</v>
      </c>
      <c r="E64" s="10"/>
      <c r="F64" s="10"/>
      <c r="G64" s="10"/>
      <c r="H64" s="10"/>
      <c r="I64" s="10"/>
      <c r="J64" s="10"/>
      <c r="K64" s="10"/>
      <c r="L64" s="10"/>
      <c r="M64" s="10"/>
      <c r="N64" s="10"/>
      <c r="O64" s="10"/>
      <c r="P64" s="10"/>
    </row>
    <row r="65" spans="1:16" x14ac:dyDescent="0.25">
      <c r="A65" s="10"/>
      <c r="B65" s="10"/>
      <c r="C65" s="65" t="s">
        <v>74</v>
      </c>
      <c r="D65" s="81">
        <v>0.42</v>
      </c>
      <c r="E65" s="10"/>
      <c r="F65" s="10"/>
      <c r="G65" s="10"/>
      <c r="H65" s="10"/>
      <c r="I65" s="10"/>
      <c r="J65" s="10"/>
      <c r="K65" s="10"/>
      <c r="L65" s="10"/>
      <c r="M65" s="10"/>
      <c r="N65" s="10"/>
      <c r="O65" s="10"/>
      <c r="P65" s="10"/>
    </row>
    <row r="66" spans="1:16" ht="15.75" thickBot="1" x14ac:dyDescent="0.3">
      <c r="A66" s="10"/>
      <c r="B66" s="10"/>
      <c r="C66" s="66" t="s">
        <v>75</v>
      </c>
      <c r="D66" s="82">
        <v>0.56999999999999995</v>
      </c>
      <c r="E66" s="10"/>
      <c r="F66" s="10"/>
      <c r="G66" s="10"/>
      <c r="H66" s="10"/>
      <c r="I66" s="10"/>
      <c r="J66" s="10"/>
      <c r="K66" s="10"/>
      <c r="L66" s="10"/>
      <c r="M66" s="10"/>
      <c r="N66" s="10"/>
      <c r="O66" s="10"/>
      <c r="P66" s="10"/>
    </row>
    <row r="67" spans="1:16" ht="15.75" thickBot="1" x14ac:dyDescent="0.3">
      <c r="A67" s="10"/>
      <c r="B67" s="10"/>
      <c r="C67" s="112" t="s">
        <v>202</v>
      </c>
      <c r="D67" s="82">
        <v>0.54</v>
      </c>
      <c r="E67" s="10"/>
      <c r="F67" s="10"/>
      <c r="G67" s="10"/>
      <c r="H67" s="10"/>
      <c r="I67" s="10"/>
      <c r="J67" s="10"/>
      <c r="K67" s="10"/>
      <c r="L67" s="10"/>
      <c r="M67" s="10"/>
      <c r="N67" s="10"/>
      <c r="O67" s="10"/>
      <c r="P67" s="10"/>
    </row>
    <row r="68" spans="1:16" x14ac:dyDescent="0.25">
      <c r="A68" s="10"/>
      <c r="B68" s="10"/>
      <c r="C68" s="10"/>
      <c r="D68" s="10"/>
      <c r="E68" s="10"/>
      <c r="F68" s="10"/>
      <c r="G68" s="10"/>
      <c r="H68" s="10"/>
      <c r="I68" s="10"/>
      <c r="J68" s="10"/>
      <c r="K68" s="10"/>
      <c r="L68" s="10"/>
      <c r="M68" s="10"/>
      <c r="N68" s="10"/>
      <c r="O68" s="10"/>
      <c r="P68" s="10"/>
    </row>
    <row r="69" spans="1:16" ht="15.75" thickBot="1" x14ac:dyDescent="0.3">
      <c r="A69" s="10"/>
      <c r="B69" s="10"/>
      <c r="C69" s="10"/>
      <c r="D69" s="10"/>
      <c r="E69" s="10"/>
      <c r="F69" s="10"/>
      <c r="G69" s="10"/>
      <c r="H69" s="10"/>
      <c r="I69" s="10"/>
      <c r="J69" s="10"/>
      <c r="K69" s="10"/>
      <c r="L69" s="10"/>
      <c r="M69" s="10"/>
      <c r="N69" s="10"/>
      <c r="O69" s="10"/>
      <c r="P69" s="10"/>
    </row>
    <row r="70" spans="1:16" ht="15.75" thickBot="1" x14ac:dyDescent="0.3">
      <c r="A70" s="78" t="s">
        <v>142</v>
      </c>
      <c r="B70" s="10"/>
      <c r="C70" s="10"/>
      <c r="D70" s="10"/>
      <c r="E70" s="10"/>
      <c r="F70" s="10"/>
      <c r="G70" s="10"/>
      <c r="H70" s="10"/>
      <c r="I70" s="10"/>
      <c r="J70" s="10"/>
      <c r="K70" s="10"/>
      <c r="L70" s="10"/>
      <c r="M70" s="10"/>
      <c r="N70" s="10"/>
      <c r="O70" s="10"/>
      <c r="P70" s="10"/>
    </row>
    <row r="71" spans="1:16" x14ac:dyDescent="0.25">
      <c r="A71" s="75" t="s">
        <v>143</v>
      </c>
      <c r="B71" s="10"/>
      <c r="C71" s="10"/>
      <c r="D71" s="10"/>
      <c r="E71" s="10"/>
      <c r="F71" s="10"/>
      <c r="G71" s="10"/>
      <c r="H71" s="10"/>
      <c r="I71" s="10"/>
      <c r="J71" s="10"/>
      <c r="K71" s="10"/>
      <c r="L71" s="10"/>
      <c r="M71" s="10"/>
      <c r="N71" s="10"/>
      <c r="O71" s="10"/>
      <c r="P71" s="10"/>
    </row>
    <row r="72" spans="1:16" x14ac:dyDescent="0.25">
      <c r="A72" s="72" t="s">
        <v>144</v>
      </c>
      <c r="B72" s="10"/>
      <c r="C72" s="10"/>
      <c r="D72" s="10"/>
      <c r="E72" s="10"/>
      <c r="F72" s="10"/>
      <c r="G72" s="10"/>
      <c r="H72" s="10"/>
      <c r="I72" s="10"/>
      <c r="J72" s="10"/>
      <c r="K72" s="10"/>
      <c r="L72" s="10"/>
      <c r="M72" s="10"/>
      <c r="N72" s="10"/>
      <c r="O72" s="10"/>
      <c r="P72" s="10"/>
    </row>
    <row r="73" spans="1:16" ht="30.75" thickBot="1" x14ac:dyDescent="0.3">
      <c r="A73" s="73" t="s">
        <v>145</v>
      </c>
      <c r="B73" s="10"/>
      <c r="C73" s="10"/>
      <c r="D73" s="10"/>
      <c r="E73" s="10"/>
      <c r="F73" s="10"/>
      <c r="G73" s="10"/>
      <c r="H73" s="10"/>
      <c r="I73" s="10"/>
      <c r="J73" s="10"/>
      <c r="K73" s="10"/>
      <c r="L73" s="10"/>
      <c r="M73" s="10"/>
      <c r="N73" s="10"/>
      <c r="O73" s="10"/>
      <c r="P73" s="10"/>
    </row>
    <row r="74" spans="1:16" x14ac:dyDescent="0.25">
      <c r="A74" s="10"/>
      <c r="B74" s="10"/>
      <c r="C74" s="10"/>
      <c r="D74" s="10"/>
      <c r="E74" s="10"/>
      <c r="F74" s="10"/>
      <c r="G74" s="10"/>
      <c r="H74" s="10"/>
      <c r="I74" s="10"/>
      <c r="J74" s="10"/>
      <c r="K74" s="10"/>
      <c r="L74" s="10"/>
      <c r="M74" s="10"/>
      <c r="N74" s="10"/>
      <c r="O74" s="10"/>
      <c r="P74" s="10"/>
    </row>
    <row r="75" spans="1:16" x14ac:dyDescent="0.25">
      <c r="A75" s="10"/>
      <c r="B75" s="10"/>
      <c r="C75" s="10"/>
      <c r="D75" s="10"/>
      <c r="E75" s="10"/>
      <c r="F75" s="10"/>
      <c r="G75" s="10"/>
      <c r="H75" s="10"/>
      <c r="I75" s="10"/>
      <c r="J75" s="10"/>
      <c r="K75" s="10"/>
      <c r="L75" s="10"/>
      <c r="M75" s="10"/>
      <c r="N75" s="10"/>
      <c r="O75" s="10"/>
      <c r="P75" s="10"/>
    </row>
    <row r="76" spans="1:16" x14ac:dyDescent="0.25">
      <c r="A76" s="10"/>
      <c r="B76" s="10"/>
      <c r="C76" s="10"/>
      <c r="D76" s="10"/>
      <c r="E76" s="10"/>
      <c r="F76" s="10"/>
      <c r="G76" s="10"/>
      <c r="H76" s="10"/>
      <c r="I76" s="10"/>
      <c r="J76" s="10"/>
      <c r="K76" s="10"/>
      <c r="L76" s="10"/>
      <c r="M76" s="10"/>
      <c r="N76" s="10"/>
      <c r="O76" s="10"/>
      <c r="P76" s="10"/>
    </row>
    <row r="77" spans="1:16" x14ac:dyDescent="0.25">
      <c r="A77" s="10"/>
      <c r="B77" s="10"/>
      <c r="C77" s="10"/>
      <c r="D77" s="10"/>
      <c r="E77" s="10"/>
      <c r="F77" s="10"/>
      <c r="G77" s="10"/>
      <c r="H77" s="10"/>
      <c r="I77" s="10"/>
      <c r="J77" s="10"/>
      <c r="K77" s="10"/>
      <c r="L77" s="10"/>
      <c r="M77" s="10"/>
      <c r="N77" s="10"/>
      <c r="O77" s="10"/>
      <c r="P77" s="10"/>
    </row>
    <row r="78" spans="1:16" x14ac:dyDescent="0.25">
      <c r="A78" s="10"/>
      <c r="B78" s="10"/>
      <c r="C78" s="10"/>
      <c r="D78" s="10"/>
      <c r="E78" s="10"/>
      <c r="F78" s="10"/>
      <c r="G78" s="10"/>
      <c r="H78" s="10"/>
      <c r="I78" s="10"/>
      <c r="J78" s="10"/>
      <c r="K78" s="10"/>
      <c r="L78" s="10"/>
      <c r="M78" s="10"/>
      <c r="N78" s="10"/>
      <c r="O78" s="10"/>
      <c r="P78" s="10"/>
    </row>
    <row r="79" spans="1:16" x14ac:dyDescent="0.25">
      <c r="A79" s="10"/>
      <c r="B79" s="10"/>
      <c r="C79" s="10"/>
      <c r="D79" s="10"/>
      <c r="E79" s="10"/>
      <c r="F79" s="10"/>
      <c r="G79" s="10"/>
      <c r="H79" s="10"/>
      <c r="I79" s="10"/>
      <c r="J79" s="10"/>
      <c r="K79" s="10"/>
      <c r="L79" s="10"/>
      <c r="M79" s="10"/>
      <c r="N79" s="10"/>
      <c r="O79" s="10"/>
      <c r="P79" s="10"/>
    </row>
    <row r="80" spans="1:16" x14ac:dyDescent="0.25">
      <c r="A80" s="10"/>
      <c r="B80" s="10"/>
      <c r="C80" s="10"/>
      <c r="D80" s="10"/>
      <c r="E80" s="10"/>
      <c r="F80" s="10"/>
      <c r="G80" s="10"/>
      <c r="H80" s="10"/>
      <c r="I80" s="10"/>
      <c r="J80" s="10"/>
      <c r="K80" s="10"/>
      <c r="L80" s="10"/>
      <c r="M80" s="10"/>
      <c r="N80" s="10"/>
      <c r="O80" s="10"/>
      <c r="P80" s="10"/>
    </row>
    <row r="81" spans="1:16" x14ac:dyDescent="0.25">
      <c r="A81" s="10"/>
      <c r="B81" s="10"/>
      <c r="C81" s="10"/>
      <c r="D81" s="10"/>
      <c r="E81" s="10"/>
      <c r="F81" s="10"/>
      <c r="G81" s="10"/>
      <c r="H81" s="10"/>
      <c r="I81" s="10"/>
      <c r="J81" s="10"/>
      <c r="K81" s="10"/>
      <c r="L81" s="10"/>
      <c r="M81" s="10"/>
      <c r="N81" s="10"/>
      <c r="O81" s="10"/>
      <c r="P81" s="10"/>
    </row>
    <row r="82" spans="1:16" x14ac:dyDescent="0.25">
      <c r="A82" s="10"/>
      <c r="B82" s="10"/>
      <c r="C82" s="10"/>
      <c r="D82" s="10"/>
      <c r="E82" s="10"/>
      <c r="F82" s="10"/>
      <c r="G82" s="10"/>
      <c r="H82" s="10"/>
      <c r="I82" s="10"/>
      <c r="J82" s="10"/>
      <c r="K82" s="10"/>
      <c r="L82" s="10"/>
      <c r="M82" s="10"/>
      <c r="N82" s="10"/>
      <c r="O82" s="10"/>
      <c r="P82" s="10"/>
    </row>
    <row r="83" spans="1:16" x14ac:dyDescent="0.25">
      <c r="A83" s="10"/>
      <c r="B83" s="10"/>
      <c r="C83" s="10"/>
      <c r="D83" s="10"/>
      <c r="E83" s="10"/>
      <c r="F83" s="10"/>
      <c r="G83" s="10"/>
      <c r="H83" s="10"/>
      <c r="I83" s="10"/>
      <c r="J83" s="10"/>
      <c r="K83" s="10"/>
      <c r="L83" s="10"/>
      <c r="M83" s="10"/>
      <c r="N83" s="10"/>
      <c r="O83" s="10"/>
      <c r="P83" s="10"/>
    </row>
    <row r="84" spans="1:16" x14ac:dyDescent="0.25">
      <c r="A84" s="10"/>
      <c r="B84" s="10"/>
      <c r="C84" s="10"/>
      <c r="D84" s="10"/>
      <c r="E84" s="10"/>
      <c r="F84" s="10"/>
      <c r="G84" s="10"/>
      <c r="H84" s="10"/>
      <c r="I84" s="10"/>
      <c r="J84" s="10"/>
      <c r="K84" s="10"/>
      <c r="L84" s="10"/>
      <c r="M84" s="10"/>
      <c r="N84" s="10"/>
      <c r="O84" s="10"/>
      <c r="P84" s="10"/>
    </row>
    <row r="85" spans="1:16" x14ac:dyDescent="0.25">
      <c r="A85" s="10"/>
      <c r="B85" s="10"/>
      <c r="C85" s="10"/>
      <c r="D85" s="10"/>
      <c r="E85" s="10"/>
      <c r="F85" s="10"/>
      <c r="G85" s="10"/>
      <c r="H85" s="10"/>
      <c r="I85" s="10"/>
      <c r="J85" s="10"/>
      <c r="K85" s="10"/>
      <c r="L85" s="10"/>
      <c r="M85" s="10"/>
      <c r="N85" s="10"/>
      <c r="O85" s="10"/>
      <c r="P85" s="10"/>
    </row>
    <row r="86" spans="1:16" x14ac:dyDescent="0.25">
      <c r="A86" s="10"/>
      <c r="B86" s="10"/>
      <c r="C86" s="10"/>
      <c r="D86" s="10"/>
      <c r="E86" s="10"/>
      <c r="F86" s="10"/>
      <c r="G86" s="10"/>
      <c r="H86" s="10"/>
      <c r="I86" s="10"/>
      <c r="J86" s="10"/>
      <c r="K86" s="10"/>
      <c r="L86" s="10"/>
      <c r="M86" s="10"/>
      <c r="N86" s="10"/>
      <c r="O86" s="10"/>
      <c r="P86" s="10"/>
    </row>
    <row r="87" spans="1:16" x14ac:dyDescent="0.25">
      <c r="A87" s="10"/>
      <c r="B87" s="10"/>
      <c r="C87" s="10"/>
      <c r="D87" s="10"/>
      <c r="E87" s="10"/>
      <c r="F87" s="10"/>
      <c r="G87" s="10"/>
      <c r="H87" s="10"/>
      <c r="I87" s="10"/>
      <c r="J87" s="10"/>
      <c r="K87" s="10"/>
      <c r="L87" s="10"/>
      <c r="M87" s="10"/>
      <c r="N87" s="10"/>
      <c r="O87" s="10"/>
      <c r="P87" s="10"/>
    </row>
    <row r="88" spans="1:16" x14ac:dyDescent="0.25">
      <c r="A88" s="10"/>
      <c r="B88" s="10"/>
      <c r="C88" s="10"/>
      <c r="D88" s="10"/>
      <c r="E88" s="10"/>
      <c r="F88" s="10"/>
      <c r="G88" s="10"/>
      <c r="H88" s="10"/>
      <c r="I88" s="10"/>
      <c r="J88" s="10"/>
      <c r="K88" s="10"/>
      <c r="L88" s="10"/>
      <c r="M88" s="10"/>
      <c r="N88" s="10"/>
      <c r="O88" s="10"/>
      <c r="P88" s="10"/>
    </row>
    <row r="89" spans="1:16" x14ac:dyDescent="0.25">
      <c r="A89" s="10"/>
      <c r="B89" s="10"/>
      <c r="C89" s="10"/>
      <c r="D89" s="10"/>
      <c r="E89" s="10"/>
      <c r="F89" s="10"/>
      <c r="G89" s="10"/>
      <c r="H89" s="10"/>
      <c r="I89" s="10"/>
      <c r="J89" s="10"/>
      <c r="K89" s="10"/>
      <c r="L89" s="10"/>
      <c r="M89" s="10"/>
      <c r="N89" s="10"/>
      <c r="O89" s="10"/>
      <c r="P89" s="10"/>
    </row>
    <row r="90" spans="1:16" x14ac:dyDescent="0.25">
      <c r="A90" s="10"/>
      <c r="B90" s="10"/>
      <c r="C90" s="10"/>
      <c r="D90" s="10"/>
      <c r="E90" s="10"/>
      <c r="F90" s="10"/>
      <c r="G90" s="10"/>
      <c r="H90" s="10"/>
      <c r="I90" s="10"/>
      <c r="J90" s="10"/>
      <c r="K90" s="10"/>
      <c r="L90" s="10"/>
      <c r="M90" s="10"/>
      <c r="N90" s="10"/>
      <c r="O90" s="10"/>
      <c r="P90" s="10"/>
    </row>
    <row r="91" spans="1:16" x14ac:dyDescent="0.25">
      <c r="A91" s="10"/>
      <c r="B91" s="10"/>
      <c r="C91" s="10"/>
      <c r="D91" s="10"/>
      <c r="E91" s="10"/>
      <c r="F91" s="10"/>
      <c r="G91" s="10"/>
      <c r="H91" s="10"/>
      <c r="I91" s="10"/>
      <c r="J91" s="10"/>
      <c r="K91" s="10"/>
      <c r="L91" s="10"/>
      <c r="M91" s="10"/>
      <c r="N91" s="10"/>
      <c r="O91" s="10"/>
      <c r="P91" s="10"/>
    </row>
    <row r="92" spans="1:16" x14ac:dyDescent="0.25">
      <c r="A92" s="10"/>
      <c r="B92" s="10"/>
      <c r="C92" s="10"/>
      <c r="D92" s="10"/>
      <c r="E92" s="10"/>
      <c r="F92" s="10"/>
      <c r="G92" s="10"/>
      <c r="H92" s="10"/>
      <c r="I92" s="10"/>
      <c r="J92" s="10"/>
      <c r="K92" s="10"/>
      <c r="L92" s="10"/>
      <c r="M92" s="10"/>
      <c r="N92" s="10"/>
      <c r="O92" s="10"/>
      <c r="P92" s="10"/>
    </row>
    <row r="93" spans="1:16" x14ac:dyDescent="0.25">
      <c r="A93" s="10"/>
      <c r="B93" s="10"/>
      <c r="C93" s="10"/>
      <c r="D93" s="10"/>
      <c r="E93" s="10"/>
      <c r="F93" s="10"/>
      <c r="G93" s="10"/>
      <c r="H93" s="10"/>
      <c r="I93" s="10"/>
      <c r="J93" s="10"/>
      <c r="K93" s="10"/>
      <c r="L93" s="10"/>
      <c r="M93" s="10"/>
      <c r="N93" s="10"/>
      <c r="O93" s="10"/>
      <c r="P93" s="10"/>
    </row>
    <row r="94" spans="1:16" x14ac:dyDescent="0.25">
      <c r="A94" s="10"/>
      <c r="B94" s="10"/>
      <c r="C94" s="10"/>
      <c r="D94" s="10"/>
      <c r="E94" s="10"/>
      <c r="F94" s="10"/>
      <c r="G94" s="10"/>
      <c r="H94" s="10"/>
      <c r="I94" s="10"/>
      <c r="J94" s="10"/>
      <c r="K94" s="10"/>
      <c r="L94" s="10"/>
      <c r="M94" s="10"/>
      <c r="N94" s="10"/>
      <c r="O94" s="10"/>
      <c r="P94" s="10"/>
    </row>
    <row r="95" spans="1:16" x14ac:dyDescent="0.25">
      <c r="A95" s="10"/>
      <c r="B95" s="10"/>
      <c r="C95" s="10"/>
      <c r="D95" s="10"/>
      <c r="E95" s="10"/>
      <c r="F95" s="10"/>
      <c r="G95" s="10"/>
      <c r="H95" s="10"/>
      <c r="I95" s="10"/>
      <c r="J95" s="10"/>
      <c r="K95" s="10"/>
      <c r="L95" s="10"/>
      <c r="M95" s="10"/>
      <c r="N95" s="10"/>
      <c r="O95" s="10"/>
      <c r="P95" s="10"/>
    </row>
    <row r="96" spans="1:16" x14ac:dyDescent="0.25">
      <c r="A96" s="10"/>
      <c r="B96" s="10"/>
      <c r="C96" s="10"/>
      <c r="D96" s="10"/>
      <c r="E96" s="10"/>
      <c r="F96" s="10"/>
      <c r="G96" s="10"/>
      <c r="H96" s="10"/>
      <c r="I96" s="10"/>
      <c r="J96" s="10"/>
      <c r="K96" s="10"/>
      <c r="L96" s="10"/>
      <c r="M96" s="10"/>
      <c r="N96" s="10"/>
      <c r="O96" s="10"/>
      <c r="P96" s="10"/>
    </row>
    <row r="97" spans="1:16" x14ac:dyDescent="0.25">
      <c r="A97" s="10"/>
      <c r="B97" s="10"/>
      <c r="C97" s="10"/>
      <c r="D97" s="10"/>
      <c r="E97" s="10"/>
      <c r="F97" s="10"/>
      <c r="G97" s="10"/>
      <c r="H97" s="10"/>
      <c r="I97" s="10"/>
      <c r="J97" s="10"/>
      <c r="K97" s="10"/>
      <c r="L97" s="10"/>
      <c r="M97" s="10"/>
      <c r="N97" s="10"/>
      <c r="O97" s="10"/>
      <c r="P97" s="10"/>
    </row>
    <row r="98" spans="1:16" x14ac:dyDescent="0.25">
      <c r="A98" s="10"/>
      <c r="B98" s="10"/>
      <c r="C98" s="10"/>
      <c r="D98" s="10"/>
      <c r="E98" s="10"/>
      <c r="F98" s="10"/>
      <c r="G98" s="10"/>
      <c r="H98" s="10"/>
      <c r="I98" s="10"/>
      <c r="J98" s="10"/>
      <c r="K98" s="10"/>
      <c r="L98" s="10"/>
      <c r="M98" s="10"/>
      <c r="N98" s="10"/>
      <c r="O98" s="10"/>
      <c r="P98" s="10"/>
    </row>
    <row r="99" spans="1:16" x14ac:dyDescent="0.25">
      <c r="A99" s="10"/>
      <c r="B99" s="10"/>
      <c r="C99" s="10"/>
      <c r="D99" s="10"/>
      <c r="E99" s="10"/>
      <c r="F99" s="10"/>
      <c r="G99" s="10"/>
      <c r="H99" s="10"/>
      <c r="I99" s="10"/>
      <c r="J99" s="10"/>
      <c r="K99" s="10"/>
      <c r="L99" s="10"/>
      <c r="M99" s="10"/>
      <c r="N99" s="10"/>
      <c r="O99" s="10"/>
      <c r="P99" s="10"/>
    </row>
    <row r="100" spans="1:16" x14ac:dyDescent="0.25">
      <c r="A100" s="10"/>
      <c r="B100" s="10"/>
      <c r="C100" s="10"/>
      <c r="D100" s="10"/>
      <c r="E100" s="10"/>
      <c r="F100" s="10"/>
      <c r="G100" s="10"/>
      <c r="H100" s="10"/>
      <c r="I100" s="10"/>
      <c r="J100" s="10"/>
      <c r="K100" s="10"/>
      <c r="L100" s="10"/>
      <c r="M100" s="10"/>
      <c r="N100" s="10"/>
      <c r="O100" s="10"/>
      <c r="P100" s="10"/>
    </row>
    <row r="101" spans="1:16" x14ac:dyDescent="0.25">
      <c r="A101" s="10"/>
      <c r="B101" s="10"/>
      <c r="C101" s="10"/>
      <c r="D101" s="10"/>
      <c r="E101" s="10"/>
      <c r="F101" s="10"/>
      <c r="G101" s="10"/>
      <c r="H101" s="10"/>
      <c r="I101" s="10"/>
      <c r="J101" s="10"/>
      <c r="K101" s="10"/>
      <c r="L101" s="10"/>
      <c r="M101" s="10"/>
      <c r="N101" s="10"/>
      <c r="O101" s="10"/>
      <c r="P101" s="10"/>
    </row>
    <row r="102" spans="1:16" x14ac:dyDescent="0.25">
      <c r="A102" s="10"/>
      <c r="B102" s="10"/>
      <c r="C102" s="10"/>
      <c r="D102" s="10"/>
      <c r="E102" s="10"/>
      <c r="F102" s="10"/>
      <c r="G102" s="10"/>
      <c r="H102" s="10"/>
      <c r="I102" s="10"/>
      <c r="J102" s="10"/>
      <c r="K102" s="10"/>
      <c r="L102" s="10"/>
      <c r="M102" s="10"/>
      <c r="N102" s="10"/>
      <c r="O102" s="10"/>
      <c r="P102" s="10"/>
    </row>
    <row r="103" spans="1:16" x14ac:dyDescent="0.25">
      <c r="A103" s="10"/>
      <c r="B103" s="10"/>
      <c r="C103" s="10"/>
      <c r="D103" s="10"/>
      <c r="E103" s="10"/>
      <c r="F103" s="10"/>
      <c r="G103" s="10"/>
      <c r="H103" s="10"/>
      <c r="I103" s="10"/>
      <c r="J103" s="10"/>
      <c r="K103" s="10"/>
      <c r="L103" s="10"/>
      <c r="M103" s="10"/>
      <c r="N103" s="10"/>
      <c r="O103" s="10"/>
      <c r="P103" s="10"/>
    </row>
    <row r="104" spans="1:16" x14ac:dyDescent="0.25">
      <c r="A104" s="10"/>
      <c r="B104" s="10"/>
      <c r="C104" s="10"/>
      <c r="D104" s="10"/>
      <c r="E104" s="10"/>
      <c r="F104" s="10"/>
      <c r="G104" s="10"/>
      <c r="H104" s="10"/>
      <c r="I104" s="10"/>
      <c r="J104" s="10"/>
      <c r="K104" s="10"/>
      <c r="L104" s="10"/>
      <c r="M104" s="10"/>
      <c r="N104" s="10"/>
      <c r="O104" s="10"/>
      <c r="P104" s="10"/>
    </row>
    <row r="105" spans="1:16" x14ac:dyDescent="0.25">
      <c r="A105" s="10"/>
      <c r="B105" s="10"/>
      <c r="C105" s="10"/>
      <c r="D105" s="10"/>
      <c r="E105" s="10"/>
      <c r="F105" s="10"/>
      <c r="G105" s="10"/>
      <c r="H105" s="10"/>
      <c r="I105" s="10"/>
      <c r="J105" s="10"/>
      <c r="K105" s="10"/>
      <c r="L105" s="10"/>
      <c r="M105" s="10"/>
      <c r="N105" s="10"/>
      <c r="O105" s="10"/>
      <c r="P105" s="10"/>
    </row>
    <row r="106" spans="1:16" x14ac:dyDescent="0.25">
      <c r="A106" s="10"/>
      <c r="B106" s="10"/>
      <c r="C106" s="10"/>
      <c r="D106" s="10"/>
      <c r="E106" s="10"/>
      <c r="F106" s="10"/>
      <c r="G106" s="10"/>
      <c r="H106" s="10"/>
      <c r="I106" s="10"/>
      <c r="J106" s="10"/>
      <c r="K106" s="10"/>
      <c r="L106" s="10"/>
      <c r="M106" s="10"/>
      <c r="N106" s="10"/>
      <c r="O106" s="10"/>
      <c r="P106" s="10"/>
    </row>
    <row r="107" spans="1:16" x14ac:dyDescent="0.25">
      <c r="A107" s="10"/>
      <c r="B107" s="10"/>
      <c r="C107" s="10"/>
      <c r="D107" s="10"/>
      <c r="E107" s="10"/>
      <c r="F107" s="10"/>
      <c r="G107" s="10"/>
      <c r="H107" s="10"/>
      <c r="I107" s="10"/>
      <c r="J107" s="10"/>
      <c r="K107" s="10"/>
      <c r="L107" s="10"/>
      <c r="M107" s="10"/>
      <c r="N107" s="10"/>
      <c r="O107" s="10"/>
      <c r="P107" s="10"/>
    </row>
    <row r="108" spans="1:16" x14ac:dyDescent="0.25">
      <c r="A108" s="10"/>
      <c r="B108" s="10"/>
      <c r="C108" s="10"/>
      <c r="D108" s="10"/>
      <c r="E108" s="10"/>
      <c r="F108" s="10"/>
      <c r="G108" s="10"/>
      <c r="H108" s="10"/>
      <c r="I108" s="10"/>
      <c r="J108" s="10"/>
      <c r="K108" s="10"/>
      <c r="L108" s="10"/>
      <c r="M108" s="10"/>
      <c r="N108" s="10"/>
      <c r="O108" s="10"/>
      <c r="P108" s="10"/>
    </row>
    <row r="109" spans="1:16" x14ac:dyDescent="0.25">
      <c r="A109" s="10"/>
      <c r="B109" s="10"/>
      <c r="C109" s="10"/>
      <c r="D109" s="10"/>
      <c r="E109" s="10"/>
      <c r="F109" s="10"/>
      <c r="G109" s="10"/>
      <c r="H109" s="10"/>
      <c r="I109" s="10"/>
      <c r="J109" s="10"/>
      <c r="K109" s="10"/>
      <c r="L109" s="10"/>
      <c r="M109" s="10"/>
      <c r="N109" s="10"/>
      <c r="O109" s="10"/>
      <c r="P109" s="10"/>
    </row>
    <row r="110" spans="1:16" x14ac:dyDescent="0.25">
      <c r="A110" s="10"/>
      <c r="B110" s="10"/>
      <c r="C110" s="10"/>
      <c r="D110" s="10"/>
      <c r="E110" s="10"/>
      <c r="F110" s="10"/>
      <c r="G110" s="10"/>
      <c r="H110" s="10"/>
      <c r="I110" s="10"/>
      <c r="J110" s="10"/>
      <c r="K110" s="10"/>
      <c r="L110" s="10"/>
      <c r="M110" s="10"/>
      <c r="N110" s="10"/>
      <c r="O110" s="10"/>
      <c r="P110" s="10"/>
    </row>
    <row r="111" spans="1:16" x14ac:dyDescent="0.25">
      <c r="A111" s="10"/>
      <c r="B111" s="10"/>
      <c r="C111" s="10"/>
      <c r="D111" s="10"/>
      <c r="E111" s="10"/>
      <c r="F111" s="10"/>
      <c r="G111" s="10"/>
      <c r="H111" s="10"/>
      <c r="I111" s="10"/>
      <c r="J111" s="10"/>
      <c r="K111" s="10"/>
      <c r="L111" s="10"/>
      <c r="M111" s="10"/>
      <c r="N111" s="10"/>
      <c r="O111" s="10"/>
      <c r="P111" s="10"/>
    </row>
    <row r="112" spans="1:16" x14ac:dyDescent="0.25">
      <c r="A112" s="10"/>
      <c r="B112" s="10"/>
      <c r="C112" s="10"/>
      <c r="D112" s="10"/>
      <c r="E112" s="10"/>
      <c r="F112" s="10"/>
      <c r="G112" s="10"/>
      <c r="H112" s="10"/>
      <c r="I112" s="10"/>
      <c r="J112" s="10"/>
      <c r="K112" s="10"/>
      <c r="L112" s="10"/>
      <c r="M112" s="10"/>
      <c r="N112" s="10"/>
      <c r="O112" s="10"/>
      <c r="P112" s="10"/>
    </row>
    <row r="113" spans="1:16" x14ac:dyDescent="0.25">
      <c r="A113" s="10"/>
      <c r="B113" s="10"/>
      <c r="C113" s="10"/>
      <c r="D113" s="10"/>
      <c r="E113" s="10"/>
      <c r="F113" s="10"/>
      <c r="G113" s="10"/>
      <c r="H113" s="10"/>
      <c r="I113" s="10"/>
      <c r="J113" s="10"/>
      <c r="K113" s="10"/>
      <c r="L113" s="10"/>
      <c r="M113" s="10"/>
      <c r="N113" s="10"/>
      <c r="O113" s="10"/>
      <c r="P113" s="10"/>
    </row>
    <row r="114" spans="1:16" x14ac:dyDescent="0.25">
      <c r="A114" s="10"/>
      <c r="B114" s="10"/>
      <c r="C114" s="10"/>
      <c r="D114" s="10"/>
      <c r="E114" s="10"/>
      <c r="F114" s="10"/>
      <c r="G114" s="10"/>
      <c r="H114" s="10"/>
      <c r="I114" s="10"/>
      <c r="J114" s="10"/>
      <c r="K114" s="10"/>
      <c r="L114" s="10"/>
      <c r="M114" s="10"/>
      <c r="N114" s="10"/>
      <c r="O114" s="10"/>
      <c r="P114" s="10"/>
    </row>
    <row r="115" spans="1:16" x14ac:dyDescent="0.25">
      <c r="A115" s="10"/>
      <c r="B115" s="10"/>
      <c r="C115" s="10"/>
      <c r="D115" s="10"/>
      <c r="E115" s="10"/>
      <c r="F115" s="10"/>
      <c r="G115" s="10"/>
      <c r="H115" s="10"/>
      <c r="I115" s="10"/>
      <c r="J115" s="10"/>
      <c r="K115" s="10"/>
      <c r="L115" s="10"/>
      <c r="M115" s="10"/>
      <c r="N115" s="10"/>
      <c r="O115" s="10"/>
      <c r="P115" s="10"/>
    </row>
    <row r="116" spans="1:16" x14ac:dyDescent="0.25">
      <c r="A116" s="10"/>
      <c r="B116" s="10"/>
      <c r="C116" s="10"/>
      <c r="D116" s="10"/>
      <c r="E116" s="10"/>
      <c r="F116" s="10"/>
      <c r="G116" s="10"/>
      <c r="H116" s="10"/>
      <c r="I116" s="10"/>
      <c r="J116" s="10"/>
      <c r="K116" s="10"/>
      <c r="L116" s="10"/>
      <c r="M116" s="10"/>
      <c r="N116" s="10"/>
      <c r="O116" s="10"/>
      <c r="P116" s="10"/>
    </row>
    <row r="117" spans="1:16" x14ac:dyDescent="0.25">
      <c r="A117" s="10"/>
      <c r="B117" s="10"/>
      <c r="C117" s="10"/>
      <c r="D117" s="10"/>
      <c r="E117" s="10"/>
      <c r="F117" s="10"/>
      <c r="G117" s="10"/>
      <c r="H117" s="10"/>
      <c r="I117" s="10"/>
      <c r="J117" s="10"/>
      <c r="K117" s="10"/>
      <c r="L117" s="10"/>
      <c r="M117" s="10"/>
      <c r="N117" s="10"/>
      <c r="O117" s="10"/>
      <c r="P117" s="10"/>
    </row>
    <row r="118" spans="1:16" x14ac:dyDescent="0.25">
      <c r="A118" s="10"/>
      <c r="B118" s="10"/>
      <c r="C118" s="10"/>
      <c r="D118" s="10"/>
      <c r="E118" s="10"/>
      <c r="F118" s="10"/>
      <c r="G118" s="10"/>
      <c r="H118" s="10"/>
      <c r="I118" s="10"/>
      <c r="J118" s="10"/>
      <c r="K118" s="10"/>
      <c r="L118" s="10"/>
      <c r="M118" s="10"/>
      <c r="N118" s="10"/>
      <c r="O118" s="10"/>
      <c r="P118" s="10"/>
    </row>
    <row r="119" spans="1:16" x14ac:dyDescent="0.25">
      <c r="A119" s="10"/>
      <c r="B119" s="10"/>
      <c r="C119" s="10"/>
      <c r="D119" s="10"/>
      <c r="E119" s="10"/>
      <c r="F119" s="10"/>
      <c r="G119" s="10"/>
      <c r="H119" s="10"/>
      <c r="I119" s="10"/>
      <c r="J119" s="10"/>
      <c r="K119" s="10"/>
      <c r="L119" s="10"/>
      <c r="M119" s="10"/>
      <c r="N119" s="10"/>
      <c r="O119" s="10"/>
      <c r="P119" s="10"/>
    </row>
    <row r="120" spans="1:16" x14ac:dyDescent="0.25">
      <c r="A120" s="10"/>
      <c r="B120" s="10"/>
      <c r="C120" s="10"/>
      <c r="D120" s="10"/>
      <c r="E120" s="10"/>
      <c r="F120" s="10"/>
      <c r="G120" s="10"/>
      <c r="H120" s="10"/>
      <c r="I120" s="10"/>
      <c r="J120" s="10"/>
      <c r="K120" s="10"/>
      <c r="L120" s="10"/>
      <c r="M120" s="10"/>
      <c r="N120" s="10"/>
      <c r="O120" s="10"/>
      <c r="P120" s="10"/>
    </row>
    <row r="121" spans="1:16" x14ac:dyDescent="0.25">
      <c r="A121" s="10"/>
      <c r="B121" s="10"/>
      <c r="C121" s="10"/>
      <c r="D121" s="10"/>
      <c r="E121" s="10"/>
      <c r="F121" s="10"/>
      <c r="G121" s="10"/>
      <c r="H121" s="10"/>
      <c r="I121" s="10"/>
      <c r="J121" s="10"/>
      <c r="K121" s="10"/>
      <c r="L121" s="10"/>
      <c r="M121" s="10"/>
      <c r="N121" s="10"/>
      <c r="O121" s="10"/>
      <c r="P121" s="10"/>
    </row>
    <row r="122" spans="1:16" x14ac:dyDescent="0.25">
      <c r="A122" s="10"/>
      <c r="B122" s="10"/>
      <c r="C122" s="10"/>
      <c r="D122" s="10"/>
      <c r="E122" s="10"/>
      <c r="F122" s="10"/>
      <c r="G122" s="10"/>
      <c r="H122" s="10"/>
      <c r="I122" s="10"/>
      <c r="J122" s="10"/>
      <c r="K122" s="10"/>
      <c r="L122" s="10"/>
      <c r="M122" s="10"/>
      <c r="N122" s="10"/>
      <c r="O122" s="10"/>
      <c r="P122" s="10"/>
    </row>
    <row r="123" spans="1:16" x14ac:dyDescent="0.25">
      <c r="A123" s="10"/>
      <c r="B123" s="10"/>
      <c r="C123" s="10"/>
      <c r="D123" s="10"/>
      <c r="E123" s="10"/>
      <c r="F123" s="10"/>
      <c r="G123" s="10"/>
      <c r="H123" s="10"/>
      <c r="I123" s="10"/>
      <c r="J123" s="10"/>
      <c r="K123" s="10"/>
      <c r="L123" s="10"/>
      <c r="M123" s="10"/>
      <c r="N123" s="10"/>
      <c r="O123" s="10"/>
      <c r="P123" s="10"/>
    </row>
    <row r="124" spans="1:16" x14ac:dyDescent="0.25">
      <c r="A124" s="10"/>
      <c r="B124" s="10"/>
      <c r="C124" s="10"/>
      <c r="D124" s="10"/>
      <c r="E124" s="10"/>
      <c r="F124" s="10"/>
      <c r="G124" s="10"/>
      <c r="H124" s="10"/>
      <c r="I124" s="10"/>
      <c r="J124" s="10"/>
      <c r="K124" s="10"/>
      <c r="L124" s="10"/>
      <c r="M124" s="10"/>
      <c r="N124" s="10"/>
      <c r="O124" s="10"/>
      <c r="P124" s="10"/>
    </row>
    <row r="125" spans="1:16" x14ac:dyDescent="0.25">
      <c r="A125" s="10"/>
      <c r="B125" s="10"/>
      <c r="C125" s="10"/>
      <c r="D125" s="10"/>
      <c r="E125" s="10"/>
      <c r="F125" s="10"/>
      <c r="G125" s="10"/>
      <c r="H125" s="10"/>
      <c r="I125" s="10"/>
      <c r="J125" s="10"/>
      <c r="K125" s="10"/>
      <c r="L125" s="10"/>
      <c r="M125" s="10"/>
      <c r="N125" s="10"/>
      <c r="O125" s="10"/>
      <c r="P125" s="10"/>
    </row>
    <row r="126" spans="1:16" x14ac:dyDescent="0.25">
      <c r="A126" s="10"/>
      <c r="B126" s="10"/>
      <c r="C126" s="10"/>
      <c r="D126" s="10"/>
      <c r="E126" s="10"/>
      <c r="F126" s="10"/>
      <c r="G126" s="10"/>
      <c r="H126" s="10"/>
      <c r="I126" s="10"/>
      <c r="J126" s="10"/>
      <c r="K126" s="10"/>
      <c r="L126" s="10"/>
      <c r="M126" s="10"/>
      <c r="N126" s="10"/>
      <c r="O126" s="10"/>
      <c r="P126" s="10"/>
    </row>
    <row r="127" spans="1:16" x14ac:dyDescent="0.25">
      <c r="A127" s="10"/>
      <c r="B127" s="10"/>
      <c r="C127" s="10"/>
      <c r="D127" s="10"/>
      <c r="E127" s="10"/>
      <c r="F127" s="10"/>
      <c r="G127" s="10"/>
      <c r="H127" s="10"/>
      <c r="I127" s="10"/>
      <c r="J127" s="10"/>
      <c r="K127" s="10"/>
      <c r="L127" s="10"/>
      <c r="M127" s="10"/>
      <c r="N127" s="10"/>
      <c r="O127" s="10"/>
      <c r="P127" s="10"/>
    </row>
    <row r="128" spans="1:16" x14ac:dyDescent="0.25">
      <c r="A128" s="10"/>
      <c r="B128" s="10"/>
      <c r="C128" s="10"/>
      <c r="D128" s="10"/>
      <c r="E128" s="10"/>
      <c r="F128" s="10"/>
      <c r="G128" s="10"/>
      <c r="H128" s="10"/>
      <c r="I128" s="10"/>
      <c r="J128" s="10"/>
      <c r="K128" s="10"/>
      <c r="L128" s="10"/>
      <c r="M128" s="10"/>
      <c r="N128" s="10"/>
      <c r="O128" s="10"/>
      <c r="P128" s="10"/>
    </row>
    <row r="129" spans="1:16" x14ac:dyDescent="0.25">
      <c r="A129" s="10"/>
      <c r="B129" s="10"/>
      <c r="C129" s="10"/>
      <c r="D129" s="10"/>
      <c r="E129" s="10"/>
      <c r="F129" s="10"/>
      <c r="G129" s="10"/>
      <c r="H129" s="10"/>
      <c r="I129" s="10"/>
      <c r="J129" s="10"/>
      <c r="K129" s="10"/>
      <c r="L129" s="10"/>
      <c r="M129" s="10"/>
      <c r="N129" s="10"/>
      <c r="O129" s="10"/>
      <c r="P129" s="10"/>
    </row>
    <row r="130" spans="1:16" x14ac:dyDescent="0.25">
      <c r="A130" s="10"/>
      <c r="B130" s="10"/>
      <c r="C130" s="10"/>
      <c r="D130" s="10"/>
      <c r="E130" s="10"/>
      <c r="F130" s="10"/>
      <c r="G130" s="10"/>
      <c r="H130" s="10"/>
      <c r="I130" s="10"/>
      <c r="J130" s="10"/>
      <c r="K130" s="10"/>
      <c r="L130" s="10"/>
      <c r="M130" s="10"/>
      <c r="N130" s="10"/>
      <c r="O130" s="10"/>
      <c r="P130" s="10"/>
    </row>
    <row r="131" spans="1:16" x14ac:dyDescent="0.25">
      <c r="A131" s="10"/>
      <c r="B131" s="10"/>
      <c r="C131" s="10"/>
      <c r="D131" s="10"/>
      <c r="E131" s="10"/>
      <c r="F131" s="10"/>
      <c r="G131" s="10"/>
      <c r="H131" s="10"/>
      <c r="I131" s="10"/>
      <c r="J131" s="10"/>
      <c r="K131" s="10"/>
      <c r="L131" s="10"/>
      <c r="M131" s="10"/>
      <c r="N131" s="10"/>
      <c r="O131" s="10"/>
      <c r="P131" s="10"/>
    </row>
    <row r="132" spans="1:16" x14ac:dyDescent="0.25">
      <c r="A132" s="10"/>
      <c r="B132" s="10"/>
      <c r="C132" s="10"/>
      <c r="D132" s="10"/>
      <c r="E132" s="10"/>
      <c r="F132" s="10"/>
      <c r="G132" s="10"/>
      <c r="H132" s="10"/>
      <c r="I132" s="10"/>
      <c r="J132" s="10"/>
      <c r="K132" s="10"/>
      <c r="L132" s="10"/>
      <c r="M132" s="10"/>
      <c r="N132" s="10"/>
      <c r="O132" s="10"/>
      <c r="P132" s="10"/>
    </row>
    <row r="133" spans="1:16" x14ac:dyDescent="0.25">
      <c r="A133" s="10"/>
      <c r="B133" s="10"/>
      <c r="C133" s="10"/>
      <c r="D133" s="10"/>
      <c r="E133" s="10"/>
      <c r="F133" s="10"/>
      <c r="G133" s="10"/>
      <c r="H133" s="10"/>
      <c r="I133" s="10"/>
      <c r="J133" s="10"/>
      <c r="K133" s="10"/>
      <c r="L133" s="10"/>
      <c r="M133" s="10"/>
      <c r="N133" s="10"/>
      <c r="O133" s="10"/>
      <c r="P133" s="10"/>
    </row>
    <row r="134" spans="1:16" x14ac:dyDescent="0.25">
      <c r="A134" s="10"/>
      <c r="B134" s="10"/>
      <c r="C134" s="10"/>
      <c r="D134" s="10"/>
      <c r="E134" s="10"/>
      <c r="F134" s="10"/>
      <c r="G134" s="10"/>
      <c r="H134" s="10"/>
      <c r="I134" s="10"/>
      <c r="J134" s="10"/>
      <c r="K134" s="10"/>
      <c r="L134" s="10"/>
      <c r="M134" s="10"/>
      <c r="N134" s="10"/>
      <c r="O134" s="10"/>
      <c r="P134" s="10"/>
    </row>
    <row r="135" spans="1:16" x14ac:dyDescent="0.25">
      <c r="A135" s="10"/>
      <c r="B135" s="10"/>
      <c r="C135" s="10"/>
      <c r="D135" s="10"/>
      <c r="E135" s="10"/>
      <c r="F135" s="10"/>
      <c r="G135" s="10"/>
      <c r="H135" s="10"/>
      <c r="I135" s="10"/>
      <c r="J135" s="10"/>
      <c r="K135" s="10"/>
      <c r="L135" s="10"/>
      <c r="M135" s="10"/>
      <c r="N135" s="10"/>
      <c r="O135" s="10"/>
      <c r="P135" s="10"/>
    </row>
    <row r="136" spans="1:16" x14ac:dyDescent="0.25">
      <c r="A136" s="10"/>
      <c r="B136" s="10"/>
      <c r="C136" s="10"/>
      <c r="D136" s="10"/>
      <c r="E136" s="10"/>
      <c r="F136" s="10"/>
      <c r="G136" s="10"/>
      <c r="H136" s="10"/>
      <c r="I136" s="10"/>
      <c r="J136" s="10"/>
      <c r="K136" s="10"/>
      <c r="L136" s="10"/>
      <c r="M136" s="10"/>
      <c r="N136" s="10"/>
      <c r="O136" s="10"/>
      <c r="P136" s="10"/>
    </row>
    <row r="137" spans="1:16" x14ac:dyDescent="0.25">
      <c r="A137" s="10"/>
      <c r="B137" s="10"/>
      <c r="C137" s="10"/>
      <c r="D137" s="10"/>
      <c r="E137" s="10"/>
      <c r="F137" s="10"/>
      <c r="G137" s="10"/>
      <c r="H137" s="10"/>
      <c r="I137" s="10"/>
      <c r="J137" s="10"/>
      <c r="K137" s="10"/>
      <c r="L137" s="10"/>
      <c r="M137" s="10"/>
      <c r="N137" s="10"/>
      <c r="O137" s="10"/>
      <c r="P137" s="10"/>
    </row>
    <row r="138" spans="1:16" x14ac:dyDescent="0.25">
      <c r="A138" s="10"/>
      <c r="B138" s="10"/>
      <c r="C138" s="10"/>
      <c r="D138" s="10"/>
      <c r="E138" s="10"/>
      <c r="F138" s="10"/>
      <c r="G138" s="10"/>
      <c r="H138" s="10"/>
      <c r="I138" s="10"/>
      <c r="J138" s="10"/>
      <c r="K138" s="10"/>
      <c r="L138" s="10"/>
      <c r="M138" s="10"/>
      <c r="N138" s="10"/>
      <c r="O138" s="10"/>
      <c r="P138" s="10"/>
    </row>
    <row r="139" spans="1:16" x14ac:dyDescent="0.25">
      <c r="A139" s="10"/>
      <c r="B139" s="10"/>
      <c r="C139" s="10"/>
      <c r="D139" s="10"/>
      <c r="E139" s="10"/>
      <c r="F139" s="10"/>
      <c r="G139" s="10"/>
      <c r="H139" s="10"/>
      <c r="I139" s="10"/>
      <c r="J139" s="10"/>
      <c r="K139" s="10"/>
      <c r="L139" s="10"/>
      <c r="M139" s="10"/>
      <c r="N139" s="10"/>
      <c r="O139" s="10"/>
      <c r="P139" s="10"/>
    </row>
    <row r="140" spans="1:16" x14ac:dyDescent="0.25">
      <c r="A140" s="10"/>
      <c r="B140" s="10"/>
      <c r="C140" s="10"/>
      <c r="D140" s="10"/>
      <c r="E140" s="10"/>
      <c r="F140" s="10"/>
      <c r="G140" s="10"/>
      <c r="H140" s="10"/>
      <c r="I140" s="10"/>
      <c r="J140" s="10"/>
      <c r="K140" s="10"/>
      <c r="L140" s="10"/>
      <c r="M140" s="10"/>
      <c r="N140" s="10"/>
      <c r="O140" s="10"/>
      <c r="P140" s="10"/>
    </row>
    <row r="141" spans="1:16" x14ac:dyDescent="0.25">
      <c r="A141" s="10"/>
      <c r="B141" s="10"/>
      <c r="C141" s="10"/>
      <c r="D141" s="10"/>
      <c r="E141" s="10"/>
      <c r="F141" s="10"/>
      <c r="G141" s="10"/>
      <c r="H141" s="10"/>
      <c r="I141" s="10"/>
      <c r="J141" s="10"/>
      <c r="K141" s="10"/>
      <c r="L141" s="10"/>
      <c r="M141" s="10"/>
      <c r="N141" s="10"/>
      <c r="O141" s="10"/>
      <c r="P141" s="10"/>
    </row>
    <row r="142" spans="1:16" x14ac:dyDescent="0.25">
      <c r="A142" s="10"/>
      <c r="B142" s="10"/>
      <c r="C142" s="10"/>
      <c r="D142" s="10"/>
      <c r="E142" s="10"/>
      <c r="F142" s="10"/>
      <c r="G142" s="10"/>
      <c r="H142" s="10"/>
      <c r="I142" s="10"/>
      <c r="J142" s="10"/>
      <c r="K142" s="10"/>
      <c r="L142" s="10"/>
      <c r="M142" s="10"/>
      <c r="N142" s="10"/>
      <c r="O142" s="10"/>
      <c r="P142" s="10"/>
    </row>
    <row r="143" spans="1:16" x14ac:dyDescent="0.25">
      <c r="A143" s="10"/>
      <c r="B143" s="10"/>
      <c r="C143" s="10"/>
      <c r="D143" s="10"/>
      <c r="E143" s="10"/>
      <c r="F143" s="10"/>
      <c r="G143" s="10"/>
      <c r="H143" s="10"/>
      <c r="I143" s="10"/>
      <c r="J143" s="10"/>
      <c r="K143" s="10"/>
      <c r="L143" s="10"/>
      <c r="M143" s="10"/>
      <c r="N143" s="10"/>
      <c r="O143" s="10"/>
      <c r="P143" s="10"/>
    </row>
    <row r="144" spans="1:16" x14ac:dyDescent="0.25">
      <c r="A144" s="10"/>
      <c r="B144" s="10"/>
      <c r="C144" s="10"/>
      <c r="D144" s="10"/>
      <c r="E144" s="10"/>
      <c r="F144" s="10"/>
      <c r="G144" s="10"/>
      <c r="H144" s="10"/>
      <c r="I144" s="10"/>
      <c r="J144" s="10"/>
      <c r="K144" s="10"/>
      <c r="L144" s="10"/>
      <c r="M144" s="10"/>
      <c r="N144" s="10"/>
      <c r="O144" s="10"/>
      <c r="P144" s="10"/>
    </row>
    <row r="145" spans="1:16" x14ac:dyDescent="0.25">
      <c r="A145" s="10"/>
      <c r="B145" s="10"/>
      <c r="C145" s="10"/>
      <c r="D145" s="10"/>
      <c r="E145" s="10"/>
      <c r="F145" s="10"/>
      <c r="G145" s="10"/>
      <c r="H145" s="10"/>
      <c r="I145" s="10"/>
      <c r="J145" s="10"/>
      <c r="K145" s="10"/>
      <c r="L145" s="10"/>
      <c r="M145" s="10"/>
      <c r="N145" s="10"/>
      <c r="O145" s="10"/>
      <c r="P145" s="10"/>
    </row>
    <row r="146" spans="1:16" x14ac:dyDescent="0.25">
      <c r="A146" s="10"/>
      <c r="B146" s="10"/>
      <c r="C146" s="10"/>
      <c r="D146" s="10"/>
      <c r="E146" s="10"/>
      <c r="F146" s="10"/>
      <c r="G146" s="10"/>
      <c r="H146" s="10"/>
      <c r="I146" s="10"/>
      <c r="J146" s="10"/>
      <c r="K146" s="10"/>
      <c r="L146" s="10"/>
      <c r="M146" s="10"/>
      <c r="N146" s="10"/>
      <c r="O146" s="10"/>
      <c r="P146" s="10"/>
    </row>
    <row r="147" spans="1:16" x14ac:dyDescent="0.25">
      <c r="A147" s="10"/>
      <c r="B147" s="10"/>
      <c r="C147" s="10"/>
      <c r="D147" s="10"/>
      <c r="E147" s="10"/>
      <c r="F147" s="10"/>
      <c r="G147" s="10"/>
      <c r="H147" s="10"/>
      <c r="I147" s="10"/>
      <c r="J147" s="10"/>
      <c r="K147" s="10"/>
      <c r="L147" s="10"/>
      <c r="M147" s="10"/>
      <c r="N147" s="10"/>
      <c r="O147" s="10"/>
      <c r="P147" s="10"/>
    </row>
    <row r="148" spans="1:16" x14ac:dyDescent="0.25">
      <c r="A148" s="10"/>
      <c r="B148" s="10"/>
      <c r="C148" s="10"/>
      <c r="D148" s="10"/>
      <c r="E148" s="10"/>
      <c r="F148" s="10"/>
      <c r="G148" s="10"/>
      <c r="H148" s="10"/>
      <c r="I148" s="10"/>
      <c r="J148" s="10"/>
      <c r="K148" s="10"/>
      <c r="L148" s="10"/>
      <c r="M148" s="10"/>
      <c r="N148" s="10"/>
      <c r="O148" s="10"/>
      <c r="P148" s="10"/>
    </row>
    <row r="149" spans="1:16" x14ac:dyDescent="0.25">
      <c r="A149" s="10"/>
      <c r="B149" s="10"/>
      <c r="C149" s="10"/>
      <c r="D149" s="10"/>
      <c r="E149" s="10"/>
      <c r="F149" s="10"/>
      <c r="G149" s="10"/>
      <c r="H149" s="10"/>
      <c r="I149" s="10"/>
      <c r="J149" s="10"/>
      <c r="K149" s="10"/>
      <c r="L149" s="10"/>
      <c r="M149" s="10"/>
      <c r="N149" s="10"/>
      <c r="O149" s="10"/>
      <c r="P149" s="10"/>
    </row>
    <row r="150" spans="1:16" x14ac:dyDescent="0.25">
      <c r="A150" s="10"/>
      <c r="B150" s="10"/>
      <c r="C150" s="10"/>
      <c r="D150" s="10"/>
      <c r="E150" s="10"/>
      <c r="F150" s="10"/>
      <c r="G150" s="10"/>
      <c r="H150" s="10"/>
      <c r="I150" s="10"/>
      <c r="J150" s="10"/>
      <c r="K150" s="10"/>
      <c r="L150" s="10"/>
      <c r="M150" s="10"/>
      <c r="N150" s="10"/>
      <c r="O150" s="10"/>
      <c r="P150" s="10"/>
    </row>
    <row r="151" spans="1:16" x14ac:dyDescent="0.25">
      <c r="A151" s="10"/>
      <c r="B151" s="10"/>
      <c r="C151" s="10"/>
      <c r="D151" s="10"/>
      <c r="E151" s="10"/>
      <c r="F151" s="10"/>
      <c r="G151" s="10"/>
      <c r="H151" s="10"/>
      <c r="I151" s="10"/>
      <c r="J151" s="10"/>
      <c r="K151" s="10"/>
      <c r="L151" s="10"/>
      <c r="M151" s="10"/>
      <c r="N151" s="10"/>
      <c r="O151" s="10"/>
      <c r="P151" s="10"/>
    </row>
    <row r="152" spans="1:16" x14ac:dyDescent="0.25">
      <c r="A152" s="10"/>
      <c r="B152" s="10"/>
      <c r="C152" s="10"/>
      <c r="D152" s="10"/>
      <c r="E152" s="10"/>
      <c r="F152" s="10"/>
      <c r="G152" s="10"/>
      <c r="H152" s="10"/>
      <c r="I152" s="10"/>
      <c r="J152" s="10"/>
      <c r="K152" s="10"/>
      <c r="L152" s="10"/>
      <c r="M152" s="10"/>
      <c r="N152" s="10"/>
      <c r="O152" s="10"/>
      <c r="P152" s="10"/>
    </row>
    <row r="153" spans="1:16" x14ac:dyDescent="0.25">
      <c r="A153" s="10"/>
      <c r="B153" s="10"/>
      <c r="C153" s="10"/>
      <c r="D153" s="10"/>
      <c r="E153" s="10"/>
      <c r="F153" s="10"/>
      <c r="G153" s="10"/>
      <c r="H153" s="10"/>
      <c r="I153" s="10"/>
      <c r="J153" s="10"/>
      <c r="K153" s="10"/>
      <c r="L153" s="10"/>
      <c r="M153" s="10"/>
      <c r="N153" s="10"/>
      <c r="O153" s="10"/>
      <c r="P153" s="10"/>
    </row>
    <row r="154" spans="1:16" x14ac:dyDescent="0.25">
      <c r="A154" s="10"/>
      <c r="B154" s="10"/>
      <c r="C154" s="10"/>
      <c r="D154" s="10"/>
      <c r="E154" s="10"/>
      <c r="F154" s="10"/>
      <c r="G154" s="10"/>
      <c r="H154" s="10"/>
      <c r="I154" s="10"/>
      <c r="J154" s="10"/>
      <c r="K154" s="10"/>
      <c r="L154" s="10"/>
      <c r="M154" s="10"/>
      <c r="N154" s="10"/>
      <c r="O154" s="10"/>
      <c r="P154" s="10"/>
    </row>
    <row r="155" spans="1:16" x14ac:dyDescent="0.25">
      <c r="A155" s="10"/>
      <c r="B155" s="10"/>
      <c r="C155" s="10"/>
      <c r="D155" s="10"/>
      <c r="E155" s="10"/>
      <c r="F155" s="10"/>
      <c r="G155" s="10"/>
      <c r="H155" s="10"/>
      <c r="I155" s="10"/>
      <c r="J155" s="10"/>
      <c r="K155" s="10"/>
      <c r="L155" s="10"/>
      <c r="M155" s="10"/>
      <c r="N155" s="10"/>
      <c r="O155" s="10"/>
      <c r="P155" s="10"/>
    </row>
    <row r="156" spans="1:16" x14ac:dyDescent="0.25">
      <c r="A156" s="10"/>
      <c r="B156" s="10"/>
      <c r="C156" s="10"/>
      <c r="D156" s="10"/>
      <c r="E156" s="10"/>
      <c r="F156" s="10"/>
      <c r="G156" s="10"/>
      <c r="H156" s="10"/>
      <c r="I156" s="10"/>
      <c r="J156" s="10"/>
      <c r="K156" s="10"/>
      <c r="L156" s="10"/>
      <c r="M156" s="10"/>
      <c r="N156" s="10"/>
      <c r="O156" s="10"/>
      <c r="P156" s="10"/>
    </row>
    <row r="157" spans="1:16" x14ac:dyDescent="0.25">
      <c r="A157" s="10"/>
      <c r="B157" s="10"/>
      <c r="C157" s="10"/>
      <c r="D157" s="10"/>
      <c r="E157" s="10"/>
      <c r="F157" s="10"/>
      <c r="G157" s="10"/>
      <c r="H157" s="10"/>
      <c r="I157" s="10"/>
      <c r="J157" s="10"/>
      <c r="K157" s="10"/>
      <c r="L157" s="10"/>
      <c r="M157" s="10"/>
      <c r="N157" s="10"/>
      <c r="O157" s="10"/>
      <c r="P157" s="10"/>
    </row>
    <row r="158" spans="1:16" x14ac:dyDescent="0.25">
      <c r="A158" s="10"/>
      <c r="B158" s="10"/>
      <c r="C158" s="10"/>
      <c r="D158" s="10"/>
      <c r="E158" s="10"/>
      <c r="F158" s="10"/>
      <c r="G158" s="10"/>
      <c r="H158" s="10"/>
      <c r="I158" s="10"/>
      <c r="J158" s="10"/>
      <c r="K158" s="10"/>
      <c r="L158" s="10"/>
      <c r="M158" s="10"/>
      <c r="N158" s="10"/>
      <c r="O158" s="10"/>
      <c r="P158" s="10"/>
    </row>
    <row r="159" spans="1:16" x14ac:dyDescent="0.25">
      <c r="A159" s="10"/>
      <c r="B159" s="10"/>
      <c r="C159" s="10"/>
      <c r="D159" s="10"/>
      <c r="E159" s="10"/>
      <c r="F159" s="10"/>
      <c r="G159" s="10"/>
      <c r="H159" s="10"/>
      <c r="I159" s="10"/>
      <c r="J159" s="10"/>
      <c r="K159" s="10"/>
      <c r="L159" s="10"/>
      <c r="M159" s="10"/>
      <c r="N159" s="10"/>
      <c r="O159" s="10"/>
      <c r="P159" s="10"/>
    </row>
    <row r="160" spans="1:16" x14ac:dyDescent="0.2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PERDEREAU Chloé</cp:lastModifiedBy>
  <dcterms:created xsi:type="dcterms:W3CDTF">2019-12-30T13:35:15Z</dcterms:created>
  <dcterms:modified xsi:type="dcterms:W3CDTF">2021-10-04T08:00:54Z</dcterms:modified>
</cp:coreProperties>
</file>