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ssier Personnel\Projet\Start-up\Forêt\Atmosylva\Projets forestiers\PE Lelièvre\Dammarie\Dossier LBC\Documents Projet\Documents finaux\"/>
    </mc:Choice>
  </mc:AlternateContent>
  <xr:revisionPtr revIDLastSave="0" documentId="13_ncr:1_{73460215-9779-47E5-9079-E011DE0B9B55}" xr6:coauthVersionLast="47" xr6:coauthVersionMax="47" xr10:uidLastSave="{00000000-0000-0000-0000-000000000000}"/>
  <bookViews>
    <workbookView xWindow="252" yWindow="144" windowWidth="13524" windowHeight="11880" tabRatio="743" xr2:uid="{328783DF-3633-4C71-A807-584CDEB47C28}"/>
  </bookViews>
  <sheets>
    <sheet name="VAN Boisement" sheetId="6" r:id="rId1"/>
    <sheet name="VAN Cultures" sheetId="5" r:id="rId2"/>
    <sheet name="Production Chêne" sheetId="7" r:id="rId3"/>
    <sheet name="Production Fruitiers" sheetId="2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6" l="1"/>
  <c r="H13" i="6"/>
  <c r="G14" i="6"/>
  <c r="H14" i="6" s="1"/>
  <c r="G15" i="6"/>
  <c r="H15" i="6"/>
  <c r="G16" i="6"/>
  <c r="H16" i="6" s="1"/>
  <c r="G17" i="6"/>
  <c r="H17" i="6"/>
  <c r="G18" i="6"/>
  <c r="H18" i="6" s="1"/>
  <c r="G19" i="6"/>
  <c r="H19" i="6"/>
  <c r="G20" i="6"/>
  <c r="H20" i="6" s="1"/>
  <c r="G21" i="6"/>
  <c r="H21" i="6"/>
  <c r="G22" i="6"/>
  <c r="H22" i="6" s="1"/>
  <c r="G23" i="6"/>
  <c r="H23" i="6"/>
  <c r="G24" i="6"/>
  <c r="H24" i="6" s="1"/>
  <c r="G25" i="6"/>
  <c r="H25" i="6"/>
  <c r="G26" i="6"/>
  <c r="H26" i="6" s="1"/>
  <c r="G27" i="6"/>
  <c r="H27" i="6"/>
  <c r="G28" i="6"/>
  <c r="H28" i="6" s="1"/>
  <c r="G29" i="6"/>
  <c r="H29" i="6"/>
  <c r="G30" i="6"/>
  <c r="H30" i="6" s="1"/>
  <c r="G31" i="6"/>
  <c r="H31" i="6"/>
  <c r="G32" i="6"/>
  <c r="H32" i="6" s="1"/>
  <c r="G33" i="6"/>
  <c r="H33" i="6"/>
  <c r="G34" i="6"/>
  <c r="H34" i="6" s="1"/>
  <c r="F63" i="6"/>
  <c r="F55" i="6"/>
  <c r="F44" i="6"/>
  <c r="F36" i="6"/>
  <c r="D143" i="6"/>
  <c r="D128" i="6"/>
  <c r="D114" i="6"/>
  <c r="D100" i="6"/>
  <c r="D86" i="6"/>
  <c r="D73" i="6"/>
  <c r="D58" i="6"/>
  <c r="D44" i="6"/>
  <c r="D36" i="6"/>
  <c r="E63" i="6"/>
  <c r="E55" i="6"/>
  <c r="E44" i="6"/>
  <c r="E36" i="6"/>
  <c r="AK5" i="21"/>
  <c r="AK6" i="21"/>
  <c r="AK7" i="21"/>
  <c r="AK8" i="21"/>
  <c r="AK9" i="21"/>
  <c r="AK10" i="21"/>
  <c r="AK11" i="21"/>
  <c r="AK12" i="21"/>
  <c r="AK13" i="21"/>
  <c r="AK14" i="21"/>
  <c r="AK15" i="21"/>
  <c r="AK16" i="21"/>
  <c r="AK17" i="21"/>
  <c r="AK18" i="21"/>
  <c r="AK19" i="21"/>
  <c r="AK20" i="21"/>
  <c r="AK21" i="21"/>
  <c r="AK22" i="21"/>
  <c r="AK23" i="21"/>
  <c r="AK24" i="21"/>
  <c r="AK25" i="21"/>
  <c r="AK26" i="21"/>
  <c r="AK27" i="21"/>
  <c r="AK28" i="21"/>
  <c r="AK29" i="21"/>
  <c r="AK30" i="21"/>
  <c r="AK31" i="21"/>
  <c r="AK32" i="21"/>
  <c r="AK33" i="21"/>
  <c r="AK34" i="21"/>
  <c r="AK35" i="21"/>
  <c r="AK36" i="21"/>
  <c r="AK38" i="21"/>
  <c r="AK39" i="21"/>
  <c r="AK40" i="21"/>
  <c r="AK41" i="21"/>
  <c r="AK42" i="21"/>
  <c r="AK43" i="21"/>
  <c r="AK44" i="21"/>
  <c r="AK46" i="21"/>
  <c r="AK47" i="21"/>
  <c r="AK48" i="21"/>
  <c r="AK49" i="21"/>
  <c r="AK50" i="21"/>
  <c r="AK51" i="21"/>
  <c r="AK52" i="21"/>
  <c r="AK53" i="21"/>
  <c r="AK54" i="21"/>
  <c r="AK55" i="21"/>
  <c r="AK57" i="21"/>
  <c r="AK58" i="21"/>
  <c r="AK59" i="21"/>
  <c r="AK60" i="21"/>
  <c r="AK61" i="21"/>
  <c r="AK62" i="21"/>
  <c r="AK63" i="21"/>
  <c r="C64" i="21"/>
  <c r="B64" i="21"/>
  <c r="C54" i="21"/>
  <c r="C55" i="21" s="1"/>
  <c r="C56" i="21" s="1"/>
  <c r="C57" i="21" s="1"/>
  <c r="C58" i="21" s="1"/>
  <c r="C59" i="21" s="1"/>
  <c r="C60" i="21" s="1"/>
  <c r="C61" i="21" s="1"/>
  <c r="C62" i="21" s="1"/>
  <c r="B54" i="21"/>
  <c r="B55" i="21" s="1"/>
  <c r="B56" i="21" s="1"/>
  <c r="B57" i="21" s="1"/>
  <c r="B58" i="21" s="1"/>
  <c r="B59" i="21" s="1"/>
  <c r="B60" i="21" s="1"/>
  <c r="B61" i="21" s="1"/>
  <c r="B62" i="21" s="1"/>
  <c r="C36" i="21"/>
  <c r="C37" i="21" s="1"/>
  <c r="C38" i="21" s="1"/>
  <c r="C39" i="21" s="1"/>
  <c r="C40" i="21" s="1"/>
  <c r="C41" i="21" s="1"/>
  <c r="C42" i="21" s="1"/>
  <c r="C43" i="21" s="1"/>
  <c r="C44" i="21" s="1"/>
  <c r="C45" i="21" s="1"/>
  <c r="C46" i="21" s="1"/>
  <c r="C47" i="21" s="1"/>
  <c r="C48" i="21" s="1"/>
  <c r="C49" i="21" s="1"/>
  <c r="C50" i="21" s="1"/>
  <c r="C51" i="21" s="1"/>
  <c r="C52" i="21" s="1"/>
  <c r="B38" i="2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37" i="21"/>
  <c r="B36" i="21"/>
  <c r="C23" i="21"/>
  <c r="C24" i="21" s="1"/>
  <c r="C25" i="21" s="1"/>
  <c r="C26" i="21" s="1"/>
  <c r="C27" i="21" s="1"/>
  <c r="C28" i="21" s="1"/>
  <c r="C29" i="21" s="1"/>
  <c r="C30" i="21" s="1"/>
  <c r="C31" i="21" s="1"/>
  <c r="C32" i="21" s="1"/>
  <c r="C33" i="21" s="1"/>
  <c r="C34" i="21" s="1"/>
  <c r="B23" i="2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C5" i="21"/>
  <c r="C6" i="21" s="1"/>
  <c r="C7" i="21" s="1"/>
  <c r="C8" i="21" s="1"/>
  <c r="C9" i="21" s="1"/>
  <c r="C10" i="21" s="1"/>
  <c r="C11" i="21" s="1"/>
  <c r="C12" i="21" s="1"/>
  <c r="C13" i="21" s="1"/>
  <c r="C14" i="21" s="1"/>
  <c r="C15" i="21" s="1"/>
  <c r="C16" i="21" s="1"/>
  <c r="C17" i="21" s="1"/>
  <c r="C18" i="21" s="1"/>
  <c r="C19" i="21" s="1"/>
  <c r="C20" i="21" s="1"/>
  <c r="C21" i="21" s="1"/>
  <c r="B6" i="2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5" i="21"/>
  <c r="AK4" i="21"/>
  <c r="D4" i="21"/>
  <c r="E4" i="21" s="1"/>
  <c r="F4" i="21" s="1"/>
  <c r="D5" i="21" l="1"/>
  <c r="E5" i="21" s="1"/>
  <c r="F5" i="21" s="1"/>
  <c r="K4" i="21"/>
  <c r="N4" i="21"/>
  <c r="R4" i="21" s="1"/>
  <c r="D6" i="21"/>
  <c r="N5" i="21" l="1"/>
  <c r="R5" i="21" s="1"/>
  <c r="D7" i="21"/>
  <c r="D53" i="21"/>
  <c r="E53" i="21" s="1"/>
  <c r="F53" i="21" s="1"/>
  <c r="K5" i="21" l="1"/>
  <c r="D22" i="21"/>
  <c r="E22" i="21" s="1"/>
  <c r="F22" i="21" s="1"/>
  <c r="N53" i="21"/>
  <c r="D8" i="21"/>
  <c r="D9" i="21" l="1"/>
  <c r="K22" i="21"/>
  <c r="N22" i="21"/>
  <c r="R22" i="21" s="1"/>
  <c r="D10" i="21" l="1"/>
  <c r="D35" i="21"/>
  <c r="E35" i="21" s="1"/>
  <c r="F35" i="21" s="1"/>
  <c r="D11" i="21" l="1"/>
  <c r="D63" i="21"/>
  <c r="E63" i="21" s="1"/>
  <c r="F63" i="21" s="1"/>
  <c r="N35" i="21"/>
  <c r="R35" i="21" s="1"/>
  <c r="K35" i="21"/>
  <c r="N63" i="21" l="1"/>
  <c r="D12" i="21"/>
  <c r="D13" i="21" l="1"/>
  <c r="D14" i="21" l="1"/>
  <c r="D15" i="21" l="1"/>
  <c r="G6" i="6"/>
  <c r="H6" i="6" s="1"/>
  <c r="G35" i="6"/>
  <c r="H35" i="6" s="1"/>
  <c r="G37" i="6"/>
  <c r="H37" i="6" s="1"/>
  <c r="G38" i="6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5" i="6"/>
  <c r="H45" i="6" s="1"/>
  <c r="G46" i="6"/>
  <c r="H46" i="6" s="1"/>
  <c r="G47" i="6"/>
  <c r="H47" i="6" s="1"/>
  <c r="G48" i="6"/>
  <c r="H48" i="6" s="1"/>
  <c r="G49" i="6"/>
  <c r="H49" i="6" s="1"/>
  <c r="G50" i="6"/>
  <c r="H50" i="6" s="1"/>
  <c r="G51" i="6"/>
  <c r="H51" i="6" s="1"/>
  <c r="G52" i="6"/>
  <c r="H52" i="6" s="1"/>
  <c r="G53" i="6"/>
  <c r="H53" i="6" s="1"/>
  <c r="G54" i="6"/>
  <c r="H54" i="6" s="1"/>
  <c r="G55" i="6"/>
  <c r="H55" i="6" s="1"/>
  <c r="G56" i="6"/>
  <c r="H56" i="6" s="1"/>
  <c r="G57" i="6"/>
  <c r="H57" i="6" s="1"/>
  <c r="G59" i="6"/>
  <c r="H59" i="6" s="1"/>
  <c r="G60" i="6"/>
  <c r="H60" i="6" s="1"/>
  <c r="G61" i="6"/>
  <c r="H61" i="6" s="1"/>
  <c r="G62" i="6"/>
  <c r="H62" i="6" s="1"/>
  <c r="G63" i="6"/>
  <c r="H63" i="6" s="1"/>
  <c r="G64" i="6"/>
  <c r="H64" i="6" s="1"/>
  <c r="G65" i="6"/>
  <c r="H65" i="6" s="1"/>
  <c r="G66" i="6"/>
  <c r="H66" i="6" s="1"/>
  <c r="G67" i="6"/>
  <c r="H67" i="6" s="1"/>
  <c r="G68" i="6"/>
  <c r="H68" i="6" s="1"/>
  <c r="G69" i="6"/>
  <c r="H69" i="6" s="1"/>
  <c r="G70" i="6"/>
  <c r="H70" i="6" s="1"/>
  <c r="G71" i="6"/>
  <c r="H71" i="6" s="1"/>
  <c r="G72" i="6"/>
  <c r="H72" i="6" s="1"/>
  <c r="G74" i="6"/>
  <c r="H74" i="6" s="1"/>
  <c r="G75" i="6"/>
  <c r="H75" i="6" s="1"/>
  <c r="G76" i="6"/>
  <c r="H76" i="6" s="1"/>
  <c r="G77" i="6"/>
  <c r="H77" i="6" s="1"/>
  <c r="G78" i="6"/>
  <c r="H78" i="6" s="1"/>
  <c r="G79" i="6"/>
  <c r="H79" i="6" s="1"/>
  <c r="G80" i="6"/>
  <c r="H80" i="6" s="1"/>
  <c r="G81" i="6"/>
  <c r="H81" i="6" s="1"/>
  <c r="G82" i="6"/>
  <c r="H82" i="6" s="1"/>
  <c r="G83" i="6"/>
  <c r="H83" i="6" s="1"/>
  <c r="G84" i="6"/>
  <c r="H84" i="6" s="1"/>
  <c r="G85" i="6"/>
  <c r="H85" i="6" s="1"/>
  <c r="G87" i="6"/>
  <c r="H87" i="6" s="1"/>
  <c r="G88" i="6"/>
  <c r="H88" i="6" s="1"/>
  <c r="G89" i="6"/>
  <c r="H89" i="6" s="1"/>
  <c r="G90" i="6"/>
  <c r="H90" i="6" s="1"/>
  <c r="G91" i="6"/>
  <c r="H91" i="6" s="1"/>
  <c r="G92" i="6"/>
  <c r="H92" i="6" s="1"/>
  <c r="G93" i="6"/>
  <c r="H93" i="6" s="1"/>
  <c r="G94" i="6"/>
  <c r="H94" i="6" s="1"/>
  <c r="G95" i="6"/>
  <c r="H95" i="6" s="1"/>
  <c r="G96" i="6"/>
  <c r="H96" i="6" s="1"/>
  <c r="G97" i="6"/>
  <c r="H97" i="6" s="1"/>
  <c r="G98" i="6"/>
  <c r="H98" i="6" s="1"/>
  <c r="G99" i="6"/>
  <c r="H99" i="6" s="1"/>
  <c r="G101" i="6"/>
  <c r="H101" i="6" s="1"/>
  <c r="G102" i="6"/>
  <c r="H102" i="6" s="1"/>
  <c r="G103" i="6"/>
  <c r="H103" i="6" s="1"/>
  <c r="G104" i="6"/>
  <c r="H104" i="6" s="1"/>
  <c r="G105" i="6"/>
  <c r="H105" i="6" s="1"/>
  <c r="G106" i="6"/>
  <c r="H106" i="6" s="1"/>
  <c r="G107" i="6"/>
  <c r="H107" i="6" s="1"/>
  <c r="G108" i="6"/>
  <c r="H108" i="6" s="1"/>
  <c r="G109" i="6"/>
  <c r="H109" i="6" s="1"/>
  <c r="G110" i="6"/>
  <c r="H110" i="6" s="1"/>
  <c r="G111" i="6"/>
  <c r="H111" i="6" s="1"/>
  <c r="G112" i="6"/>
  <c r="H112" i="6" s="1"/>
  <c r="G113" i="6"/>
  <c r="H113" i="6" s="1"/>
  <c r="G115" i="6"/>
  <c r="H115" i="6" s="1"/>
  <c r="G116" i="6"/>
  <c r="H116" i="6" s="1"/>
  <c r="G117" i="6"/>
  <c r="H117" i="6" s="1"/>
  <c r="G118" i="6"/>
  <c r="H118" i="6" s="1"/>
  <c r="G119" i="6"/>
  <c r="H119" i="6" s="1"/>
  <c r="G120" i="6"/>
  <c r="H120" i="6" s="1"/>
  <c r="G121" i="6"/>
  <c r="H121" i="6" s="1"/>
  <c r="G122" i="6"/>
  <c r="H122" i="6" s="1"/>
  <c r="G123" i="6"/>
  <c r="H123" i="6" s="1"/>
  <c r="G124" i="6"/>
  <c r="H124" i="6" s="1"/>
  <c r="G125" i="6"/>
  <c r="H125" i="6" s="1"/>
  <c r="G126" i="6"/>
  <c r="H126" i="6" s="1"/>
  <c r="G127" i="6"/>
  <c r="H127" i="6" s="1"/>
  <c r="G129" i="6"/>
  <c r="H129" i="6" s="1"/>
  <c r="G130" i="6"/>
  <c r="H130" i="6" s="1"/>
  <c r="G131" i="6"/>
  <c r="H131" i="6" s="1"/>
  <c r="G132" i="6"/>
  <c r="H132" i="6" s="1"/>
  <c r="G133" i="6"/>
  <c r="H133" i="6" s="1"/>
  <c r="G134" i="6"/>
  <c r="H134" i="6" s="1"/>
  <c r="G135" i="6"/>
  <c r="H135" i="6" s="1"/>
  <c r="G136" i="6"/>
  <c r="H136" i="6" s="1"/>
  <c r="G137" i="6"/>
  <c r="H137" i="6" s="1"/>
  <c r="G138" i="6"/>
  <c r="H138" i="6" s="1"/>
  <c r="G139" i="6"/>
  <c r="H139" i="6" s="1"/>
  <c r="G140" i="6"/>
  <c r="H140" i="6" s="1"/>
  <c r="G141" i="6"/>
  <c r="H141" i="6" s="1"/>
  <c r="G142" i="6"/>
  <c r="H142" i="6" s="1"/>
  <c r="I7" i="5"/>
  <c r="I6" i="5"/>
  <c r="H8" i="5"/>
  <c r="I5" i="5"/>
  <c r="D17" i="21" l="1"/>
  <c r="D16" i="21"/>
  <c r="I8" i="5"/>
  <c r="C140" i="7" l="1"/>
  <c r="C141" i="7" s="1"/>
  <c r="C142" i="7" s="1"/>
  <c r="C143" i="7" s="1"/>
  <c r="C144" i="7" s="1"/>
  <c r="C130" i="7"/>
  <c r="C131" i="7" s="1"/>
  <c r="C132" i="7" s="1"/>
  <c r="C133" i="7" s="1"/>
  <c r="C134" i="7" s="1"/>
  <c r="C135" i="7" s="1"/>
  <c r="C136" i="7" s="1"/>
  <c r="C137" i="7" s="1"/>
  <c r="C138" i="7" s="1"/>
  <c r="C120" i="7"/>
  <c r="C121" i="7" s="1"/>
  <c r="C122" i="7" s="1"/>
  <c r="C123" i="7" s="1"/>
  <c r="C124" i="7" s="1"/>
  <c r="C125" i="7" s="1"/>
  <c r="C126" i="7" s="1"/>
  <c r="C127" i="7" s="1"/>
  <c r="C128" i="7" s="1"/>
  <c r="C110" i="7"/>
  <c r="C111" i="7" s="1"/>
  <c r="C112" i="7" s="1"/>
  <c r="C113" i="7" s="1"/>
  <c r="C114" i="7" s="1"/>
  <c r="C115" i="7" s="1"/>
  <c r="C116" i="7" s="1"/>
  <c r="C117" i="7" s="1"/>
  <c r="C118" i="7" s="1"/>
  <c r="C100" i="7"/>
  <c r="C101" i="7" s="1"/>
  <c r="C102" i="7" s="1"/>
  <c r="C103" i="7" s="1"/>
  <c r="C104" i="7" s="1"/>
  <c r="C105" i="7" s="1"/>
  <c r="C106" i="7" s="1"/>
  <c r="C107" i="7" s="1"/>
  <c r="C108" i="7" s="1"/>
  <c r="C90" i="7"/>
  <c r="C91" i="7" s="1"/>
  <c r="C92" i="7" s="1"/>
  <c r="C93" i="7" s="1"/>
  <c r="C94" i="7" s="1"/>
  <c r="C95" i="7" s="1"/>
  <c r="C96" i="7" s="1"/>
  <c r="C97" i="7" s="1"/>
  <c r="C98" i="7" s="1"/>
  <c r="C82" i="7"/>
  <c r="C74" i="7"/>
  <c r="C66" i="7"/>
  <c r="C67" i="7" s="1"/>
  <c r="C68" i="7" s="1"/>
  <c r="C69" i="7" s="1"/>
  <c r="C70" i="7" s="1"/>
  <c r="C71" i="7" s="1"/>
  <c r="C72" i="7" s="1"/>
  <c r="C58" i="7"/>
  <c r="C59" i="7" s="1"/>
  <c r="C60" i="7" s="1"/>
  <c r="C61" i="7" s="1"/>
  <c r="C62" i="7" s="1"/>
  <c r="C63" i="7" s="1"/>
  <c r="C64" i="7" s="1"/>
  <c r="C50" i="7"/>
  <c r="C51" i="7" s="1"/>
  <c r="C52" i="7" s="1"/>
  <c r="C53" i="7" s="1"/>
  <c r="C54" i="7" s="1"/>
  <c r="C55" i="7" s="1"/>
  <c r="C56" i="7" s="1"/>
  <c r="C42" i="7"/>
  <c r="C43" i="7" s="1"/>
  <c r="C44" i="7" s="1"/>
  <c r="C45" i="7" s="1"/>
  <c r="C46" i="7" s="1"/>
  <c r="C47" i="7" s="1"/>
  <c r="C48" i="7" s="1"/>
  <c r="C30" i="7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19" i="7"/>
  <c r="C20" i="7" s="1"/>
  <c r="C21" i="7" s="1"/>
  <c r="C22" i="7" s="1"/>
  <c r="C23" i="7" s="1"/>
  <c r="C24" i="7" s="1"/>
  <c r="C25" i="7" s="1"/>
  <c r="C26" i="7" s="1"/>
  <c r="C27" i="7" s="1"/>
  <c r="C28" i="7" s="1"/>
  <c r="C5" i="7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40" i="7"/>
  <c r="B141" i="7" s="1"/>
  <c r="B142" i="7" s="1"/>
  <c r="B143" i="7" s="1"/>
  <c r="B144" i="7" s="1"/>
  <c r="B130" i="7"/>
  <c r="B131" i="7" s="1"/>
  <c r="B132" i="7" s="1"/>
  <c r="B133" i="7" s="1"/>
  <c r="B134" i="7" s="1"/>
  <c r="B135" i="7" s="1"/>
  <c r="B136" i="7" s="1"/>
  <c r="B137" i="7" s="1"/>
  <c r="B138" i="7" s="1"/>
  <c r="B120" i="7"/>
  <c r="B121" i="7" s="1"/>
  <c r="B122" i="7" s="1"/>
  <c r="B123" i="7" s="1"/>
  <c r="B124" i="7" s="1"/>
  <c r="B125" i="7" s="1"/>
  <c r="B126" i="7" s="1"/>
  <c r="B127" i="7" s="1"/>
  <c r="B128" i="7" s="1"/>
  <c r="B110" i="7"/>
  <c r="B111" i="7" s="1"/>
  <c r="B112" i="7" s="1"/>
  <c r="B113" i="7" s="1"/>
  <c r="B114" i="7" s="1"/>
  <c r="B115" i="7" s="1"/>
  <c r="B116" i="7" s="1"/>
  <c r="B117" i="7" s="1"/>
  <c r="B118" i="7" s="1"/>
  <c r="B100" i="7"/>
  <c r="B101" i="7" s="1"/>
  <c r="B102" i="7" s="1"/>
  <c r="B103" i="7" s="1"/>
  <c r="B104" i="7" s="1"/>
  <c r="B105" i="7" s="1"/>
  <c r="B106" i="7" s="1"/>
  <c r="B107" i="7" s="1"/>
  <c r="B108" i="7" s="1"/>
  <c r="B90" i="7"/>
  <c r="B91" i="7" s="1"/>
  <c r="B92" i="7" s="1"/>
  <c r="B93" i="7" s="1"/>
  <c r="B94" i="7" s="1"/>
  <c r="B95" i="7" s="1"/>
  <c r="B96" i="7" s="1"/>
  <c r="B97" i="7" s="1"/>
  <c r="B98" i="7" s="1"/>
  <c r="B82" i="7"/>
  <c r="B83" i="7" s="1"/>
  <c r="B84" i="7" s="1"/>
  <c r="B85" i="7" s="1"/>
  <c r="B86" i="7" s="1"/>
  <c r="B87" i="7" s="1"/>
  <c r="B88" i="7" s="1"/>
  <c r="B74" i="7"/>
  <c r="B66" i="7"/>
  <c r="B67" i="7" s="1"/>
  <c r="B68" i="7" s="1"/>
  <c r="B69" i="7" s="1"/>
  <c r="B70" i="7" s="1"/>
  <c r="B71" i="7" s="1"/>
  <c r="B72" i="7" s="1"/>
  <c r="B58" i="7"/>
  <c r="B59" i="7" s="1"/>
  <c r="B60" i="7" s="1"/>
  <c r="B61" i="7" s="1"/>
  <c r="B62" i="7" s="1"/>
  <c r="B63" i="7" s="1"/>
  <c r="B64" i="7" s="1"/>
  <c r="B50" i="7"/>
  <c r="B51" i="7" s="1"/>
  <c r="B52" i="7" s="1"/>
  <c r="B53" i="7" s="1"/>
  <c r="B54" i="7" s="1"/>
  <c r="B55" i="7" s="1"/>
  <c r="B56" i="7" s="1"/>
  <c r="B42" i="7"/>
  <c r="B43" i="7" s="1"/>
  <c r="B44" i="7" s="1"/>
  <c r="B45" i="7" s="1"/>
  <c r="B46" i="7" s="1"/>
  <c r="B47" i="7" s="1"/>
  <c r="B48" i="7" s="1"/>
  <c r="B30" i="7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19" i="7"/>
  <c r="B20" i="7" s="1"/>
  <c r="B21" i="7" s="1"/>
  <c r="B22" i="7" s="1"/>
  <c r="B23" i="7" s="1"/>
  <c r="B24" i="7" s="1"/>
  <c r="B25" i="7" s="1"/>
  <c r="B26" i="7" s="1"/>
  <c r="B27" i="7" s="1"/>
  <c r="B28" i="7" s="1"/>
  <c r="B75" i="7" l="1"/>
  <c r="C75" i="7"/>
  <c r="C83" i="7"/>
  <c r="C84" i="7" s="1"/>
  <c r="C85" i="7" s="1"/>
  <c r="C86" i="7" s="1"/>
  <c r="C87" i="7" s="1"/>
  <c r="C88" i="7" s="1"/>
  <c r="C76" i="7"/>
  <c r="C77" i="7" s="1"/>
  <c r="C78" i="7" s="1"/>
  <c r="B76" i="7"/>
  <c r="B77" i="7"/>
  <c r="C79" i="7" l="1"/>
  <c r="C80" i="7" s="1"/>
  <c r="B78" i="7"/>
  <c r="B79" i="7" s="1"/>
  <c r="B80" i="7" s="1"/>
  <c r="D144" i="7"/>
  <c r="E144" i="7" s="1"/>
  <c r="F144" i="7" s="1"/>
  <c r="D143" i="7"/>
  <c r="E143" i="7" s="1"/>
  <c r="F143" i="7" s="1"/>
  <c r="D142" i="7"/>
  <c r="E142" i="7" s="1"/>
  <c r="F142" i="7" s="1"/>
  <c r="D141" i="7"/>
  <c r="E141" i="7" s="1"/>
  <c r="F141" i="7" s="1"/>
  <c r="D140" i="7"/>
  <c r="E140" i="7" s="1"/>
  <c r="F140" i="7" s="1"/>
  <c r="D139" i="7"/>
  <c r="E139" i="7" s="1"/>
  <c r="F139" i="7" s="1"/>
  <c r="D138" i="7"/>
  <c r="E138" i="7" s="1"/>
  <c r="F138" i="7" s="1"/>
  <c r="D137" i="7"/>
  <c r="E137" i="7" s="1"/>
  <c r="F137" i="7" s="1"/>
  <c r="D136" i="7"/>
  <c r="E136" i="7" s="1"/>
  <c r="F136" i="7" s="1"/>
  <c r="D135" i="7"/>
  <c r="E135" i="7" s="1"/>
  <c r="F135" i="7" s="1"/>
  <c r="D134" i="7"/>
  <c r="E134" i="7" s="1"/>
  <c r="F134" i="7" s="1"/>
  <c r="D133" i="7"/>
  <c r="E133" i="7" s="1"/>
  <c r="F133" i="7" s="1"/>
  <c r="D132" i="7"/>
  <c r="E132" i="7" s="1"/>
  <c r="F132" i="7" s="1"/>
  <c r="D131" i="7"/>
  <c r="E131" i="7" s="1"/>
  <c r="F131" i="7" s="1"/>
  <c r="D130" i="7"/>
  <c r="E130" i="7" s="1"/>
  <c r="F130" i="7" s="1"/>
  <c r="D129" i="7"/>
  <c r="E129" i="7" s="1"/>
  <c r="F129" i="7" s="1"/>
  <c r="D128" i="7"/>
  <c r="E128" i="7" s="1"/>
  <c r="F128" i="7" s="1"/>
  <c r="D127" i="7"/>
  <c r="E127" i="7" s="1"/>
  <c r="F127" i="7" s="1"/>
  <c r="D126" i="7"/>
  <c r="E126" i="7" s="1"/>
  <c r="F126" i="7" s="1"/>
  <c r="D125" i="7"/>
  <c r="E125" i="7" s="1"/>
  <c r="F125" i="7" s="1"/>
  <c r="D124" i="7"/>
  <c r="E124" i="7" s="1"/>
  <c r="F124" i="7" s="1"/>
  <c r="D123" i="7"/>
  <c r="E123" i="7" s="1"/>
  <c r="F123" i="7" s="1"/>
  <c r="D122" i="7"/>
  <c r="E122" i="7" s="1"/>
  <c r="F122" i="7" s="1"/>
  <c r="D121" i="7"/>
  <c r="E121" i="7" s="1"/>
  <c r="F121" i="7" s="1"/>
  <c r="D120" i="7"/>
  <c r="E120" i="7" s="1"/>
  <c r="F120" i="7" s="1"/>
  <c r="D119" i="7"/>
  <c r="E119" i="7" s="1"/>
  <c r="F119" i="7" s="1"/>
  <c r="D118" i="7"/>
  <c r="E118" i="7" s="1"/>
  <c r="F118" i="7" s="1"/>
  <c r="D117" i="7"/>
  <c r="E117" i="7" s="1"/>
  <c r="F117" i="7" s="1"/>
  <c r="D116" i="7"/>
  <c r="E116" i="7" s="1"/>
  <c r="F116" i="7" s="1"/>
  <c r="D115" i="7"/>
  <c r="E115" i="7" s="1"/>
  <c r="F115" i="7" s="1"/>
  <c r="D114" i="7"/>
  <c r="E114" i="7" s="1"/>
  <c r="F114" i="7" s="1"/>
  <c r="D113" i="7"/>
  <c r="E113" i="7" s="1"/>
  <c r="F113" i="7" s="1"/>
  <c r="D112" i="7"/>
  <c r="E112" i="7" s="1"/>
  <c r="F112" i="7" s="1"/>
  <c r="D111" i="7"/>
  <c r="E111" i="7" s="1"/>
  <c r="F111" i="7" s="1"/>
  <c r="D110" i="7"/>
  <c r="E110" i="7" s="1"/>
  <c r="F110" i="7" s="1"/>
  <c r="D109" i="7"/>
  <c r="E109" i="7" s="1"/>
  <c r="F109" i="7" s="1"/>
  <c r="D108" i="7"/>
  <c r="E108" i="7" s="1"/>
  <c r="F108" i="7" s="1"/>
  <c r="D107" i="7"/>
  <c r="E107" i="7" s="1"/>
  <c r="F107" i="7" s="1"/>
  <c r="D106" i="7"/>
  <c r="E106" i="7" s="1"/>
  <c r="F106" i="7" s="1"/>
  <c r="D105" i="7"/>
  <c r="E105" i="7" s="1"/>
  <c r="F105" i="7" s="1"/>
  <c r="D104" i="7"/>
  <c r="E104" i="7" s="1"/>
  <c r="F104" i="7" s="1"/>
  <c r="D103" i="7"/>
  <c r="E103" i="7" s="1"/>
  <c r="F103" i="7" s="1"/>
  <c r="D102" i="7"/>
  <c r="E102" i="7" s="1"/>
  <c r="F102" i="7" s="1"/>
  <c r="D101" i="7"/>
  <c r="E101" i="7" s="1"/>
  <c r="F101" i="7" s="1"/>
  <c r="D100" i="7"/>
  <c r="E100" i="7" s="1"/>
  <c r="F100" i="7" s="1"/>
  <c r="D99" i="7"/>
  <c r="E99" i="7" s="1"/>
  <c r="F99" i="7" s="1"/>
  <c r="D98" i="7"/>
  <c r="E98" i="7" s="1"/>
  <c r="F98" i="7" s="1"/>
  <c r="D97" i="7"/>
  <c r="E97" i="7" s="1"/>
  <c r="F97" i="7" s="1"/>
  <c r="D96" i="7"/>
  <c r="E96" i="7" s="1"/>
  <c r="F96" i="7" s="1"/>
  <c r="D95" i="7"/>
  <c r="E95" i="7" s="1"/>
  <c r="F95" i="7" s="1"/>
  <c r="D94" i="7"/>
  <c r="E94" i="7" s="1"/>
  <c r="F94" i="7" s="1"/>
  <c r="D93" i="7"/>
  <c r="E93" i="7" s="1"/>
  <c r="F93" i="7" s="1"/>
  <c r="D92" i="7"/>
  <c r="E92" i="7" s="1"/>
  <c r="F92" i="7" s="1"/>
  <c r="D91" i="7"/>
  <c r="E91" i="7" s="1"/>
  <c r="F91" i="7" s="1"/>
  <c r="D90" i="7"/>
  <c r="E90" i="7" s="1"/>
  <c r="F90" i="7" s="1"/>
  <c r="D89" i="7"/>
  <c r="E89" i="7" s="1"/>
  <c r="F89" i="7" s="1"/>
  <c r="D88" i="7"/>
  <c r="E88" i="7" s="1"/>
  <c r="F88" i="7" s="1"/>
  <c r="D87" i="7"/>
  <c r="E87" i="7" s="1"/>
  <c r="F87" i="7" s="1"/>
  <c r="D86" i="7"/>
  <c r="E86" i="7" s="1"/>
  <c r="F86" i="7" s="1"/>
  <c r="D85" i="7"/>
  <c r="E85" i="7" s="1"/>
  <c r="F85" i="7" s="1"/>
  <c r="D84" i="7"/>
  <c r="E84" i="7" s="1"/>
  <c r="F84" i="7" s="1"/>
  <c r="D83" i="7"/>
  <c r="E83" i="7" s="1"/>
  <c r="F83" i="7" s="1"/>
  <c r="D82" i="7"/>
  <c r="E82" i="7" s="1"/>
  <c r="F82" i="7" s="1"/>
  <c r="D81" i="7"/>
  <c r="E81" i="7" s="1"/>
  <c r="F81" i="7" s="1"/>
  <c r="D80" i="7"/>
  <c r="E80" i="7" s="1"/>
  <c r="F80" i="7" s="1"/>
  <c r="D79" i="7"/>
  <c r="D78" i="7"/>
  <c r="D77" i="7"/>
  <c r="E77" i="7" s="1"/>
  <c r="F77" i="7" s="1"/>
  <c r="D76" i="7"/>
  <c r="E76" i="7" s="1"/>
  <c r="F76" i="7" s="1"/>
  <c r="D75" i="7"/>
  <c r="E75" i="7" s="1"/>
  <c r="F75" i="7" s="1"/>
  <c r="D74" i="7"/>
  <c r="E74" i="7" s="1"/>
  <c r="F74" i="7" s="1"/>
  <c r="D73" i="7"/>
  <c r="E73" i="7" s="1"/>
  <c r="F73" i="7" s="1"/>
  <c r="D72" i="7"/>
  <c r="E72" i="7" s="1"/>
  <c r="F72" i="7" s="1"/>
  <c r="D71" i="7"/>
  <c r="E71" i="7" s="1"/>
  <c r="F71" i="7" s="1"/>
  <c r="D70" i="7"/>
  <c r="E70" i="7" s="1"/>
  <c r="F70" i="7" s="1"/>
  <c r="D69" i="7"/>
  <c r="E69" i="7" s="1"/>
  <c r="F69" i="7" s="1"/>
  <c r="D68" i="7"/>
  <c r="E68" i="7" s="1"/>
  <c r="F68" i="7" s="1"/>
  <c r="D67" i="7"/>
  <c r="E67" i="7" s="1"/>
  <c r="F67" i="7" s="1"/>
  <c r="D66" i="7"/>
  <c r="E66" i="7" s="1"/>
  <c r="F66" i="7" s="1"/>
  <c r="D65" i="7"/>
  <c r="E65" i="7" s="1"/>
  <c r="F65" i="7" s="1"/>
  <c r="D64" i="7"/>
  <c r="E64" i="7" s="1"/>
  <c r="F64" i="7" s="1"/>
  <c r="D63" i="7"/>
  <c r="E63" i="7" s="1"/>
  <c r="F63" i="7" s="1"/>
  <c r="D62" i="7"/>
  <c r="E62" i="7" s="1"/>
  <c r="F62" i="7" s="1"/>
  <c r="D61" i="7"/>
  <c r="E61" i="7" s="1"/>
  <c r="F61" i="7" s="1"/>
  <c r="D60" i="7"/>
  <c r="E60" i="7" s="1"/>
  <c r="F60" i="7" s="1"/>
  <c r="D59" i="7"/>
  <c r="E59" i="7" s="1"/>
  <c r="F59" i="7" s="1"/>
  <c r="D58" i="7"/>
  <c r="E58" i="7" s="1"/>
  <c r="F58" i="7" s="1"/>
  <c r="D57" i="7"/>
  <c r="E57" i="7" s="1"/>
  <c r="F57" i="7" s="1"/>
  <c r="D56" i="7"/>
  <c r="E56" i="7" s="1"/>
  <c r="F56" i="7" s="1"/>
  <c r="D55" i="7"/>
  <c r="E55" i="7" s="1"/>
  <c r="F55" i="7" s="1"/>
  <c r="D54" i="7"/>
  <c r="E54" i="7" s="1"/>
  <c r="F54" i="7" s="1"/>
  <c r="D53" i="7"/>
  <c r="E53" i="7" s="1"/>
  <c r="F53" i="7" s="1"/>
  <c r="D52" i="7"/>
  <c r="E52" i="7" s="1"/>
  <c r="F52" i="7" s="1"/>
  <c r="D51" i="7"/>
  <c r="E51" i="7" s="1"/>
  <c r="F51" i="7" s="1"/>
  <c r="D50" i="7"/>
  <c r="E50" i="7" s="1"/>
  <c r="F50" i="7" s="1"/>
  <c r="D49" i="7"/>
  <c r="E49" i="7" s="1"/>
  <c r="F49" i="7" s="1"/>
  <c r="D48" i="7"/>
  <c r="E48" i="7" s="1"/>
  <c r="F48" i="7" s="1"/>
  <c r="D47" i="7"/>
  <c r="E47" i="7" s="1"/>
  <c r="F47" i="7" s="1"/>
  <c r="D46" i="7"/>
  <c r="E46" i="7" s="1"/>
  <c r="F46" i="7" s="1"/>
  <c r="D45" i="7"/>
  <c r="E45" i="7" s="1"/>
  <c r="F45" i="7" s="1"/>
  <c r="D44" i="7"/>
  <c r="E44" i="7" s="1"/>
  <c r="F44" i="7" s="1"/>
  <c r="D43" i="7"/>
  <c r="E43" i="7" s="1"/>
  <c r="F43" i="7" s="1"/>
  <c r="D42" i="7"/>
  <c r="E42" i="7" s="1"/>
  <c r="F42" i="7" s="1"/>
  <c r="D41" i="7"/>
  <c r="E41" i="7" s="1"/>
  <c r="F41" i="7" s="1"/>
  <c r="D40" i="7"/>
  <c r="E40" i="7" s="1"/>
  <c r="F40" i="7" s="1"/>
  <c r="D39" i="7"/>
  <c r="E39" i="7" s="1"/>
  <c r="F39" i="7" s="1"/>
  <c r="D38" i="7"/>
  <c r="E38" i="7" s="1"/>
  <c r="F38" i="7" s="1"/>
  <c r="D37" i="7"/>
  <c r="E37" i="7" s="1"/>
  <c r="F37" i="7" s="1"/>
  <c r="D36" i="7"/>
  <c r="E36" i="7" s="1"/>
  <c r="F36" i="7" s="1"/>
  <c r="D35" i="7"/>
  <c r="E35" i="7" s="1"/>
  <c r="F35" i="7" s="1"/>
  <c r="D34" i="7"/>
  <c r="E34" i="7" s="1"/>
  <c r="F34" i="7" s="1"/>
  <c r="D33" i="7"/>
  <c r="E33" i="7" s="1"/>
  <c r="F33" i="7" s="1"/>
  <c r="D32" i="7"/>
  <c r="E32" i="7" s="1"/>
  <c r="F32" i="7" s="1"/>
  <c r="D31" i="7"/>
  <c r="E31" i="7" s="1"/>
  <c r="F31" i="7" s="1"/>
  <c r="D30" i="7"/>
  <c r="E30" i="7" s="1"/>
  <c r="F30" i="7" s="1"/>
  <c r="D29" i="7"/>
  <c r="E29" i="7" s="1"/>
  <c r="F29" i="7" s="1"/>
  <c r="D28" i="7"/>
  <c r="E28" i="7" s="1"/>
  <c r="F28" i="7" s="1"/>
  <c r="D27" i="7"/>
  <c r="E27" i="7" s="1"/>
  <c r="F27" i="7" s="1"/>
  <c r="D26" i="7"/>
  <c r="E26" i="7" s="1"/>
  <c r="F26" i="7" s="1"/>
  <c r="D25" i="7"/>
  <c r="E25" i="7" s="1"/>
  <c r="F25" i="7" s="1"/>
  <c r="D24" i="7"/>
  <c r="E24" i="7" s="1"/>
  <c r="F24" i="7" s="1"/>
  <c r="D23" i="7"/>
  <c r="E23" i="7" s="1"/>
  <c r="F23" i="7" s="1"/>
  <c r="D22" i="7"/>
  <c r="E22" i="7" s="1"/>
  <c r="F22" i="7" s="1"/>
  <c r="D21" i="7"/>
  <c r="E21" i="7" s="1"/>
  <c r="F21" i="7" s="1"/>
  <c r="D20" i="7"/>
  <c r="E20" i="7" s="1"/>
  <c r="F20" i="7" s="1"/>
  <c r="D19" i="7"/>
  <c r="E19" i="7" s="1"/>
  <c r="F19" i="7" s="1"/>
  <c r="D18" i="7"/>
  <c r="E18" i="7" s="1"/>
  <c r="F18" i="7" s="1"/>
  <c r="D17" i="7"/>
  <c r="E17" i="7" s="1"/>
  <c r="F17" i="7" s="1"/>
  <c r="D16" i="7"/>
  <c r="E16" i="7" s="1"/>
  <c r="F16" i="7" s="1"/>
  <c r="D15" i="7"/>
  <c r="E15" i="7" s="1"/>
  <c r="F15" i="7" s="1"/>
  <c r="D14" i="7"/>
  <c r="E14" i="7" s="1"/>
  <c r="F14" i="7" s="1"/>
  <c r="D13" i="7"/>
  <c r="E13" i="7" s="1"/>
  <c r="F13" i="7" s="1"/>
  <c r="D12" i="7"/>
  <c r="E12" i="7" s="1"/>
  <c r="F12" i="7" s="1"/>
  <c r="D11" i="7"/>
  <c r="E11" i="7" s="1"/>
  <c r="F11" i="7" s="1"/>
  <c r="D10" i="7"/>
  <c r="E10" i="7" s="1"/>
  <c r="F10" i="7" s="1"/>
  <c r="D9" i="7"/>
  <c r="E9" i="7" s="1"/>
  <c r="F9" i="7" s="1"/>
  <c r="D8" i="7"/>
  <c r="E8" i="7" s="1"/>
  <c r="F8" i="7" s="1"/>
  <c r="D7" i="7"/>
  <c r="E7" i="7" s="1"/>
  <c r="F7" i="7" s="1"/>
  <c r="D6" i="7"/>
  <c r="E6" i="7" s="1"/>
  <c r="F6" i="7" s="1"/>
  <c r="D5" i="7"/>
  <c r="E5" i="7" s="1"/>
  <c r="F5" i="7" s="1"/>
  <c r="D4" i="7"/>
  <c r="E4" i="7" s="1"/>
  <c r="F4" i="7" s="1"/>
  <c r="K7" i="7" l="1"/>
  <c r="K15" i="7"/>
  <c r="K23" i="7"/>
  <c r="N31" i="7"/>
  <c r="R31" i="7" s="1"/>
  <c r="K4" i="7"/>
  <c r="K12" i="7"/>
  <c r="K20" i="7"/>
  <c r="N28" i="7"/>
  <c r="R28" i="7" s="1"/>
  <c r="K36" i="7"/>
  <c r="N5" i="7"/>
  <c r="R5" i="7" s="1"/>
  <c r="K9" i="7"/>
  <c r="K13" i="7"/>
  <c r="K17" i="7"/>
  <c r="N21" i="7"/>
  <c r="R21" i="7" s="1"/>
  <c r="K25" i="7"/>
  <c r="K29" i="7"/>
  <c r="K33" i="7"/>
  <c r="N11" i="7"/>
  <c r="R11" i="7" s="1"/>
  <c r="K19" i="7"/>
  <c r="N27" i="7"/>
  <c r="R27" i="7" s="1"/>
  <c r="K35" i="7"/>
  <c r="N8" i="7"/>
  <c r="R8" i="7" s="1"/>
  <c r="K16" i="7"/>
  <c r="K24" i="7"/>
  <c r="K32" i="7"/>
  <c r="N6" i="7"/>
  <c r="R6" i="7" s="1"/>
  <c r="K10" i="7"/>
  <c r="N14" i="7"/>
  <c r="R14" i="7" s="1"/>
  <c r="K18" i="7"/>
  <c r="K22" i="7"/>
  <c r="K26" i="7"/>
  <c r="N30" i="7"/>
  <c r="R30" i="7" s="1"/>
  <c r="K34" i="7"/>
  <c r="E78" i="7"/>
  <c r="F78" i="7" s="1"/>
  <c r="E79" i="7"/>
  <c r="I37" i="7"/>
  <c r="N4" i="7"/>
  <c r="R4" i="7" s="1"/>
  <c r="N42" i="7"/>
  <c r="N26" i="7"/>
  <c r="R26" i="7" s="1"/>
  <c r="N7" i="7"/>
  <c r="R7" i="7" s="1"/>
  <c r="N84" i="7"/>
  <c r="N35" i="7"/>
  <c r="R35" i="7" s="1"/>
  <c r="N25" i="7"/>
  <c r="R25" i="7" s="1"/>
  <c r="N17" i="7"/>
  <c r="R17" i="7" s="1"/>
  <c r="N10" i="7"/>
  <c r="R10" i="7" s="1"/>
  <c r="N9" i="7"/>
  <c r="R9" i="7" s="1"/>
  <c r="N16" i="7"/>
  <c r="R16" i="7" s="1"/>
  <c r="N15" i="7"/>
  <c r="R15" i="7" s="1"/>
  <c r="N143" i="7"/>
  <c r="N142" i="7"/>
  <c r="N141" i="7"/>
  <c r="N144" i="7"/>
  <c r="N140" i="7"/>
  <c r="N139" i="7"/>
  <c r="N136" i="7"/>
  <c r="N137" i="7"/>
  <c r="N135" i="7"/>
  <c r="N138" i="7"/>
  <c r="N134" i="7"/>
  <c r="N133" i="7"/>
  <c r="N132" i="7"/>
  <c r="N131" i="7"/>
  <c r="N130" i="7"/>
  <c r="N129" i="7"/>
  <c r="N127" i="7"/>
  <c r="N123" i="7"/>
  <c r="N126" i="7"/>
  <c r="N122" i="7"/>
  <c r="N125" i="7"/>
  <c r="N121" i="7"/>
  <c r="N128" i="7"/>
  <c r="N124" i="7"/>
  <c r="N120" i="7"/>
  <c r="N119" i="7"/>
  <c r="N117" i="7"/>
  <c r="N116" i="7"/>
  <c r="N112" i="7"/>
  <c r="N115" i="7"/>
  <c r="N111" i="7"/>
  <c r="N113" i="7"/>
  <c r="N118" i="7"/>
  <c r="N114" i="7"/>
  <c r="N110" i="7"/>
  <c r="N109" i="7"/>
  <c r="N107" i="7"/>
  <c r="N103" i="7"/>
  <c r="N106" i="7"/>
  <c r="N102" i="7"/>
  <c r="N105" i="7"/>
  <c r="N101" i="7"/>
  <c r="N108" i="7"/>
  <c r="N104" i="7"/>
  <c r="N100" i="7"/>
  <c r="N99" i="7"/>
  <c r="N97" i="7"/>
  <c r="N93" i="7"/>
  <c r="N96" i="7"/>
  <c r="N92" i="7"/>
  <c r="N95" i="7"/>
  <c r="N91" i="7"/>
  <c r="N98" i="7"/>
  <c r="N94" i="7"/>
  <c r="N90" i="7"/>
  <c r="N89" i="7"/>
  <c r="N85" i="7"/>
  <c r="N88" i="7"/>
  <c r="N87" i="7"/>
  <c r="N83" i="7"/>
  <c r="N86" i="7"/>
  <c r="N82" i="7"/>
  <c r="N81" i="7"/>
  <c r="N77" i="7"/>
  <c r="N80" i="7"/>
  <c r="N76" i="7"/>
  <c r="N75" i="7"/>
  <c r="N78" i="7"/>
  <c r="N74" i="7"/>
  <c r="N73" i="7"/>
  <c r="N72" i="7"/>
  <c r="N68" i="7"/>
  <c r="N69" i="7"/>
  <c r="N71" i="7"/>
  <c r="N67" i="7"/>
  <c r="N70" i="7"/>
  <c r="N66" i="7"/>
  <c r="N65" i="7"/>
  <c r="N61" i="7"/>
  <c r="N58" i="7"/>
  <c r="N64" i="7"/>
  <c r="N60" i="7"/>
  <c r="N63" i="7"/>
  <c r="N59" i="7"/>
  <c r="N62" i="7"/>
  <c r="N57" i="7"/>
  <c r="N56" i="7"/>
  <c r="N53" i="7"/>
  <c r="N52" i="7"/>
  <c r="N55" i="7"/>
  <c r="N51" i="7"/>
  <c r="N54" i="7"/>
  <c r="N50" i="7"/>
  <c r="N49" i="7"/>
  <c r="N46" i="7"/>
  <c r="N45" i="7"/>
  <c r="N48" i="7"/>
  <c r="N44" i="7"/>
  <c r="N47" i="7"/>
  <c r="N43" i="7"/>
  <c r="N41" i="7"/>
  <c r="N39" i="7"/>
  <c r="N38" i="7"/>
  <c r="N34" i="7"/>
  <c r="R34" i="7" s="1"/>
  <c r="N37" i="7"/>
  <c r="N33" i="7"/>
  <c r="R33" i="7" s="1"/>
  <c r="N40" i="7"/>
  <c r="N36" i="7"/>
  <c r="R36" i="7" s="1"/>
  <c r="N32" i="7"/>
  <c r="R32" i="7" s="1"/>
  <c r="N20" i="7"/>
  <c r="R20" i="7" s="1"/>
  <c r="N23" i="7"/>
  <c r="R23" i="7" s="1"/>
  <c r="N19" i="7"/>
  <c r="R19" i="7" s="1"/>
  <c r="N22" i="7"/>
  <c r="R22" i="7" s="1"/>
  <c r="N18" i="7"/>
  <c r="R18" i="7" s="1"/>
  <c r="F79" i="7" l="1"/>
  <c r="N79" i="7" s="1"/>
  <c r="N29" i="7"/>
  <c r="R29" i="7" s="1"/>
  <c r="N13" i="7"/>
  <c r="R13" i="7" s="1"/>
  <c r="K6" i="7"/>
  <c r="K8" i="7"/>
  <c r="K11" i="7"/>
  <c r="K21" i="7"/>
  <c r="K5" i="7"/>
  <c r="K28" i="7"/>
  <c r="K31" i="7"/>
  <c r="N24" i="7"/>
  <c r="R24" i="7" s="1"/>
  <c r="N12" i="7"/>
  <c r="R12" i="7" s="1"/>
  <c r="K30" i="7"/>
  <c r="K14" i="7"/>
  <c r="K27" i="7"/>
  <c r="P37" i="7"/>
  <c r="Q37" i="7" s="1"/>
  <c r="R38" i="7" s="1"/>
  <c r="R39" i="7" l="1"/>
  <c r="R43" i="7"/>
  <c r="R37" i="7"/>
  <c r="R42" i="7"/>
  <c r="P45" i="7"/>
  <c r="Q45" i="7" s="1"/>
  <c r="R40" i="7"/>
  <c r="R41" i="7"/>
  <c r="R44" i="7"/>
  <c r="R50" i="7" l="1"/>
  <c r="R53" i="7"/>
  <c r="R58" i="7"/>
  <c r="R55" i="7"/>
  <c r="R51" i="7"/>
  <c r="R45" i="7"/>
  <c r="R57" i="7"/>
  <c r="R48" i="7"/>
  <c r="R56" i="7"/>
  <c r="R54" i="7"/>
  <c r="R47" i="7"/>
  <c r="R52" i="7"/>
  <c r="P59" i="7"/>
  <c r="Q59" i="7" s="1"/>
  <c r="R49" i="7"/>
  <c r="R46" i="7"/>
  <c r="R71" i="7" l="1"/>
  <c r="R67" i="7"/>
  <c r="R61" i="7"/>
  <c r="R59" i="7"/>
  <c r="R70" i="7"/>
  <c r="P74" i="7"/>
  <c r="R69" i="7"/>
  <c r="R73" i="7"/>
  <c r="R64" i="7"/>
  <c r="R62" i="7"/>
  <c r="R68" i="7"/>
  <c r="R72" i="7"/>
  <c r="R60" i="7"/>
  <c r="R63" i="7"/>
  <c r="R65" i="7"/>
  <c r="R66" i="7"/>
  <c r="Q74" i="7" l="1"/>
  <c r="R84" i="7" l="1"/>
  <c r="R77" i="7"/>
  <c r="R78" i="7"/>
  <c r="R80" i="7"/>
  <c r="R83" i="7"/>
  <c r="R74" i="7"/>
  <c r="R79" i="7"/>
  <c r="R86" i="7"/>
  <c r="P87" i="7"/>
  <c r="R82" i="7"/>
  <c r="R81" i="7"/>
  <c r="R76" i="7"/>
  <c r="R85" i="7"/>
  <c r="R75" i="7"/>
  <c r="Q87" i="7" l="1"/>
  <c r="P101" i="7" l="1"/>
  <c r="R88" i="7"/>
  <c r="R87" i="7"/>
  <c r="R94" i="7"/>
  <c r="R99" i="7"/>
  <c r="R90" i="7"/>
  <c r="R95" i="7"/>
  <c r="R97" i="7"/>
  <c r="R91" i="7"/>
  <c r="R92" i="7"/>
  <c r="R89" i="7"/>
  <c r="R93" i="7"/>
  <c r="R96" i="7"/>
  <c r="R100" i="7"/>
  <c r="R98" i="7"/>
  <c r="Q101" i="7" l="1"/>
  <c r="P115" i="7" s="1"/>
  <c r="Q115" i="7" s="1"/>
  <c r="R107" i="7"/>
  <c r="R114" i="7"/>
  <c r="R113" i="7"/>
  <c r="R110" i="7"/>
  <c r="R104" i="7"/>
  <c r="R106" i="7"/>
  <c r="R101" i="7"/>
  <c r="R108" i="7"/>
  <c r="R103" i="7"/>
  <c r="R105" i="7"/>
  <c r="R109" i="7"/>
  <c r="R111" i="7"/>
  <c r="R102" i="7"/>
  <c r="R112" i="7" l="1"/>
  <c r="P129" i="7"/>
  <c r="Q129" i="7" s="1"/>
  <c r="R116" i="7"/>
  <c r="R115" i="7"/>
  <c r="R122" i="7"/>
  <c r="R124" i="7"/>
  <c r="R117" i="7"/>
  <c r="R120" i="7"/>
  <c r="R126" i="7"/>
  <c r="R128" i="7"/>
  <c r="R127" i="7"/>
  <c r="R125" i="7"/>
  <c r="R118" i="7"/>
  <c r="R123" i="7"/>
  <c r="R121" i="7"/>
  <c r="R119" i="7"/>
  <c r="P144" i="7" l="1"/>
  <c r="Q144" i="7" s="1"/>
  <c r="R144" i="7" s="1"/>
  <c r="R143" i="7"/>
  <c r="R137" i="7"/>
  <c r="R134" i="7"/>
  <c r="R130" i="7"/>
  <c r="R136" i="7"/>
  <c r="R142" i="7"/>
  <c r="R132" i="7"/>
  <c r="R131" i="7"/>
  <c r="R138" i="7"/>
  <c r="R129" i="7"/>
  <c r="R140" i="7"/>
  <c r="R139" i="7"/>
  <c r="R133" i="7"/>
  <c r="R135" i="7"/>
  <c r="R141" i="7"/>
  <c r="D8" i="6" l="1"/>
  <c r="G8" i="6" s="1"/>
  <c r="H8" i="6" s="1"/>
  <c r="D9" i="6"/>
  <c r="G9" i="6" s="1"/>
  <c r="H9" i="6" s="1"/>
  <c r="D10" i="6"/>
  <c r="G10" i="6" s="1"/>
  <c r="H10" i="6" s="1"/>
  <c r="D11" i="6"/>
  <c r="G11" i="6" s="1"/>
  <c r="H11" i="6" s="1"/>
  <c r="D12" i="6"/>
  <c r="G12" i="6" s="1"/>
  <c r="H12" i="6" s="1"/>
  <c r="D7" i="6"/>
  <c r="AK5" i="7" l="1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AK36" i="7"/>
  <c r="AK38" i="7"/>
  <c r="AK39" i="7"/>
  <c r="AK40" i="7"/>
  <c r="AK41" i="7"/>
  <c r="AK42" i="7"/>
  <c r="AK43" i="7"/>
  <c r="AK44" i="7"/>
  <c r="AK46" i="7"/>
  <c r="AK47" i="7"/>
  <c r="AK48" i="7"/>
  <c r="AK49" i="7"/>
  <c r="AK50" i="7"/>
  <c r="AK51" i="7"/>
  <c r="AK52" i="7"/>
  <c r="AK53" i="7"/>
  <c r="AK54" i="7"/>
  <c r="AK55" i="7"/>
  <c r="AK56" i="7"/>
  <c r="AK57" i="7"/>
  <c r="AK58" i="7"/>
  <c r="AK60" i="7"/>
  <c r="AK61" i="7"/>
  <c r="AK62" i="7"/>
  <c r="AK63" i="7"/>
  <c r="AK64" i="7"/>
  <c r="AK65" i="7"/>
  <c r="AK66" i="7"/>
  <c r="AK67" i="7"/>
  <c r="AK68" i="7"/>
  <c r="AK69" i="7"/>
  <c r="AK70" i="7"/>
  <c r="AK71" i="7"/>
  <c r="AK72" i="7"/>
  <c r="AK75" i="7"/>
  <c r="AK76" i="7"/>
  <c r="AK77" i="7"/>
  <c r="AK78" i="7"/>
  <c r="AK79" i="7"/>
  <c r="AK80" i="7"/>
  <c r="AK81" i="7"/>
  <c r="AK82" i="7"/>
  <c r="AK83" i="7"/>
  <c r="AK84" i="7"/>
  <c r="AK85" i="7"/>
  <c r="AK86" i="7"/>
  <c r="AK88" i="7"/>
  <c r="AK89" i="7"/>
  <c r="AK90" i="7"/>
  <c r="AK91" i="7"/>
  <c r="AK92" i="7"/>
  <c r="AK93" i="7"/>
  <c r="AK94" i="7"/>
  <c r="AK95" i="7"/>
  <c r="AK96" i="7"/>
  <c r="AK97" i="7"/>
  <c r="AK98" i="7"/>
  <c r="AK99" i="7"/>
  <c r="AK100" i="7"/>
  <c r="AK102" i="7"/>
  <c r="AK103" i="7"/>
  <c r="AK104" i="7"/>
  <c r="AK105" i="7"/>
  <c r="AK106" i="7"/>
  <c r="AK107" i="7"/>
  <c r="AK108" i="7"/>
  <c r="AK109" i="7"/>
  <c r="AK110" i="7"/>
  <c r="AK111" i="7"/>
  <c r="AK112" i="7"/>
  <c r="AK113" i="7"/>
  <c r="AK114" i="7"/>
  <c r="AK116" i="7"/>
  <c r="AK117" i="7"/>
  <c r="AK118" i="7"/>
  <c r="AK119" i="7"/>
  <c r="AK120" i="7"/>
  <c r="AK121" i="7"/>
  <c r="AK122" i="7"/>
  <c r="AK123" i="7"/>
  <c r="AK124" i="7"/>
  <c r="AK125" i="7"/>
  <c r="AK126" i="7"/>
  <c r="AK127" i="7"/>
  <c r="AK128" i="7"/>
  <c r="AK130" i="7"/>
  <c r="AK131" i="7"/>
  <c r="AK132" i="7"/>
  <c r="AK133" i="7"/>
  <c r="AK134" i="7"/>
  <c r="AK135" i="7"/>
  <c r="AK136" i="7"/>
  <c r="AK137" i="7"/>
  <c r="AK138" i="7"/>
  <c r="AK139" i="7"/>
  <c r="AK140" i="7"/>
  <c r="AK141" i="7"/>
  <c r="AK142" i="7"/>
  <c r="AK143" i="7"/>
  <c r="AK4" i="7"/>
  <c r="J37" i="7" l="1"/>
  <c r="K37" i="7" l="1"/>
  <c r="I45" i="7"/>
  <c r="K42" i="7"/>
  <c r="K41" i="7"/>
  <c r="K44" i="7"/>
  <c r="K43" i="7"/>
  <c r="K40" i="7"/>
  <c r="K39" i="7"/>
  <c r="K38" i="7"/>
  <c r="AB37" i="7"/>
  <c r="AA37" i="7"/>
  <c r="AC37" i="7" l="1"/>
  <c r="AE37" i="7" s="1"/>
  <c r="AK37" i="7" s="1"/>
  <c r="J45" i="7" l="1"/>
  <c r="I59" i="7" l="1"/>
  <c r="K58" i="7"/>
  <c r="K45" i="7"/>
  <c r="K54" i="7"/>
  <c r="K50" i="7"/>
  <c r="K46" i="7"/>
  <c r="K48" i="7"/>
  <c r="K47" i="7"/>
  <c r="K57" i="7"/>
  <c r="K53" i="7"/>
  <c r="K49" i="7"/>
  <c r="K55" i="7"/>
  <c r="K56" i="7"/>
  <c r="K52" i="7"/>
  <c r="K51" i="7"/>
  <c r="AA45" i="7" l="1"/>
  <c r="AB45" i="7"/>
  <c r="AC45" i="7" l="1"/>
  <c r="AE45" i="7" s="1"/>
  <c r="AK45" i="7" s="1"/>
  <c r="J59" i="7" l="1"/>
  <c r="I74" i="7" s="1"/>
  <c r="K59" i="7" l="1"/>
  <c r="K73" i="7"/>
  <c r="K69" i="7"/>
  <c r="K65" i="7"/>
  <c r="K61" i="7"/>
  <c r="K72" i="7"/>
  <c r="K68" i="7"/>
  <c r="K64" i="7"/>
  <c r="K60" i="7"/>
  <c r="K71" i="7"/>
  <c r="K67" i="7"/>
  <c r="K63" i="7"/>
  <c r="K70" i="7"/>
  <c r="K66" i="7"/>
  <c r="K62" i="7"/>
  <c r="AG59" i="7" l="1"/>
  <c r="AI59" i="7" s="1"/>
  <c r="T59" i="7"/>
  <c r="AA59" i="7"/>
  <c r="AB59" i="7"/>
  <c r="U59" i="7" l="1"/>
  <c r="W59" i="7"/>
  <c r="AC59" i="7"/>
  <c r="AE59" i="7" s="1"/>
  <c r="AK59" i="7" l="1"/>
  <c r="J74" i="7" l="1"/>
  <c r="I87" i="7" s="1"/>
  <c r="K74" i="7" l="1"/>
  <c r="K85" i="7"/>
  <c r="K81" i="7"/>
  <c r="K77" i="7"/>
  <c r="K84" i="7"/>
  <c r="K80" i="7"/>
  <c r="K76" i="7"/>
  <c r="K83" i="7"/>
  <c r="K79" i="7"/>
  <c r="K75" i="7"/>
  <c r="K86" i="7"/>
  <c r="K82" i="7"/>
  <c r="K78" i="7"/>
  <c r="AG74" i="7" l="1"/>
  <c r="AI74" i="7" s="1"/>
  <c r="AA74" i="7"/>
  <c r="T74" i="7"/>
  <c r="AB74" i="7"/>
  <c r="AC74" i="7" l="1"/>
  <c r="AE74" i="7" s="1"/>
  <c r="U74" i="7"/>
  <c r="W74" i="7"/>
  <c r="AK73" i="7"/>
  <c r="AK74" i="7" l="1"/>
  <c r="J87" i="7" l="1"/>
  <c r="I101" i="7" s="1"/>
  <c r="K87" i="7" l="1"/>
  <c r="K97" i="7"/>
  <c r="K93" i="7"/>
  <c r="K89" i="7"/>
  <c r="K100" i="7"/>
  <c r="K96" i="7"/>
  <c r="K92" i="7"/>
  <c r="K88" i="7"/>
  <c r="K99" i="7"/>
  <c r="K95" i="7"/>
  <c r="K91" i="7"/>
  <c r="K90" i="7"/>
  <c r="K98" i="7"/>
  <c r="K94" i="7"/>
  <c r="AA87" i="7" l="1"/>
  <c r="AG87" i="7"/>
  <c r="AI87" i="7" s="1"/>
  <c r="T87" i="7"/>
  <c r="AB87" i="7"/>
  <c r="AC87" i="7" l="1"/>
  <c r="AE87" i="7" s="1"/>
  <c r="W87" i="7"/>
  <c r="U87" i="7"/>
  <c r="AK87" i="7" l="1"/>
  <c r="J101" i="7" l="1"/>
  <c r="I115" i="7" s="1"/>
  <c r="K101" i="7" l="1"/>
  <c r="K113" i="7"/>
  <c r="K109" i="7"/>
  <c r="K105" i="7"/>
  <c r="K112" i="7"/>
  <c r="K108" i="7"/>
  <c r="K104" i="7"/>
  <c r="K111" i="7"/>
  <c r="K107" i="7"/>
  <c r="K103" i="7"/>
  <c r="K106" i="7"/>
  <c r="K102" i="7"/>
  <c r="K114" i="7"/>
  <c r="K110" i="7"/>
  <c r="T101" i="7" l="1"/>
  <c r="AA101" i="7"/>
  <c r="AG101" i="7"/>
  <c r="AI101" i="7" s="1"/>
  <c r="AB101" i="7"/>
  <c r="AC101" i="7" l="1"/>
  <c r="AE101" i="7" s="1"/>
  <c r="W101" i="7"/>
  <c r="U101" i="7"/>
  <c r="AK101" i="7" l="1"/>
  <c r="J115" i="7" l="1"/>
  <c r="I129" i="7" s="1"/>
  <c r="K115" i="7" l="1"/>
  <c r="K125" i="7"/>
  <c r="K121" i="7"/>
  <c r="K117" i="7"/>
  <c r="K128" i="7"/>
  <c r="K124" i="7"/>
  <c r="K120" i="7"/>
  <c r="K116" i="7"/>
  <c r="K127" i="7"/>
  <c r="K123" i="7"/>
  <c r="K119" i="7"/>
  <c r="K122" i="7"/>
  <c r="K126" i="7"/>
  <c r="K118" i="7"/>
  <c r="T115" i="7" l="1"/>
  <c r="AA115" i="7"/>
  <c r="AG115" i="7"/>
  <c r="AI115" i="7" s="1"/>
  <c r="AB115" i="7"/>
  <c r="AC115" i="7" l="1"/>
  <c r="AE115" i="7" s="1"/>
  <c r="W115" i="7"/>
  <c r="U115" i="7"/>
  <c r="AK115" i="7" l="1"/>
  <c r="J129" i="7" l="1"/>
  <c r="I144" i="7" s="1"/>
  <c r="K129" i="7" l="1"/>
  <c r="K141" i="7"/>
  <c r="K137" i="7"/>
  <c r="K133" i="7"/>
  <c r="K140" i="7"/>
  <c r="K136" i="7"/>
  <c r="K132" i="7"/>
  <c r="K143" i="7"/>
  <c r="K139" i="7"/>
  <c r="K135" i="7"/>
  <c r="K131" i="7"/>
  <c r="K138" i="7"/>
  <c r="K134" i="7"/>
  <c r="K130" i="7"/>
  <c r="K142" i="7"/>
  <c r="T129" i="7" l="1"/>
  <c r="AA129" i="7"/>
  <c r="AG129" i="7"/>
  <c r="AI129" i="7" s="1"/>
  <c r="AB129" i="7"/>
  <c r="AC129" i="7" l="1"/>
  <c r="AE129" i="7" s="1"/>
  <c r="U129" i="7"/>
  <c r="W129" i="7"/>
  <c r="AK129" i="7" l="1"/>
  <c r="K145" i="7" l="1"/>
  <c r="J144" i="7"/>
  <c r="K144" i="7" s="1"/>
  <c r="G73" i="6" l="1"/>
  <c r="H73" i="6" s="1"/>
  <c r="G143" i="6"/>
  <c r="H143" i="6" s="1"/>
  <c r="G128" i="6"/>
  <c r="H128" i="6" s="1"/>
  <c r="G114" i="6"/>
  <c r="H114" i="6" s="1"/>
  <c r="G100" i="6"/>
  <c r="H100" i="6" s="1"/>
  <c r="G86" i="6"/>
  <c r="H86" i="6" s="1"/>
  <c r="G44" i="6"/>
  <c r="H44" i="6" s="1"/>
  <c r="G36" i="6"/>
  <c r="H36" i="6" s="1"/>
  <c r="G58" i="6" l="1"/>
  <c r="H58" i="6" s="1"/>
  <c r="AA144" i="7"/>
  <c r="T144" i="7"/>
  <c r="AG144" i="7"/>
  <c r="AI144" i="7" s="1"/>
  <c r="AB144" i="7"/>
  <c r="G7" i="6"/>
  <c r="H7" i="6" s="1"/>
  <c r="G5" i="6"/>
  <c r="H5" i="6" s="1"/>
  <c r="G4" i="6"/>
  <c r="H4" i="6" s="1"/>
  <c r="G3" i="6"/>
  <c r="AC144" i="7" l="1"/>
  <c r="AE144" i="7" s="1"/>
  <c r="W144" i="7"/>
  <c r="U144" i="7"/>
  <c r="AK144" i="7" l="1"/>
  <c r="E144" i="6"/>
  <c r="C144" i="6"/>
  <c r="B144" i="6"/>
  <c r="I4" i="5"/>
  <c r="D4" i="5"/>
  <c r="E4" i="5" l="1"/>
  <c r="C19" i="5" s="1"/>
  <c r="B19" i="5"/>
  <c r="E19" i="5"/>
  <c r="D144" i="6"/>
  <c r="H3" i="6"/>
  <c r="F144" i="6"/>
  <c r="F19" i="5"/>
  <c r="G144" i="6" l="1"/>
  <c r="H144" i="6"/>
  <c r="D151" i="6" s="1"/>
  <c r="F151" i="6" l="1"/>
  <c r="F152" i="6" s="1"/>
  <c r="D152" i="6"/>
  <c r="E6" i="21" l="1"/>
  <c r="F6" i="21" s="1"/>
  <c r="N6" i="21" l="1"/>
  <c r="R6" i="21" s="1"/>
  <c r="E7" i="21"/>
  <c r="F7" i="21" s="1"/>
  <c r="K6" i="21" l="1"/>
  <c r="K7" i="21"/>
  <c r="N7" i="21"/>
  <c r="R7" i="21" s="1"/>
  <c r="E8" i="21"/>
  <c r="F8" i="21" s="1"/>
  <c r="K8" i="21" l="1"/>
  <c r="N8" i="21"/>
  <c r="R8" i="21" s="1"/>
  <c r="E9" i="21"/>
  <c r="F9" i="21" s="1"/>
  <c r="N9" i="21" l="1"/>
  <c r="R9" i="21" s="1"/>
  <c r="E10" i="21"/>
  <c r="F10" i="21" s="1"/>
  <c r="K9" i="21" l="1"/>
  <c r="N10" i="21"/>
  <c r="R10" i="21" s="1"/>
  <c r="K10" i="21"/>
  <c r="E11" i="21"/>
  <c r="F11" i="21" s="1"/>
  <c r="E13" i="21" l="1"/>
  <c r="F13" i="21" s="1"/>
  <c r="K11" i="21"/>
  <c r="N11" i="21"/>
  <c r="R11" i="21" s="1"/>
  <c r="E12" i="21"/>
  <c r="F12" i="21" s="1"/>
  <c r="E14" i="21" l="1"/>
  <c r="F14" i="21" s="1"/>
  <c r="K12" i="21"/>
  <c r="N12" i="21"/>
  <c r="R12" i="21" s="1"/>
  <c r="K13" i="21"/>
  <c r="N13" i="21"/>
  <c r="R13" i="21" s="1"/>
  <c r="E15" i="21" l="1"/>
  <c r="F15" i="21" s="1"/>
  <c r="K14" i="21"/>
  <c r="N14" i="21"/>
  <c r="R14" i="21" s="1"/>
  <c r="K15" i="21" l="1"/>
  <c r="N15" i="21"/>
  <c r="R15" i="21" s="1"/>
  <c r="E16" i="21"/>
  <c r="F16" i="21" s="1"/>
  <c r="N16" i="21" l="1"/>
  <c r="R16" i="21" s="1"/>
  <c r="K16" i="21"/>
  <c r="E17" i="21"/>
  <c r="F17" i="21" s="1"/>
  <c r="N17" i="21" l="1"/>
  <c r="R17" i="21" s="1"/>
  <c r="K17" i="21"/>
  <c r="D23" i="21" l="1"/>
  <c r="E23" i="21" s="1"/>
  <c r="F23" i="21" s="1"/>
  <c r="D18" i="21"/>
  <c r="E18" i="21" s="1"/>
  <c r="F18" i="21" s="1"/>
  <c r="K18" i="21" l="1"/>
  <c r="N18" i="21"/>
  <c r="R18" i="21" s="1"/>
  <c r="N23" i="21"/>
  <c r="R23" i="21" s="1"/>
  <c r="K23" i="21"/>
  <c r="D19" i="21" l="1"/>
  <c r="E19" i="21" s="1"/>
  <c r="F19" i="21" s="1"/>
  <c r="N19" i="21" l="1"/>
  <c r="R19" i="21" s="1"/>
  <c r="K19" i="21"/>
  <c r="D20" i="21"/>
  <c r="E20" i="21" s="1"/>
  <c r="F20" i="21" s="1"/>
  <c r="D21" i="21" l="1"/>
  <c r="E21" i="21" s="1"/>
  <c r="F21" i="21" s="1"/>
  <c r="N20" i="21"/>
  <c r="R20" i="21" s="1"/>
  <c r="K20" i="21"/>
  <c r="K21" i="21" l="1"/>
  <c r="N21" i="21"/>
  <c r="R21" i="21" s="1"/>
  <c r="D24" i="21" l="1"/>
  <c r="E24" i="21" s="1"/>
  <c r="F24" i="21" s="1"/>
  <c r="N24" i="21" l="1"/>
  <c r="R24" i="21" s="1"/>
  <c r="K24" i="21"/>
  <c r="D25" i="21"/>
  <c r="E25" i="21" s="1"/>
  <c r="F25" i="21" l="1"/>
  <c r="N25" i="21" s="1"/>
  <c r="R25" i="21" s="1"/>
  <c r="K25" i="21"/>
  <c r="D26" i="21"/>
  <c r="E26" i="21" s="1"/>
  <c r="F26" i="21" s="1"/>
  <c r="K26" i="21" l="1"/>
  <c r="N26" i="21"/>
  <c r="R26" i="21" s="1"/>
  <c r="D27" i="21"/>
  <c r="E27" i="21" s="1"/>
  <c r="F27" i="21" s="1"/>
  <c r="N27" i="21" l="1"/>
  <c r="R27" i="21" s="1"/>
  <c r="K27" i="21"/>
  <c r="D28" i="21"/>
  <c r="E28" i="21" s="1"/>
  <c r="F28" i="21" s="1"/>
  <c r="D29" i="21"/>
  <c r="E29" i="21" s="1"/>
  <c r="F29" i="21" s="1"/>
  <c r="K29" i="21" l="1"/>
  <c r="N29" i="21"/>
  <c r="R29" i="21" s="1"/>
  <c r="N28" i="21"/>
  <c r="R28" i="21" s="1"/>
  <c r="K28" i="21"/>
  <c r="D36" i="21"/>
  <c r="E36" i="21" s="1"/>
  <c r="F36" i="21" s="1"/>
  <c r="N36" i="21" l="1"/>
  <c r="R36" i="21" s="1"/>
  <c r="K36" i="21"/>
  <c r="D30" i="21"/>
  <c r="E30" i="21" s="1"/>
  <c r="F30" i="21" s="1"/>
  <c r="K30" i="21" l="1"/>
  <c r="N30" i="21"/>
  <c r="R30" i="21" s="1"/>
  <c r="D31" i="21"/>
  <c r="E31" i="21" s="1"/>
  <c r="F31" i="21" s="1"/>
  <c r="D32" i="21" l="1"/>
  <c r="E32" i="21" s="1"/>
  <c r="F32" i="21" s="1"/>
  <c r="N31" i="21"/>
  <c r="R31" i="21" s="1"/>
  <c r="K31" i="21"/>
  <c r="D34" i="21" l="1"/>
  <c r="E34" i="21" s="1"/>
  <c r="F34" i="21" s="1"/>
  <c r="D33" i="21"/>
  <c r="E33" i="21" s="1"/>
  <c r="F33" i="21" s="1"/>
  <c r="K32" i="21"/>
  <c r="N32" i="21"/>
  <c r="R32" i="21" s="1"/>
  <c r="K33" i="21" l="1"/>
  <c r="N33" i="21"/>
  <c r="R33" i="21" s="1"/>
  <c r="K34" i="21"/>
  <c r="N34" i="21"/>
  <c r="R34" i="21" s="1"/>
  <c r="D37" i="21" l="1"/>
  <c r="E37" i="21" s="1"/>
  <c r="F37" i="21" s="1"/>
  <c r="I37" i="21" l="1"/>
  <c r="N37" i="21"/>
  <c r="P37" i="21" l="1"/>
  <c r="AB37" i="21" s="1"/>
  <c r="J37" i="21"/>
  <c r="K37" i="21" s="1"/>
  <c r="AA37" i="21" l="1"/>
  <c r="AC37" i="21" s="1"/>
  <c r="AE37" i="21" s="1"/>
  <c r="AK37" i="21" s="1"/>
  <c r="Q37" i="21"/>
  <c r="R37" i="21" s="1"/>
  <c r="D38" i="21"/>
  <c r="E38" i="21" s="1"/>
  <c r="F38" i="21" l="1"/>
  <c r="N38" i="21" s="1"/>
  <c r="R38" i="21" s="1"/>
  <c r="K38" i="21"/>
  <c r="D39" i="21"/>
  <c r="E39" i="21" s="1"/>
  <c r="F39" i="21" s="1"/>
  <c r="D40" i="21"/>
  <c r="E40" i="21" s="1"/>
  <c r="F40" i="21" s="1"/>
  <c r="N39" i="21" l="1"/>
  <c r="R39" i="21" s="1"/>
  <c r="K39" i="21"/>
  <c r="K40" i="21"/>
  <c r="N40" i="21"/>
  <c r="R40" i="21" s="1"/>
  <c r="D42" i="21"/>
  <c r="E42" i="21" s="1"/>
  <c r="F42" i="21" s="1"/>
  <c r="D41" i="21"/>
  <c r="E41" i="21" s="1"/>
  <c r="F41" i="21" s="1"/>
  <c r="D43" i="21" l="1"/>
  <c r="E43" i="21" s="1"/>
  <c r="F43" i="21" s="1"/>
  <c r="K41" i="21"/>
  <c r="N41" i="21"/>
  <c r="R41" i="21" s="1"/>
  <c r="K42" i="21"/>
  <c r="N42" i="21"/>
  <c r="R42" i="21" s="1"/>
  <c r="D44" i="21" l="1"/>
  <c r="E44" i="21" s="1"/>
  <c r="F44" i="21" s="1"/>
  <c r="K43" i="21"/>
  <c r="N43" i="21"/>
  <c r="R43" i="21" s="1"/>
  <c r="D45" i="21" l="1"/>
  <c r="E45" i="21" s="1"/>
  <c r="K44" i="21"/>
  <c r="N44" i="21"/>
  <c r="R44" i="21" s="1"/>
  <c r="F45" i="21" l="1"/>
  <c r="I45" i="21" s="1"/>
  <c r="D46" i="21"/>
  <c r="E46" i="21" s="1"/>
  <c r="F46" i="21" s="1"/>
  <c r="N45" i="21"/>
  <c r="J45" i="21" l="1"/>
  <c r="K46" i="21" s="1"/>
  <c r="D47" i="21"/>
  <c r="E47" i="21" s="1"/>
  <c r="F47" i="21" s="1"/>
  <c r="P45" i="21"/>
  <c r="N46" i="21"/>
  <c r="N47" i="21" l="1"/>
  <c r="K47" i="21"/>
  <c r="K53" i="21"/>
  <c r="K45" i="21"/>
  <c r="D48" i="21"/>
  <c r="E48" i="21" s="1"/>
  <c r="F48" i="21" s="1"/>
  <c r="AA45" i="21"/>
  <c r="Q45" i="21"/>
  <c r="AB45" i="21"/>
  <c r="AC45" i="21" l="1"/>
  <c r="AE45" i="21" s="1"/>
  <c r="AK45" i="21" s="1"/>
  <c r="R53" i="21"/>
  <c r="R45" i="21"/>
  <c r="R46" i="21"/>
  <c r="K48" i="21"/>
  <c r="N48" i="21"/>
  <c r="R48" i="21" s="1"/>
  <c r="D54" i="21"/>
  <c r="E54" i="21" s="1"/>
  <c r="F54" i="21" s="1"/>
  <c r="D49" i="21"/>
  <c r="E49" i="21" s="1"/>
  <c r="F49" i="21" s="1"/>
  <c r="R47" i="21"/>
  <c r="K49" i="21" l="1"/>
  <c r="N49" i="21"/>
  <c r="R49" i="21" s="1"/>
  <c r="D50" i="21"/>
  <c r="E50" i="21" s="1"/>
  <c r="F50" i="21" s="1"/>
  <c r="N54" i="21"/>
  <c r="R54" i="21" s="1"/>
  <c r="K54" i="21"/>
  <c r="D52" i="21" l="1"/>
  <c r="E52" i="21" s="1"/>
  <c r="F52" i="21" s="1"/>
  <c r="D51" i="21"/>
  <c r="E51" i="21" s="1"/>
  <c r="F51" i="21" s="1"/>
  <c r="K50" i="21"/>
  <c r="N50" i="21"/>
  <c r="R50" i="21" s="1"/>
  <c r="N51" i="21" l="1"/>
  <c r="R51" i="21" s="1"/>
  <c r="K51" i="21"/>
  <c r="N52" i="21"/>
  <c r="R52" i="21" s="1"/>
  <c r="K52" i="21"/>
  <c r="D55" i="21" l="1"/>
  <c r="E55" i="21" s="1"/>
  <c r="F55" i="21" s="1"/>
  <c r="D56" i="21"/>
  <c r="E56" i="21" s="1"/>
  <c r="D57" i="21"/>
  <c r="E57" i="21" s="1"/>
  <c r="F57" i="21" s="1"/>
  <c r="F56" i="21" l="1"/>
  <c r="I56" i="21" s="1"/>
  <c r="J56" i="21" s="1"/>
  <c r="N57" i="21"/>
  <c r="N55" i="21"/>
  <c r="R55" i="21" s="1"/>
  <c r="K55" i="21"/>
  <c r="D64" i="21"/>
  <c r="E64" i="21" s="1"/>
  <c r="F64" i="21" l="1"/>
  <c r="I64" i="21" s="1"/>
  <c r="J64" i="21" s="1"/>
  <c r="K64" i="21" s="1"/>
  <c r="N56" i="21"/>
  <c r="P56" i="21" s="1"/>
  <c r="Q56" i="21" s="1"/>
  <c r="R57" i="21" s="1"/>
  <c r="K63" i="21"/>
  <c r="K56" i="21"/>
  <c r="K57" i="21"/>
  <c r="N64" i="21"/>
  <c r="D58" i="21"/>
  <c r="E58" i="21" s="1"/>
  <c r="F58" i="21" s="1"/>
  <c r="K58" i="21" s="1"/>
  <c r="P64" i="21" l="1"/>
  <c r="AB64" i="21" s="1"/>
  <c r="AB56" i="21"/>
  <c r="R56" i="21"/>
  <c r="T64" i="21"/>
  <c r="AG64" i="21"/>
  <c r="AI64" i="21" s="1"/>
  <c r="AA64" i="21"/>
  <c r="AC64" i="21" s="1"/>
  <c r="AE64" i="21" s="1"/>
  <c r="Q64" i="21"/>
  <c r="R64" i="21" s="1"/>
  <c r="N58" i="21"/>
  <c r="R58" i="21" s="1"/>
  <c r="D59" i="21"/>
  <c r="E59" i="21" s="1"/>
  <c r="F59" i="21" s="1"/>
  <c r="K59" i="21" s="1"/>
  <c r="U64" i="21" l="1"/>
  <c r="W64" i="21"/>
  <c r="AK64" i="21" s="1"/>
  <c r="D60" i="21"/>
  <c r="E60" i="21" s="1"/>
  <c r="F60" i="21" s="1"/>
  <c r="K60" i="21" s="1"/>
  <c r="N59" i="21"/>
  <c r="R59" i="21" s="1"/>
  <c r="D62" i="21" l="1"/>
  <c r="E62" i="21" s="1"/>
  <c r="F62" i="21" s="1"/>
  <c r="K62" i="21" s="1"/>
  <c r="D61" i="21"/>
  <c r="E61" i="21" s="1"/>
  <c r="F61" i="21" s="1"/>
  <c r="K61" i="21" s="1"/>
  <c r="K66" i="21" s="1"/>
  <c r="N60" i="21"/>
  <c r="R60" i="21" s="1"/>
  <c r="T56" i="21" l="1"/>
  <c r="AG56" i="21"/>
  <c r="AI56" i="21" s="1"/>
  <c r="AA56" i="21"/>
  <c r="N61" i="21"/>
  <c r="R61" i="21" s="1"/>
  <c r="N62" i="21"/>
  <c r="R62" i="21" s="1"/>
  <c r="U56" i="21" l="1"/>
  <c r="W56" i="21"/>
  <c r="R63" i="21"/>
  <c r="AC56" i="21"/>
  <c r="AE56" i="21" s="1"/>
  <c r="AK56" i="21" l="1"/>
</calcChain>
</file>

<file path=xl/sharedStrings.xml><?xml version="1.0" encoding="utf-8"?>
<sst xmlns="http://schemas.openxmlformats.org/spreadsheetml/2006/main" count="107" uniqueCount="74">
  <si>
    <t>Total</t>
  </si>
  <si>
    <t>Recette / ha</t>
  </si>
  <si>
    <t>Recette Propriété</t>
  </si>
  <si>
    <t>Surface (ha)</t>
  </si>
  <si>
    <t xml:space="preserve">Sources : </t>
  </si>
  <si>
    <t>Total Charges Propriété</t>
  </si>
  <si>
    <t>Coûts de Production</t>
  </si>
  <si>
    <t>Nature Charge</t>
  </si>
  <si>
    <t>Coût Charge   / ha</t>
  </si>
  <si>
    <t>Calcul VAN Culture</t>
  </si>
  <si>
    <t>Marge / ha</t>
  </si>
  <si>
    <t>Marge Propriété</t>
  </si>
  <si>
    <t>Tx d'actualisation</t>
  </si>
  <si>
    <t>VAN Culture / ha</t>
  </si>
  <si>
    <t>Van culture Propriété</t>
  </si>
  <si>
    <t>Année</t>
  </si>
  <si>
    <t>Dépenses plantations</t>
  </si>
  <si>
    <t>Recettes Chêne Sessile</t>
  </si>
  <si>
    <t>Dépenses chêne sessile</t>
  </si>
  <si>
    <t>Les dépenses :</t>
  </si>
  <si>
    <r>
      <rPr>
        <sz val="11"/>
        <color theme="1"/>
        <rFont val="Calibri"/>
        <family val="2"/>
      </rPr>
      <t>●</t>
    </r>
    <r>
      <rPr>
        <sz val="11"/>
        <color theme="1"/>
        <rFont val="Calibri"/>
        <family val="2"/>
        <scheme val="minor"/>
      </rPr>
      <t xml:space="preserve"> Dépenses liées à la plantation correspondent aux dépenses présentées au titre du dossier, incluant les coûts opérationnels et la maîtrise d'œuvre</t>
    </r>
  </si>
  <si>
    <t>●Les autres dépenses correspondent aux dépenses d'élagage, de taille de formation, de coupes, la maitrise d'œuvre pour la gestion et les ventes de bois, les frais de marquage à la charge du propriétaire</t>
  </si>
  <si>
    <t>Résultat (Rn - Cn)</t>
  </si>
  <si>
    <t>VAN Boisement</t>
  </si>
  <si>
    <t>% Prélèvement</t>
  </si>
  <si>
    <t>Tonne</t>
  </si>
  <si>
    <t>% Panneau</t>
  </si>
  <si>
    <t>% Pâte à papier</t>
  </si>
  <si>
    <t>Stères</t>
  </si>
  <si>
    <t>Volume (m3) / tige</t>
  </si>
  <si>
    <t>Hauteur totale (m) / tige</t>
  </si>
  <si>
    <t>VAN BOISEMENT</t>
  </si>
  <si>
    <t>VAN CULTURE</t>
  </si>
  <si>
    <t>DELTA</t>
  </si>
  <si>
    <t>VAN / ha</t>
  </si>
  <si>
    <t>VAN Total</t>
  </si>
  <si>
    <t>Diamètre (m) / tige</t>
  </si>
  <si>
    <t>Circonférence</t>
  </si>
  <si>
    <t>Dépenses et Recettes / ha</t>
  </si>
  <si>
    <t>Stock moyen Long terme</t>
  </si>
  <si>
    <t>Vol BI (m3)</t>
  </si>
  <si>
    <t>Vol BE (m3)</t>
  </si>
  <si>
    <t>Vol grume (m3)</t>
  </si>
  <si>
    <t>Prix unitaire BI (€)</t>
  </si>
  <si>
    <t>Prix vente BI (€)</t>
  </si>
  <si>
    <t>Volume BE Houppiers (m3)</t>
  </si>
  <si>
    <t>Prix unitaire stère (€)</t>
  </si>
  <si>
    <t>Prix vente total stère (€)</t>
  </si>
  <si>
    <t>Prix m3 grume unitaire (€)</t>
  </si>
  <si>
    <t>Prix grume total (€)</t>
  </si>
  <si>
    <t>Revenus totaux (€)</t>
  </si>
  <si>
    <t>Volume Eclaircies (m3) / ha</t>
  </si>
  <si>
    <t>Volume bois fort Eclaircies (m3) / ha</t>
  </si>
  <si>
    <t xml:space="preserve"> Cumul volumes bois fort éclaircies (m3) / ha</t>
  </si>
  <si>
    <t>Volume total sur pied (m3)  / ha</t>
  </si>
  <si>
    <t>Cumul volume éclaircies (m3) / ha</t>
  </si>
  <si>
    <t>Volume Bois fort (m3)  /ha</t>
  </si>
  <si>
    <t>Volume bois fort sur pied (m3)/ ha</t>
  </si>
  <si>
    <t>Production Chêne</t>
  </si>
  <si>
    <t>Volume (m3)  1120 tiges / ha</t>
  </si>
  <si>
    <t>Recettes prairie multi espèces / an</t>
  </si>
  <si>
    <t>Rendement annuel estimé tms / ha</t>
  </si>
  <si>
    <t>Coût implantation et conduite / tms</t>
  </si>
  <si>
    <t>Semance et désherbage</t>
  </si>
  <si>
    <t>Herbe et fourrages Centre - Approche de la valeur économique des fourrages - Lettre fourrage n°11 juillet 2014</t>
  </si>
  <si>
    <t>https://www.herbe-fourrages-centre.fr/publications/notes-techniques/</t>
  </si>
  <si>
    <t>Coût récolte (Fauche + tracteur)</t>
  </si>
  <si>
    <t>Enrubannage + film</t>
  </si>
  <si>
    <t xml:space="preserve">Prix </t>
  </si>
  <si>
    <t>Recettes fruitiers</t>
  </si>
  <si>
    <t>Volume (m3)  160 tiges / ha</t>
  </si>
  <si>
    <t>Dépenses fruitiers</t>
  </si>
  <si>
    <t xml:space="preserve">Nous ne disposons pas des documents comptables de l'exploitant. </t>
  </si>
  <si>
    <t>Production Fruitiers - applicable pour le Poirier sauvage, Pommier sauvage, Merisier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</si>
</sst>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00"/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0" fillId="0" borderId="6" xfId="0" applyNumberFormat="1" applyBorder="1" applyAlignment="1">
      <alignment wrapText="1"/>
    </xf>
    <xf numFmtId="0" fontId="0" fillId="0" borderId="0" xfId="0" applyAlignment="1"/>
    <xf numFmtId="0" fontId="5" fillId="0" borderId="0" xfId="2" applyAlignment="1"/>
    <xf numFmtId="164" fontId="0" fillId="0" borderId="5" xfId="0" applyNumberFormat="1" applyBorder="1" applyAlignment="1">
      <alignment wrapText="1"/>
    </xf>
    <xf numFmtId="164" fontId="2" fillId="0" borderId="25" xfId="0" applyNumberFormat="1" applyFont="1" applyBorder="1" applyAlignment="1">
      <alignment wrapText="1"/>
    </xf>
    <xf numFmtId="164" fontId="2" fillId="0" borderId="7" xfId="0" applyNumberFormat="1" applyFont="1" applyBorder="1"/>
    <xf numFmtId="0" fontId="0" fillId="0" borderId="8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164" fontId="2" fillId="0" borderId="15" xfId="0" applyNumberFormat="1" applyFont="1" applyBorder="1" applyAlignment="1">
      <alignment wrapText="1"/>
    </xf>
    <xf numFmtId="0" fontId="0" fillId="0" borderId="31" xfId="0" applyBorder="1" applyAlignment="1">
      <alignment horizontal="center" vertical="center" wrapText="1"/>
    </xf>
    <xf numFmtId="0" fontId="0" fillId="0" borderId="31" xfId="0" applyBorder="1"/>
    <xf numFmtId="0" fontId="0" fillId="0" borderId="3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164" fontId="0" fillId="0" borderId="20" xfId="0" applyNumberFormat="1" applyBorder="1" applyAlignment="1">
      <alignment horizontal="center" vertical="center" wrapText="1"/>
    </xf>
    <xf numFmtId="164" fontId="0" fillId="0" borderId="27" xfId="0" applyNumberForma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Alignment="1"/>
    <xf numFmtId="10" fontId="0" fillId="0" borderId="6" xfId="0" applyNumberFormat="1" applyBorder="1" applyAlignment="1">
      <alignment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/>
    <xf numFmtId="0" fontId="2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center" vertical="center" wrapText="1"/>
    </xf>
    <xf numFmtId="0" fontId="2" fillId="10" borderId="36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164" fontId="2" fillId="10" borderId="19" xfId="0" applyNumberFormat="1" applyFont="1" applyFill="1" applyBorder="1"/>
    <xf numFmtId="164" fontId="0" fillId="10" borderId="2" xfId="0" applyNumberFormat="1" applyFill="1" applyBorder="1"/>
    <xf numFmtId="164" fontId="0" fillId="10" borderId="4" xfId="0" applyNumberFormat="1" applyFill="1" applyBorder="1"/>
    <xf numFmtId="164" fontId="0" fillId="10" borderId="7" xfId="0" applyNumberFormat="1" applyFill="1" applyBorder="1"/>
    <xf numFmtId="164" fontId="0" fillId="6" borderId="41" xfId="0" applyNumberFormat="1" applyFill="1" applyBorder="1" applyAlignment="1">
      <alignment wrapText="1"/>
    </xf>
    <xf numFmtId="164" fontId="0" fillId="7" borderId="42" xfId="0" applyNumberFormat="1" applyFill="1" applyBorder="1" applyAlignment="1">
      <alignment wrapText="1"/>
    </xf>
    <xf numFmtId="164" fontId="0" fillId="8" borderId="42" xfId="0" applyNumberFormat="1" applyFill="1" applyBorder="1" applyAlignment="1">
      <alignment wrapText="1"/>
    </xf>
    <xf numFmtId="164" fontId="0" fillId="6" borderId="43" xfId="0" applyNumberFormat="1" applyFill="1" applyBorder="1" applyAlignment="1">
      <alignment wrapText="1"/>
    </xf>
    <xf numFmtId="164" fontId="0" fillId="7" borderId="44" xfId="0" applyNumberFormat="1" applyFill="1" applyBorder="1" applyAlignment="1">
      <alignment wrapText="1"/>
    </xf>
    <xf numFmtId="0" fontId="0" fillId="7" borderId="44" xfId="0" applyFill="1" applyBorder="1"/>
    <xf numFmtId="164" fontId="0" fillId="8" borderId="44" xfId="0" applyNumberFormat="1" applyFill="1" applyBorder="1" applyAlignment="1">
      <alignment wrapText="1"/>
    </xf>
    <xf numFmtId="164" fontId="0" fillId="6" borderId="43" xfId="0" applyNumberFormat="1" applyFill="1" applyBorder="1"/>
    <xf numFmtId="164" fontId="0" fillId="7" borderId="44" xfId="0" applyNumberFormat="1" applyFill="1" applyBorder="1"/>
    <xf numFmtId="164" fontId="0" fillId="8" borderId="44" xfId="0" applyNumberFormat="1" applyFill="1" applyBorder="1"/>
    <xf numFmtId="0" fontId="0" fillId="6" borderId="43" xfId="0" applyFill="1" applyBorder="1"/>
    <xf numFmtId="0" fontId="0" fillId="6" borderId="45" xfId="0" applyFill="1" applyBorder="1"/>
    <xf numFmtId="164" fontId="0" fillId="7" borderId="46" xfId="0" applyNumberFormat="1" applyFill="1" applyBorder="1"/>
    <xf numFmtId="164" fontId="0" fillId="7" borderId="46" xfId="0" applyNumberFormat="1" applyFill="1" applyBorder="1" applyAlignment="1">
      <alignment wrapText="1"/>
    </xf>
    <xf numFmtId="164" fontId="0" fillId="8" borderId="46" xfId="0" applyNumberFormat="1" applyFill="1" applyBorder="1"/>
    <xf numFmtId="164" fontId="0" fillId="8" borderId="46" xfId="0" applyNumberFormat="1" applyFill="1" applyBorder="1" applyAlignment="1">
      <alignment wrapText="1"/>
    </xf>
    <xf numFmtId="0" fontId="2" fillId="7" borderId="1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164" fontId="0" fillId="10" borderId="22" xfId="0" applyNumberFormat="1" applyFill="1" applyBorder="1"/>
    <xf numFmtId="164" fontId="0" fillId="10" borderId="3" xfId="0" applyNumberFormat="1" applyFill="1" applyBorder="1"/>
    <xf numFmtId="164" fontId="0" fillId="10" borderId="5" xfId="0" applyNumberFormat="1" applyFill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0" fontId="2" fillId="11" borderId="21" xfId="0" applyFont="1" applyFill="1" applyBorder="1" applyAlignment="1">
      <alignment horizontal="center" vertical="center" wrapText="1"/>
    </xf>
    <xf numFmtId="0" fontId="2" fillId="11" borderId="47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48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47" xfId="0" applyFont="1" applyFill="1" applyBorder="1" applyAlignment="1">
      <alignment horizontal="center" vertical="center" wrapText="1"/>
    </xf>
    <xf numFmtId="0" fontId="2" fillId="12" borderId="18" xfId="0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horizontal="center" vertical="center" wrapText="1"/>
    </xf>
    <xf numFmtId="0" fontId="2" fillId="7" borderId="48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2" fillId="13" borderId="48" xfId="0" applyFont="1" applyFill="1" applyBorder="1" applyAlignment="1">
      <alignment horizontal="center" vertical="center" wrapText="1"/>
    </xf>
    <xf numFmtId="0" fontId="2" fillId="13" borderId="19" xfId="0" applyFont="1" applyFill="1" applyBorder="1" applyAlignment="1">
      <alignment horizontal="center" vertical="center" wrapText="1"/>
    </xf>
    <xf numFmtId="2" fontId="0" fillId="14" borderId="10" xfId="0" applyNumberFormat="1" applyFill="1" applyBorder="1" applyAlignment="1">
      <alignment wrapText="1"/>
    </xf>
    <xf numFmtId="2" fontId="0" fillId="14" borderId="10" xfId="0" applyNumberFormat="1" applyFill="1" applyBorder="1"/>
    <xf numFmtId="2" fontId="0" fillId="14" borderId="11" xfId="0" applyNumberFormat="1" applyFill="1" applyBorder="1" applyAlignment="1">
      <alignment wrapText="1"/>
    </xf>
    <xf numFmtId="2" fontId="0" fillId="10" borderId="0" xfId="0" applyNumberFormat="1" applyFill="1" applyAlignment="1">
      <alignment wrapText="1"/>
    </xf>
    <xf numFmtId="2" fontId="6" fillId="0" borderId="49" xfId="0" applyNumberFormat="1" applyFont="1" applyBorder="1" applyAlignment="1">
      <alignment wrapText="1"/>
    </xf>
    <xf numFmtId="9" fontId="0" fillId="0" borderId="14" xfId="1" applyFont="1" applyBorder="1" applyAlignment="1">
      <alignment wrapText="1"/>
    </xf>
    <xf numFmtId="2" fontId="0" fillId="10" borderId="15" xfId="0" applyNumberFormat="1" applyFill="1" applyBorder="1" applyAlignment="1">
      <alignment wrapText="1"/>
    </xf>
    <xf numFmtId="0" fontId="0" fillId="9" borderId="9" xfId="0" applyFill="1" applyBorder="1" applyAlignment="1">
      <alignment horizontal="right" vertical="center" wrapText="1"/>
    </xf>
    <xf numFmtId="2" fontId="0" fillId="9" borderId="14" xfId="0" applyNumberFormat="1" applyFill="1" applyBorder="1" applyAlignment="1">
      <alignment horizontal="right" vertical="center" wrapText="1"/>
    </xf>
    <xf numFmtId="164" fontId="0" fillId="9" borderId="10" xfId="0" applyNumberFormat="1" applyFill="1" applyBorder="1" applyAlignment="1">
      <alignment horizontal="right" vertical="center" wrapText="1"/>
    </xf>
    <xf numFmtId="164" fontId="0" fillId="9" borderId="51" xfId="0" applyNumberFormat="1" applyFill="1" applyBorder="1" applyAlignment="1">
      <alignment horizontal="right" vertical="center" wrapText="1"/>
    </xf>
    <xf numFmtId="10" fontId="0" fillId="12" borderId="10" xfId="0" applyNumberFormat="1" applyFill="1" applyBorder="1" applyAlignment="1">
      <alignment horizontal="right" vertical="center" wrapText="1"/>
    </xf>
    <xf numFmtId="10" fontId="0" fillId="12" borderId="11" xfId="0" applyNumberFormat="1" applyFill="1" applyBorder="1" applyAlignment="1">
      <alignment horizontal="right" vertical="center" wrapText="1"/>
    </xf>
    <xf numFmtId="164" fontId="0" fillId="10" borderId="15" xfId="0" applyNumberFormat="1" applyFill="1" applyBorder="1" applyAlignment="1">
      <alignment horizontal="right" vertical="center" wrapText="1"/>
    </xf>
    <xf numFmtId="0" fontId="2" fillId="7" borderId="14" xfId="0" applyFont="1" applyFill="1" applyBorder="1" applyAlignment="1">
      <alignment horizontal="center" vertical="center" wrapText="1"/>
    </xf>
    <xf numFmtId="2" fontId="0" fillId="7" borderId="14" xfId="0" applyNumberForma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164" fontId="2" fillId="7" borderId="10" xfId="0" applyNumberFormat="1" applyFont="1" applyFill="1" applyBorder="1" applyAlignment="1">
      <alignment horizontal="center" vertical="center" wrapText="1"/>
    </xf>
    <xf numFmtId="164" fontId="2" fillId="7" borderId="50" xfId="0" applyNumberFormat="1" applyFont="1" applyFill="1" applyBorder="1" applyAlignment="1">
      <alignment horizontal="center" vertical="center" wrapText="1"/>
    </xf>
    <xf numFmtId="164" fontId="2" fillId="10" borderId="15" xfId="0" applyNumberFormat="1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164" fontId="2" fillId="13" borderId="50" xfId="0" applyNumberFormat="1" applyFont="1" applyFill="1" applyBorder="1" applyAlignment="1">
      <alignment horizontal="center" vertical="center" wrapText="1"/>
    </xf>
    <xf numFmtId="164" fontId="2" fillId="13" borderId="2" xfId="0" applyNumberFormat="1" applyFont="1" applyFill="1" applyBorder="1" applyAlignment="1">
      <alignment horizontal="center" vertical="center" wrapText="1"/>
    </xf>
    <xf numFmtId="2" fontId="0" fillId="9" borderId="3" xfId="0" applyNumberFormat="1" applyFill="1" applyBorder="1" applyAlignment="1">
      <alignment horizontal="right" wrapText="1"/>
    </xf>
    <xf numFmtId="164" fontId="0" fillId="9" borderId="1" xfId="0" applyNumberFormat="1" applyFill="1" applyBorder="1" applyAlignment="1">
      <alignment horizontal="right" wrapText="1"/>
    </xf>
    <xf numFmtId="164" fontId="0" fillId="9" borderId="29" xfId="0" applyNumberFormat="1" applyFill="1" applyBorder="1" applyAlignment="1">
      <alignment horizontal="right" wrapText="1"/>
    </xf>
    <xf numFmtId="10" fontId="0" fillId="12" borderId="1" xfId="0" applyNumberFormat="1" applyFill="1" applyBorder="1" applyAlignment="1">
      <alignment horizontal="right" wrapText="1"/>
    </xf>
    <xf numFmtId="10" fontId="0" fillId="12" borderId="4" xfId="0" applyNumberFormat="1" applyFill="1" applyBorder="1" applyAlignment="1">
      <alignment horizontal="right" wrapText="1"/>
    </xf>
    <xf numFmtId="164" fontId="0" fillId="10" borderId="15" xfId="0" applyNumberFormat="1" applyFill="1" applyBorder="1" applyAlignment="1">
      <alignment horizontal="right" wrapText="1"/>
    </xf>
    <xf numFmtId="2" fontId="0" fillId="7" borderId="12" xfId="0" applyNumberFormat="1" applyFill="1" applyBorder="1" applyAlignment="1">
      <alignment wrapText="1"/>
    </xf>
    <xf numFmtId="2" fontId="0" fillId="7" borderId="1" xfId="0" applyNumberFormat="1" applyFill="1" applyBorder="1" applyAlignment="1">
      <alignment wrapText="1"/>
    </xf>
    <xf numFmtId="164" fontId="0" fillId="7" borderId="1" xfId="0" applyNumberFormat="1" applyFill="1" applyBorder="1" applyAlignment="1">
      <alignment wrapText="1"/>
    </xf>
    <xf numFmtId="164" fontId="0" fillId="7" borderId="24" xfId="0" applyNumberFormat="1" applyFill="1" applyBorder="1" applyAlignment="1">
      <alignment wrapText="1"/>
    </xf>
    <xf numFmtId="164" fontId="0" fillId="10" borderId="15" xfId="0" applyNumberFormat="1" applyFill="1" applyBorder="1" applyAlignment="1">
      <alignment wrapText="1"/>
    </xf>
    <xf numFmtId="2" fontId="0" fillId="13" borderId="3" xfId="0" applyNumberFormat="1" applyFill="1" applyBorder="1" applyAlignment="1">
      <alignment wrapText="1"/>
    </xf>
    <xf numFmtId="164" fontId="0" fillId="13" borderId="24" xfId="0" applyNumberFormat="1" applyFill="1" applyBorder="1" applyAlignment="1">
      <alignment wrapText="1"/>
    </xf>
    <xf numFmtId="164" fontId="0" fillId="13" borderId="4" xfId="0" applyNumberFormat="1" applyFill="1" applyBorder="1" applyAlignment="1">
      <alignment wrapText="1"/>
    </xf>
    <xf numFmtId="2" fontId="0" fillId="14" borderId="1" xfId="0" applyNumberFormat="1" applyFill="1" applyBorder="1" applyAlignment="1">
      <alignment wrapText="1"/>
    </xf>
    <xf numFmtId="9" fontId="0" fillId="0" borderId="12" xfId="1" applyFont="1" applyBorder="1" applyAlignment="1">
      <alignment wrapText="1"/>
    </xf>
    <xf numFmtId="2" fontId="0" fillId="9" borderId="3" xfId="0" applyNumberFormat="1" applyFill="1" applyBorder="1" applyAlignment="1">
      <alignment horizontal="right"/>
    </xf>
    <xf numFmtId="164" fontId="0" fillId="9" borderId="1" xfId="0" applyNumberFormat="1" applyFill="1" applyBorder="1" applyAlignment="1">
      <alignment horizontal="right"/>
    </xf>
    <xf numFmtId="164" fontId="0" fillId="9" borderId="29" xfId="0" applyNumberFormat="1" applyFill="1" applyBorder="1" applyAlignment="1">
      <alignment horizontal="right"/>
    </xf>
    <xf numFmtId="10" fontId="0" fillId="12" borderId="1" xfId="0" applyNumberFormat="1" applyFill="1" applyBorder="1" applyAlignment="1">
      <alignment horizontal="right"/>
    </xf>
    <xf numFmtId="10" fontId="0" fillId="12" borderId="4" xfId="0" applyNumberFormat="1" applyFill="1" applyBorder="1" applyAlignment="1">
      <alignment horizontal="right"/>
    </xf>
    <xf numFmtId="164" fontId="0" fillId="10" borderId="15" xfId="0" applyNumberFormat="1" applyFill="1" applyBorder="1" applyAlignment="1">
      <alignment horizontal="right"/>
    </xf>
    <xf numFmtId="2" fontId="0" fillId="7" borderId="12" xfId="0" applyNumberFormat="1" applyFill="1" applyBorder="1"/>
    <xf numFmtId="164" fontId="0" fillId="7" borderId="1" xfId="0" applyNumberFormat="1" applyFill="1" applyBorder="1"/>
    <xf numFmtId="2" fontId="0" fillId="13" borderId="3" xfId="0" applyNumberFormat="1" applyFill="1" applyBorder="1"/>
    <xf numFmtId="164" fontId="0" fillId="13" borderId="24" xfId="0" applyNumberFormat="1" applyFill="1" applyBorder="1"/>
    <xf numFmtId="164" fontId="0" fillId="13" borderId="4" xfId="0" applyNumberFormat="1" applyFill="1" applyBorder="1"/>
    <xf numFmtId="2" fontId="4" fillId="10" borderId="0" xfId="0" applyNumberFormat="1" applyFont="1" applyFill="1" applyAlignment="1">
      <alignment wrapText="1"/>
    </xf>
    <xf numFmtId="9" fontId="0" fillId="0" borderId="12" xfId="1" applyFont="1" applyBorder="1"/>
    <xf numFmtId="9" fontId="0" fillId="0" borderId="52" xfId="1" applyFont="1" applyBorder="1"/>
    <xf numFmtId="2" fontId="0" fillId="9" borderId="5" xfId="0" applyNumberFormat="1" applyFill="1" applyBorder="1" applyAlignment="1">
      <alignment horizontal="right"/>
    </xf>
    <xf numFmtId="2" fontId="0" fillId="9" borderId="53" xfId="0" applyNumberFormat="1" applyFill="1" applyBorder="1" applyAlignment="1">
      <alignment horizontal="right" vertical="center" wrapText="1"/>
    </xf>
    <xf numFmtId="164" fontId="0" fillId="9" borderId="6" xfId="0" applyNumberFormat="1" applyFill="1" applyBorder="1" applyAlignment="1">
      <alignment horizontal="right"/>
    </xf>
    <xf numFmtId="164" fontId="0" fillId="9" borderId="40" xfId="0" applyNumberFormat="1" applyFill="1" applyBorder="1" applyAlignment="1">
      <alignment horizontal="right"/>
    </xf>
    <xf numFmtId="10" fontId="0" fillId="12" borderId="6" xfId="0" applyNumberFormat="1" applyFill="1" applyBorder="1" applyAlignment="1">
      <alignment horizontal="right"/>
    </xf>
    <xf numFmtId="10" fontId="0" fillId="12" borderId="7" xfId="0" applyNumberFormat="1" applyFill="1" applyBorder="1" applyAlignment="1">
      <alignment horizontal="right"/>
    </xf>
    <xf numFmtId="2" fontId="0" fillId="7" borderId="52" xfId="0" applyNumberFormat="1" applyFill="1" applyBorder="1"/>
    <xf numFmtId="164" fontId="0" fillId="7" borderId="20" xfId="0" applyNumberFormat="1" applyFill="1" applyBorder="1"/>
    <xf numFmtId="164" fontId="0" fillId="7" borderId="26" xfId="0" applyNumberFormat="1" applyFill="1" applyBorder="1" applyAlignment="1">
      <alignment wrapText="1"/>
    </xf>
    <xf numFmtId="2" fontId="0" fillId="13" borderId="5" xfId="0" applyNumberFormat="1" applyFill="1" applyBorder="1"/>
    <xf numFmtId="164" fontId="0" fillId="13" borderId="25" xfId="0" applyNumberFormat="1" applyFill="1" applyBorder="1"/>
    <xf numFmtId="164" fontId="0" fillId="13" borderId="7" xfId="0" applyNumberFormat="1" applyFill="1" applyBorder="1"/>
    <xf numFmtId="2" fontId="0" fillId="0" borderId="34" xfId="0" applyNumberFormat="1" applyBorder="1"/>
    <xf numFmtId="2" fontId="0" fillId="0" borderId="53" xfId="0" applyNumberFormat="1" applyBorder="1"/>
    <xf numFmtId="164" fontId="0" fillId="0" borderId="54" xfId="0" applyNumberFormat="1" applyBorder="1"/>
    <xf numFmtId="2" fontId="0" fillId="0" borderId="18" xfId="0" applyNumberFormat="1" applyBorder="1"/>
    <xf numFmtId="164" fontId="0" fillId="0" borderId="48" xfId="0" applyNumberFormat="1" applyBorder="1"/>
    <xf numFmtId="164" fontId="0" fillId="10" borderId="15" xfId="0" applyNumberFormat="1" applyFill="1" applyBorder="1"/>
    <xf numFmtId="0" fontId="0" fillId="10" borderId="0" xfId="0" applyFill="1" applyBorder="1"/>
    <xf numFmtId="0" fontId="2" fillId="10" borderId="0" xfId="0" applyFont="1" applyFill="1" applyBorder="1" applyAlignment="1">
      <alignment horizontal="center" vertical="center" wrapText="1"/>
    </xf>
    <xf numFmtId="2" fontId="0" fillId="0" borderId="17" xfId="0" applyNumberFormat="1" applyBorder="1"/>
    <xf numFmtId="2" fontId="4" fillId="14" borderId="11" xfId="0" applyNumberFormat="1" applyFont="1" applyFill="1" applyBorder="1" applyAlignment="1">
      <alignment wrapText="1"/>
    </xf>
    <xf numFmtId="2" fontId="4" fillId="0" borderId="35" xfId="0" applyNumberFormat="1" applyFont="1" applyBorder="1" applyAlignment="1">
      <alignment wrapText="1"/>
    </xf>
    <xf numFmtId="164" fontId="2" fillId="10" borderId="0" xfId="0" applyNumberFormat="1" applyFont="1" applyFill="1" applyBorder="1" applyAlignment="1">
      <alignment horizontal="center" vertical="center" wrapText="1"/>
    </xf>
    <xf numFmtId="164" fontId="0" fillId="10" borderId="0" xfId="0" applyNumberFormat="1" applyFill="1" applyBorder="1" applyAlignment="1">
      <alignment wrapText="1"/>
    </xf>
    <xf numFmtId="164" fontId="0" fillId="10" borderId="0" xfId="0" applyNumberFormat="1" applyFill="1" applyBorder="1"/>
    <xf numFmtId="0" fontId="0" fillId="10" borderId="39" xfId="0" applyFill="1" applyBorder="1"/>
    <xf numFmtId="0" fontId="2" fillId="5" borderId="21" xfId="0" applyFont="1" applyFill="1" applyBorder="1" applyAlignment="1">
      <alignment horizontal="center" vertical="center" wrapText="1"/>
    </xf>
    <xf numFmtId="164" fontId="0" fillId="10" borderId="49" xfId="0" applyNumberFormat="1" applyFill="1" applyBorder="1"/>
    <xf numFmtId="164" fontId="0" fillId="0" borderId="55" xfId="0" applyNumberFormat="1" applyBorder="1"/>
    <xf numFmtId="164" fontId="0" fillId="0" borderId="56" xfId="0" applyNumberFormat="1" applyBorder="1"/>
    <xf numFmtId="0" fontId="2" fillId="15" borderId="17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0" fillId="10" borderId="56" xfId="0" applyNumberFormat="1" applyFill="1" applyBorder="1"/>
    <xf numFmtId="0" fontId="2" fillId="10" borderId="56" xfId="0" applyFont="1" applyFill="1" applyBorder="1" applyAlignment="1">
      <alignment horizontal="center" vertical="center" wrapText="1"/>
    </xf>
    <xf numFmtId="0" fontId="2" fillId="15" borderId="21" xfId="0" applyFont="1" applyFill="1" applyBorder="1" applyAlignment="1">
      <alignment horizontal="center" vertical="center" wrapText="1"/>
    </xf>
    <xf numFmtId="165" fontId="0" fillId="0" borderId="10" xfId="0" applyNumberFormat="1" applyBorder="1" applyAlignment="1">
      <alignment wrapText="1"/>
    </xf>
    <xf numFmtId="165" fontId="0" fillId="0" borderId="54" xfId="0" applyNumberFormat="1" applyBorder="1" applyAlignment="1">
      <alignment wrapText="1"/>
    </xf>
    <xf numFmtId="2" fontId="6" fillId="0" borderId="31" xfId="0" applyNumberFormat="1" applyFont="1" applyBorder="1" applyAlignment="1">
      <alignment wrapText="1"/>
    </xf>
    <xf numFmtId="0" fontId="2" fillId="0" borderId="0" xfId="0" applyFont="1" applyBorder="1"/>
    <xf numFmtId="2" fontId="0" fillId="14" borderId="6" xfId="0" applyNumberFormat="1" applyFill="1" applyBorder="1" applyAlignment="1">
      <alignment wrapText="1"/>
    </xf>
    <xf numFmtId="0" fontId="0" fillId="10" borderId="49" xfId="0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6" xfId="0" applyNumberFormat="1" applyBorder="1"/>
    <xf numFmtId="164" fontId="0" fillId="0" borderId="7" xfId="0" applyNumberFormat="1" applyBorder="1"/>
    <xf numFmtId="0" fontId="2" fillId="0" borderId="2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36" xfId="0" applyFont="1" applyBorder="1" applyAlignment="1">
      <alignment horizontal="center"/>
    </xf>
    <xf numFmtId="164" fontId="2" fillId="10" borderId="17" xfId="0" applyNumberFormat="1" applyFont="1" applyFill="1" applyBorder="1"/>
    <xf numFmtId="165" fontId="6" fillId="0" borderId="10" xfId="0" applyNumberFormat="1" applyFont="1" applyBorder="1" applyAlignment="1">
      <alignment wrapText="1"/>
    </xf>
    <xf numFmtId="0" fontId="2" fillId="11" borderId="17" xfId="0" applyFont="1" applyFill="1" applyBorder="1" applyAlignment="1">
      <alignment horizontal="center" vertical="center" wrapText="1"/>
    </xf>
    <xf numFmtId="2" fontId="0" fillId="14" borderId="9" xfId="0" applyNumberFormat="1" applyFill="1" applyBorder="1" applyAlignment="1">
      <alignment wrapText="1"/>
    </xf>
    <xf numFmtId="2" fontId="0" fillId="14" borderId="3" xfId="0" applyNumberFormat="1" applyFill="1" applyBorder="1" applyAlignment="1">
      <alignment wrapText="1"/>
    </xf>
    <xf numFmtId="10" fontId="0" fillId="14" borderId="3" xfId="0" applyNumberFormat="1" applyFill="1" applyBorder="1" applyAlignment="1">
      <alignment wrapText="1"/>
    </xf>
    <xf numFmtId="9" fontId="0" fillId="14" borderId="3" xfId="1" applyFont="1" applyFill="1" applyBorder="1"/>
    <xf numFmtId="2" fontId="0" fillId="14" borderId="3" xfId="0" applyNumberFormat="1" applyFill="1" applyBorder="1"/>
    <xf numFmtId="9" fontId="0" fillId="14" borderId="5" xfId="1" applyFont="1" applyFill="1" applyBorder="1"/>
    <xf numFmtId="2" fontId="6" fillId="14" borderId="10" xfId="0" applyNumberFormat="1" applyFont="1" applyFill="1" applyBorder="1" applyAlignment="1">
      <alignment wrapText="1"/>
    </xf>
    <xf numFmtId="0" fontId="4" fillId="0" borderId="38" xfId="0" applyFont="1" applyBorder="1" applyAlignment="1">
      <alignment horizontal="center"/>
    </xf>
    <xf numFmtId="2" fontId="0" fillId="0" borderId="3" xfId="0" applyNumberFormat="1" applyBorder="1" applyAlignment="1">
      <alignment wrapText="1"/>
    </xf>
    <xf numFmtId="2" fontId="0" fillId="0" borderId="3" xfId="0" applyNumberFormat="1" applyBorder="1"/>
    <xf numFmtId="2" fontId="6" fillId="0" borderId="9" xfId="0" applyNumberFormat="1" applyFont="1" applyBorder="1" applyAlignment="1">
      <alignment wrapText="1"/>
    </xf>
    <xf numFmtId="2" fontId="6" fillId="0" borderId="3" xfId="0" applyNumberFormat="1" applyFont="1" applyBorder="1" applyAlignment="1">
      <alignment wrapText="1"/>
    </xf>
    <xf numFmtId="2" fontId="6" fillId="0" borderId="10" xfId="0" applyNumberFormat="1" applyFont="1" applyBorder="1" applyAlignment="1">
      <alignment wrapText="1"/>
    </xf>
    <xf numFmtId="2" fontId="0" fillId="0" borderId="5" xfId="0" applyNumberFormat="1" applyBorder="1"/>
    <xf numFmtId="2" fontId="0" fillId="0" borderId="36" xfId="0" applyNumberFormat="1" applyBorder="1"/>
    <xf numFmtId="2" fontId="0" fillId="0" borderId="0" xfId="0" applyNumberFormat="1" applyBorder="1"/>
    <xf numFmtId="2" fontId="0" fillId="0" borderId="35" xfId="0" applyNumberFormat="1" applyBorder="1" applyAlignment="1">
      <alignment wrapText="1"/>
    </xf>
    <xf numFmtId="2" fontId="0" fillId="0" borderId="12" xfId="0" applyNumberFormat="1" applyBorder="1" applyAlignment="1">
      <alignment wrapText="1"/>
    </xf>
    <xf numFmtId="2" fontId="0" fillId="10" borderId="11" xfId="0" applyNumberFormat="1" applyFill="1" applyBorder="1" applyAlignment="1">
      <alignment wrapText="1"/>
    </xf>
    <xf numFmtId="2" fontId="6" fillId="10" borderId="10" xfId="0" applyNumberFormat="1" applyFont="1" applyFill="1" applyBorder="1" applyAlignment="1">
      <alignment wrapText="1"/>
    </xf>
    <xf numFmtId="2" fontId="0" fillId="10" borderId="6" xfId="0" applyNumberFormat="1" applyFill="1" applyBorder="1" applyAlignment="1">
      <alignment wrapText="1"/>
    </xf>
    <xf numFmtId="2" fontId="6" fillId="0" borderId="12" xfId="0" applyNumberFormat="1" applyFont="1" applyBorder="1" applyAlignment="1">
      <alignment wrapText="1"/>
    </xf>
    <xf numFmtId="2" fontId="0" fillId="0" borderId="12" xfId="0" applyNumberFormat="1" applyBorder="1"/>
    <xf numFmtId="2" fontId="0" fillId="0" borderId="13" xfId="0" applyNumberFormat="1" applyBorder="1"/>
    <xf numFmtId="2" fontId="2" fillId="0" borderId="36" xfId="0" applyNumberFormat="1" applyFont="1" applyBorder="1"/>
    <xf numFmtId="166" fontId="0" fillId="0" borderId="50" xfId="0" applyNumberFormat="1" applyBorder="1" applyAlignment="1">
      <alignment wrapText="1"/>
    </xf>
    <xf numFmtId="166" fontId="6" fillId="0" borderId="50" xfId="0" applyNumberFormat="1" applyFont="1" applyBorder="1" applyAlignment="1">
      <alignment wrapText="1"/>
    </xf>
    <xf numFmtId="166" fontId="0" fillId="0" borderId="57" xfId="0" applyNumberFormat="1" applyBorder="1" applyAlignment="1">
      <alignment wrapText="1"/>
    </xf>
    <xf numFmtId="0" fontId="2" fillId="15" borderId="48" xfId="0" applyFont="1" applyFill="1" applyBorder="1" applyAlignment="1">
      <alignment horizontal="center" vertical="center" wrapText="1"/>
    </xf>
    <xf numFmtId="165" fontId="0" fillId="0" borderId="49" xfId="0" applyNumberFormat="1" applyBorder="1"/>
    <xf numFmtId="0" fontId="6" fillId="0" borderId="38" xfId="0" applyFont="1" applyBorder="1" applyAlignment="1">
      <alignment horizontal="center"/>
    </xf>
    <xf numFmtId="2" fontId="4" fillId="0" borderId="3" xfId="0" applyNumberFormat="1" applyFont="1" applyBorder="1" applyAlignment="1">
      <alignment wrapText="1"/>
    </xf>
    <xf numFmtId="2" fontId="4" fillId="0" borderId="12" xfId="0" applyNumberFormat="1" applyFont="1" applyBorder="1" applyAlignment="1">
      <alignment wrapText="1"/>
    </xf>
    <xf numFmtId="165" fontId="4" fillId="0" borderId="10" xfId="0" applyNumberFormat="1" applyFont="1" applyBorder="1" applyAlignment="1">
      <alignment wrapText="1"/>
    </xf>
    <xf numFmtId="166" fontId="4" fillId="0" borderId="50" xfId="0" applyNumberFormat="1" applyFont="1" applyBorder="1" applyAlignment="1">
      <alignment wrapText="1"/>
    </xf>
    <xf numFmtId="2" fontId="4" fillId="0" borderId="3" xfId="0" applyNumberFormat="1" applyFont="1" applyBorder="1"/>
    <xf numFmtId="2" fontId="4" fillId="0" borderId="12" xfId="0" applyNumberFormat="1" applyFont="1" applyBorder="1"/>
    <xf numFmtId="165" fontId="0" fillId="0" borderId="16" xfId="0" applyNumberFormat="1" applyBorder="1"/>
    <xf numFmtId="9" fontId="0" fillId="10" borderId="5" xfId="1" applyFont="1" applyFill="1" applyBorder="1"/>
    <xf numFmtId="2" fontId="6" fillId="10" borderId="31" xfId="0" applyNumberFormat="1" applyFont="1" applyFill="1" applyBorder="1" applyAlignment="1">
      <alignment wrapText="1"/>
    </xf>
    <xf numFmtId="2" fontId="6" fillId="10" borderId="49" xfId="0" applyNumberFormat="1" applyFont="1" applyFill="1" applyBorder="1" applyAlignment="1">
      <alignment wrapText="1"/>
    </xf>
    <xf numFmtId="9" fontId="0" fillId="10" borderId="52" xfId="1" applyFont="1" applyFill="1" applyBorder="1"/>
    <xf numFmtId="2" fontId="0" fillId="10" borderId="3" xfId="0" applyNumberFormat="1" applyFill="1" applyBorder="1" applyAlignment="1">
      <alignment horizontal="right"/>
    </xf>
    <xf numFmtId="2" fontId="0" fillId="10" borderId="14" xfId="0" applyNumberFormat="1" applyFill="1" applyBorder="1" applyAlignment="1">
      <alignment horizontal="right" vertical="center" wrapText="1"/>
    </xf>
    <xf numFmtId="164" fontId="0" fillId="10" borderId="1" xfId="0" applyNumberFormat="1" applyFill="1" applyBorder="1" applyAlignment="1">
      <alignment horizontal="right"/>
    </xf>
    <xf numFmtId="164" fontId="0" fillId="10" borderId="40" xfId="0" applyNumberFormat="1" applyFill="1" applyBorder="1" applyAlignment="1">
      <alignment horizontal="right"/>
    </xf>
    <xf numFmtId="10" fontId="0" fillId="10" borderId="6" xfId="0" applyNumberFormat="1" applyFill="1" applyBorder="1" applyAlignment="1">
      <alignment horizontal="right"/>
    </xf>
    <xf numFmtId="10" fontId="0" fillId="10" borderId="7" xfId="0" applyNumberFormat="1" applyFill="1" applyBorder="1" applyAlignment="1">
      <alignment horizontal="right"/>
    </xf>
    <xf numFmtId="0" fontId="0" fillId="10" borderId="0" xfId="0" applyFill="1"/>
    <xf numFmtId="2" fontId="0" fillId="13" borderId="8" xfId="0" applyNumberFormat="1" applyFill="1" applyBorder="1"/>
    <xf numFmtId="164" fontId="0" fillId="13" borderId="26" xfId="0" applyNumberFormat="1" applyFill="1" applyBorder="1"/>
    <xf numFmtId="164" fontId="0" fillId="13" borderId="27" xfId="0" applyNumberFormat="1" applyFill="1" applyBorder="1"/>
    <xf numFmtId="0" fontId="0" fillId="10" borderId="36" xfId="0" applyFill="1" applyBorder="1"/>
    <xf numFmtId="0" fontId="0" fillId="10" borderId="34" xfId="0" applyFill="1" applyBorder="1"/>
    <xf numFmtId="0" fontId="0" fillId="10" borderId="35" xfId="0" applyFill="1" applyBorder="1"/>
    <xf numFmtId="0" fontId="2" fillId="3" borderId="22" xfId="0" applyFont="1" applyFill="1" applyBorder="1" applyAlignment="1">
      <alignment horizontal="center" wrapText="1"/>
    </xf>
    <xf numFmtId="0" fontId="2" fillId="3" borderId="2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2" xfId="0" applyFont="1" applyFill="1" applyBorder="1" applyAlignment="1">
      <alignment horizontal="center" wrapText="1"/>
    </xf>
    <xf numFmtId="0" fontId="2" fillId="3" borderId="28" xfId="0" applyFont="1" applyFill="1" applyBorder="1" applyAlignment="1">
      <alignment horizontal="center" wrapText="1"/>
    </xf>
    <xf numFmtId="0" fontId="2" fillId="3" borderId="33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herbe-fourrages-centre.fr/publications/notes-technique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CDC7-7C04-4406-845F-BD9F23F104B2}">
  <dimension ref="A1:H152"/>
  <sheetViews>
    <sheetView tabSelected="1" topLeftCell="A124" zoomScale="80" zoomScaleNormal="80" workbookViewId="0">
      <selection activeCell="K133" sqref="K133"/>
    </sheetView>
  </sheetViews>
  <sheetFormatPr baseColWidth="10" defaultRowHeight="14.4" x14ac:dyDescent="0.3"/>
  <cols>
    <col min="2" max="2" width="12" customWidth="1"/>
    <col min="3" max="3" width="13" customWidth="1"/>
    <col min="4" max="4" width="12.44140625" customWidth="1"/>
    <col min="6" max="6" width="14.6640625" customWidth="1"/>
    <col min="7" max="7" width="14.33203125" customWidth="1"/>
    <col min="8" max="8" width="13.44140625" customWidth="1"/>
  </cols>
  <sheetData>
    <row r="1" spans="1:8" ht="15" thickBot="1" x14ac:dyDescent="0.35">
      <c r="D1" s="35" t="s">
        <v>38</v>
      </c>
    </row>
    <row r="2" spans="1:8" ht="29.4" thickBot="1" x14ac:dyDescent="0.35">
      <c r="A2" s="36" t="s">
        <v>15</v>
      </c>
      <c r="B2" s="64" t="s">
        <v>16</v>
      </c>
      <c r="C2" s="63" t="s">
        <v>17</v>
      </c>
      <c r="D2" s="60" t="s">
        <v>18</v>
      </c>
      <c r="E2" s="61" t="s">
        <v>69</v>
      </c>
      <c r="F2" s="61" t="s">
        <v>71</v>
      </c>
      <c r="G2" s="38" t="s">
        <v>22</v>
      </c>
      <c r="H2" s="39" t="s">
        <v>23</v>
      </c>
    </row>
    <row r="3" spans="1:8" x14ac:dyDescent="0.3">
      <c r="A3" s="186">
        <v>0</v>
      </c>
      <c r="B3" s="44">
        <v>6083</v>
      </c>
      <c r="C3" s="45"/>
      <c r="D3" s="45"/>
      <c r="E3" s="46"/>
      <c r="F3" s="46"/>
      <c r="G3" s="65">
        <f>(C3+E3)-(B3+D3+F3)</f>
        <v>-6083</v>
      </c>
      <c r="H3" s="41">
        <f>G3/(1+4.5%)^A3</f>
        <v>-6083</v>
      </c>
    </row>
    <row r="4" spans="1:8" x14ac:dyDescent="0.3">
      <c r="A4" s="187">
        <v>1</v>
      </c>
      <c r="B4" s="47">
        <v>500</v>
      </c>
      <c r="C4" s="48"/>
      <c r="D4" s="49"/>
      <c r="E4" s="50"/>
      <c r="F4" s="50"/>
      <c r="G4" s="66">
        <f t="shared" ref="G4:G67" si="0">(C4+E4)-(B4+D4+F4)</f>
        <v>-500</v>
      </c>
      <c r="H4" s="42">
        <f t="shared" ref="H4:H67" si="1">G4/(1+4.5%)^A4</f>
        <v>-478.46889952153111</v>
      </c>
    </row>
    <row r="5" spans="1:8" x14ac:dyDescent="0.3">
      <c r="A5" s="187">
        <v>2</v>
      </c>
      <c r="B5" s="47">
        <v>500</v>
      </c>
      <c r="C5" s="48"/>
      <c r="D5" s="49"/>
      <c r="E5" s="50"/>
      <c r="F5" s="50"/>
      <c r="G5" s="66">
        <f t="shared" si="0"/>
        <v>-500</v>
      </c>
      <c r="H5" s="42">
        <f t="shared" si="1"/>
        <v>-457.86497561869015</v>
      </c>
    </row>
    <row r="6" spans="1:8" x14ac:dyDescent="0.3">
      <c r="A6" s="187">
        <v>3</v>
      </c>
      <c r="B6" s="47"/>
      <c r="C6" s="48"/>
      <c r="D6" s="48"/>
      <c r="E6" s="50"/>
      <c r="F6" s="50"/>
      <c r="G6" s="66">
        <f t="shared" si="0"/>
        <v>0</v>
      </c>
      <c r="H6" s="42">
        <f t="shared" si="1"/>
        <v>0</v>
      </c>
    </row>
    <row r="7" spans="1:8" x14ac:dyDescent="0.3">
      <c r="A7" s="187">
        <v>4</v>
      </c>
      <c r="B7" s="47">
        <v>500</v>
      </c>
      <c r="C7" s="48"/>
      <c r="D7" s="48">
        <f>2*550+2*550</f>
        <v>2200</v>
      </c>
      <c r="E7" s="50"/>
      <c r="F7" s="50"/>
      <c r="G7" s="66">
        <f t="shared" si="0"/>
        <v>-2700</v>
      </c>
      <c r="H7" s="42">
        <f t="shared" si="1"/>
        <v>-2264.1156277016803</v>
      </c>
    </row>
    <row r="8" spans="1:8" x14ac:dyDescent="0.3">
      <c r="A8" s="187">
        <v>5</v>
      </c>
      <c r="B8" s="47"/>
      <c r="C8" s="48"/>
      <c r="D8" s="48">
        <f t="shared" ref="D8:D12" si="2">2*550+2*550</f>
        <v>2200</v>
      </c>
      <c r="E8" s="50"/>
      <c r="F8" s="50"/>
      <c r="G8" s="66">
        <f t="shared" si="0"/>
        <v>-2200</v>
      </c>
      <c r="H8" s="42">
        <f t="shared" si="1"/>
        <v>-1765.392302301505</v>
      </c>
    </row>
    <row r="9" spans="1:8" x14ac:dyDescent="0.3">
      <c r="A9" s="187">
        <v>6</v>
      </c>
      <c r="B9" s="47"/>
      <c r="C9" s="48"/>
      <c r="D9" s="48">
        <f t="shared" si="2"/>
        <v>2200</v>
      </c>
      <c r="E9" s="50"/>
      <c r="F9" s="50"/>
      <c r="G9" s="66">
        <f t="shared" si="0"/>
        <v>-2200</v>
      </c>
      <c r="H9" s="42">
        <f t="shared" si="1"/>
        <v>-1689.370624211967</v>
      </c>
    </row>
    <row r="10" spans="1:8" x14ac:dyDescent="0.3">
      <c r="A10" s="187">
        <v>7</v>
      </c>
      <c r="B10" s="47"/>
      <c r="C10" s="48"/>
      <c r="D10" s="48">
        <f t="shared" si="2"/>
        <v>2200</v>
      </c>
      <c r="E10" s="50"/>
      <c r="F10" s="50"/>
      <c r="G10" s="66">
        <f t="shared" si="0"/>
        <v>-2200</v>
      </c>
      <c r="H10" s="42">
        <f t="shared" si="1"/>
        <v>-1616.6226069014037</v>
      </c>
    </row>
    <row r="11" spans="1:8" x14ac:dyDescent="0.3">
      <c r="A11" s="187">
        <v>8</v>
      </c>
      <c r="B11" s="47"/>
      <c r="C11" s="48"/>
      <c r="D11" s="48">
        <f t="shared" si="2"/>
        <v>2200</v>
      </c>
      <c r="E11" s="50"/>
      <c r="F11" s="50"/>
      <c r="G11" s="66">
        <f t="shared" si="0"/>
        <v>-2200</v>
      </c>
      <c r="H11" s="42">
        <f t="shared" si="1"/>
        <v>-1547.0072793314873</v>
      </c>
    </row>
    <row r="12" spans="1:8" x14ac:dyDescent="0.3">
      <c r="A12" s="187">
        <v>9</v>
      </c>
      <c r="B12" s="47"/>
      <c r="C12" s="48"/>
      <c r="D12" s="48">
        <f t="shared" si="2"/>
        <v>2200</v>
      </c>
      <c r="E12" s="50"/>
      <c r="F12" s="50"/>
      <c r="G12" s="66">
        <f t="shared" si="0"/>
        <v>-2200</v>
      </c>
      <c r="H12" s="42">
        <f t="shared" si="1"/>
        <v>-1480.3897409870692</v>
      </c>
    </row>
    <row r="13" spans="1:8" x14ac:dyDescent="0.3">
      <c r="A13" s="187">
        <v>10</v>
      </c>
      <c r="B13" s="47"/>
      <c r="C13" s="48"/>
      <c r="D13" s="48"/>
      <c r="E13" s="50"/>
      <c r="F13" s="50"/>
      <c r="G13" s="66">
        <f t="shared" si="0"/>
        <v>0</v>
      </c>
      <c r="H13" s="42">
        <f t="shared" si="1"/>
        <v>0</v>
      </c>
    </row>
    <row r="14" spans="1:8" x14ac:dyDescent="0.3">
      <c r="A14" s="187">
        <v>11</v>
      </c>
      <c r="B14" s="47"/>
      <c r="C14" s="48"/>
      <c r="D14" s="48"/>
      <c r="E14" s="50"/>
      <c r="F14" s="50"/>
      <c r="G14" s="66">
        <f t="shared" si="0"/>
        <v>0</v>
      </c>
      <c r="H14" s="42">
        <f t="shared" si="1"/>
        <v>0</v>
      </c>
    </row>
    <row r="15" spans="1:8" x14ac:dyDescent="0.3">
      <c r="A15" s="187">
        <v>12</v>
      </c>
      <c r="B15" s="47"/>
      <c r="C15" s="48"/>
      <c r="D15" s="48"/>
      <c r="E15" s="50"/>
      <c r="F15" s="50"/>
      <c r="G15" s="66">
        <f t="shared" si="0"/>
        <v>0</v>
      </c>
      <c r="H15" s="42">
        <f t="shared" si="1"/>
        <v>0</v>
      </c>
    </row>
    <row r="16" spans="1:8" x14ac:dyDescent="0.3">
      <c r="A16" s="187">
        <v>13</v>
      </c>
      <c r="B16" s="47"/>
      <c r="C16" s="48"/>
      <c r="D16" s="48"/>
      <c r="E16" s="50"/>
      <c r="F16" s="50"/>
      <c r="G16" s="66">
        <f t="shared" si="0"/>
        <v>0</v>
      </c>
      <c r="H16" s="42">
        <f t="shared" si="1"/>
        <v>0</v>
      </c>
    </row>
    <row r="17" spans="1:8" x14ac:dyDescent="0.3">
      <c r="A17" s="187">
        <v>14</v>
      </c>
      <c r="B17" s="47"/>
      <c r="C17" s="48"/>
      <c r="D17" s="48"/>
      <c r="E17" s="50"/>
      <c r="F17" s="50"/>
      <c r="G17" s="66">
        <f t="shared" si="0"/>
        <v>0</v>
      </c>
      <c r="H17" s="42">
        <f t="shared" si="1"/>
        <v>0</v>
      </c>
    </row>
    <row r="18" spans="1:8" x14ac:dyDescent="0.3">
      <c r="A18" s="187">
        <v>15</v>
      </c>
      <c r="B18" s="47"/>
      <c r="C18" s="48"/>
      <c r="D18" s="48"/>
      <c r="E18" s="50"/>
      <c r="F18" s="50"/>
      <c r="G18" s="66">
        <f t="shared" si="0"/>
        <v>0</v>
      </c>
      <c r="H18" s="42">
        <f t="shared" si="1"/>
        <v>0</v>
      </c>
    </row>
    <row r="19" spans="1:8" x14ac:dyDescent="0.3">
      <c r="A19" s="187">
        <v>16</v>
      </c>
      <c r="B19" s="47"/>
      <c r="C19" s="48"/>
      <c r="D19" s="48"/>
      <c r="E19" s="50"/>
      <c r="F19" s="50"/>
      <c r="G19" s="66">
        <f t="shared" si="0"/>
        <v>0</v>
      </c>
      <c r="H19" s="42">
        <f t="shared" si="1"/>
        <v>0</v>
      </c>
    </row>
    <row r="20" spans="1:8" x14ac:dyDescent="0.3">
      <c r="A20" s="187">
        <v>17</v>
      </c>
      <c r="B20" s="47"/>
      <c r="C20" s="48"/>
      <c r="D20" s="48"/>
      <c r="E20" s="50"/>
      <c r="F20" s="50"/>
      <c r="G20" s="66">
        <f t="shared" si="0"/>
        <v>0</v>
      </c>
      <c r="H20" s="42">
        <f t="shared" si="1"/>
        <v>0</v>
      </c>
    </row>
    <row r="21" spans="1:8" x14ac:dyDescent="0.3">
      <c r="A21" s="187">
        <v>18</v>
      </c>
      <c r="B21" s="47"/>
      <c r="C21" s="48"/>
      <c r="D21" s="48"/>
      <c r="E21" s="50"/>
      <c r="F21" s="50"/>
      <c r="G21" s="66">
        <f t="shared" si="0"/>
        <v>0</v>
      </c>
      <c r="H21" s="42">
        <f t="shared" si="1"/>
        <v>0</v>
      </c>
    </row>
    <row r="22" spans="1:8" x14ac:dyDescent="0.3">
      <c r="A22" s="187">
        <v>19</v>
      </c>
      <c r="B22" s="47"/>
      <c r="C22" s="48"/>
      <c r="D22" s="48"/>
      <c r="E22" s="50"/>
      <c r="F22" s="50"/>
      <c r="G22" s="66">
        <f t="shared" si="0"/>
        <v>0</v>
      </c>
      <c r="H22" s="42">
        <f t="shared" si="1"/>
        <v>0</v>
      </c>
    </row>
    <row r="23" spans="1:8" x14ac:dyDescent="0.3">
      <c r="A23" s="187">
        <v>20</v>
      </c>
      <c r="B23" s="47"/>
      <c r="C23" s="48"/>
      <c r="D23" s="48"/>
      <c r="E23" s="50"/>
      <c r="F23" s="50"/>
      <c r="G23" s="66">
        <f t="shared" si="0"/>
        <v>0</v>
      </c>
      <c r="H23" s="42">
        <f t="shared" si="1"/>
        <v>0</v>
      </c>
    </row>
    <row r="24" spans="1:8" x14ac:dyDescent="0.3">
      <c r="A24" s="187">
        <v>21</v>
      </c>
      <c r="B24" s="47"/>
      <c r="C24" s="48"/>
      <c r="D24" s="48"/>
      <c r="E24" s="50"/>
      <c r="F24" s="50"/>
      <c r="G24" s="66">
        <f t="shared" si="0"/>
        <v>0</v>
      </c>
      <c r="H24" s="42">
        <f t="shared" si="1"/>
        <v>0</v>
      </c>
    </row>
    <row r="25" spans="1:8" x14ac:dyDescent="0.3">
      <c r="A25" s="187">
        <v>22</v>
      </c>
      <c r="B25" s="47"/>
      <c r="C25" s="48"/>
      <c r="D25" s="48"/>
      <c r="E25" s="50"/>
      <c r="F25" s="50"/>
      <c r="G25" s="66">
        <f t="shared" si="0"/>
        <v>0</v>
      </c>
      <c r="H25" s="42">
        <f t="shared" si="1"/>
        <v>0</v>
      </c>
    </row>
    <row r="26" spans="1:8" x14ac:dyDescent="0.3">
      <c r="A26" s="187">
        <v>23</v>
      </c>
      <c r="B26" s="47"/>
      <c r="C26" s="48"/>
      <c r="D26" s="48"/>
      <c r="E26" s="50"/>
      <c r="F26" s="50"/>
      <c r="G26" s="66">
        <f t="shared" si="0"/>
        <v>0</v>
      </c>
      <c r="H26" s="42">
        <f t="shared" si="1"/>
        <v>0</v>
      </c>
    </row>
    <row r="27" spans="1:8" x14ac:dyDescent="0.3">
      <c r="A27" s="187">
        <v>24</v>
      </c>
      <c r="B27" s="47"/>
      <c r="C27" s="48"/>
      <c r="D27" s="48"/>
      <c r="E27" s="50"/>
      <c r="F27" s="50"/>
      <c r="G27" s="66">
        <f t="shared" si="0"/>
        <v>0</v>
      </c>
      <c r="H27" s="42">
        <f t="shared" si="1"/>
        <v>0</v>
      </c>
    </row>
    <row r="28" spans="1:8" x14ac:dyDescent="0.3">
      <c r="A28" s="187">
        <v>25</v>
      </c>
      <c r="B28" s="47"/>
      <c r="C28" s="48"/>
      <c r="D28" s="48"/>
      <c r="E28" s="50"/>
      <c r="F28" s="50"/>
      <c r="G28" s="66">
        <f t="shared" si="0"/>
        <v>0</v>
      </c>
      <c r="H28" s="42">
        <f t="shared" si="1"/>
        <v>0</v>
      </c>
    </row>
    <row r="29" spans="1:8" x14ac:dyDescent="0.3">
      <c r="A29" s="187">
        <v>26</v>
      </c>
      <c r="B29" s="47"/>
      <c r="C29" s="48"/>
      <c r="D29" s="48"/>
      <c r="E29" s="50"/>
      <c r="F29" s="50"/>
      <c r="G29" s="66">
        <f t="shared" si="0"/>
        <v>0</v>
      </c>
      <c r="H29" s="42">
        <f t="shared" si="1"/>
        <v>0</v>
      </c>
    </row>
    <row r="30" spans="1:8" x14ac:dyDescent="0.3">
      <c r="A30" s="187">
        <v>27</v>
      </c>
      <c r="B30" s="47"/>
      <c r="C30" s="48"/>
      <c r="D30" s="48"/>
      <c r="E30" s="50"/>
      <c r="F30" s="50"/>
      <c r="G30" s="66">
        <f t="shared" si="0"/>
        <v>0</v>
      </c>
      <c r="H30" s="42">
        <f t="shared" si="1"/>
        <v>0</v>
      </c>
    </row>
    <row r="31" spans="1:8" x14ac:dyDescent="0.3">
      <c r="A31" s="187">
        <v>28</v>
      </c>
      <c r="B31" s="47"/>
      <c r="C31" s="48"/>
      <c r="D31" s="48"/>
      <c r="E31" s="50"/>
      <c r="F31" s="50"/>
      <c r="G31" s="66">
        <f t="shared" si="0"/>
        <v>0</v>
      </c>
      <c r="H31" s="42">
        <f t="shared" si="1"/>
        <v>0</v>
      </c>
    </row>
    <row r="32" spans="1:8" x14ac:dyDescent="0.3">
      <c r="A32" s="187">
        <v>29</v>
      </c>
      <c r="B32" s="51"/>
      <c r="C32" s="52"/>
      <c r="D32" s="48"/>
      <c r="E32" s="53"/>
      <c r="F32" s="50"/>
      <c r="G32" s="66">
        <f t="shared" si="0"/>
        <v>0</v>
      </c>
      <c r="H32" s="42">
        <f t="shared" si="1"/>
        <v>0</v>
      </c>
    </row>
    <row r="33" spans="1:8" x14ac:dyDescent="0.3">
      <c r="A33" s="187">
        <v>30</v>
      </c>
      <c r="B33" s="51"/>
      <c r="C33" s="52"/>
      <c r="D33" s="48"/>
      <c r="E33" s="53"/>
      <c r="F33" s="50"/>
      <c r="G33" s="66">
        <f t="shared" si="0"/>
        <v>0</v>
      </c>
      <c r="H33" s="42">
        <f t="shared" si="1"/>
        <v>0</v>
      </c>
    </row>
    <row r="34" spans="1:8" x14ac:dyDescent="0.3">
      <c r="A34" s="187">
        <v>31</v>
      </c>
      <c r="B34" s="51"/>
      <c r="C34" s="52"/>
      <c r="D34" s="48"/>
      <c r="E34" s="53"/>
      <c r="F34" s="50"/>
      <c r="G34" s="66">
        <f t="shared" si="0"/>
        <v>0</v>
      </c>
      <c r="H34" s="42">
        <f t="shared" si="1"/>
        <v>0</v>
      </c>
    </row>
    <row r="35" spans="1:8" x14ac:dyDescent="0.3">
      <c r="A35" s="187">
        <v>32</v>
      </c>
      <c r="B35" s="51"/>
      <c r="C35" s="52"/>
      <c r="D35" s="48">
        <v>75</v>
      </c>
      <c r="E35" s="53"/>
      <c r="F35" s="50"/>
      <c r="G35" s="66">
        <f t="shared" si="0"/>
        <v>-75</v>
      </c>
      <c r="H35" s="42">
        <f t="shared" si="1"/>
        <v>-18.337493338545574</v>
      </c>
    </row>
    <row r="36" spans="1:8" x14ac:dyDescent="0.3">
      <c r="A36" s="187">
        <v>33</v>
      </c>
      <c r="B36" s="51"/>
      <c r="C36" s="52">
        <v>259.0031927029633</v>
      </c>
      <c r="D36" s="48">
        <f>C36*12%</f>
        <v>31.080383124355595</v>
      </c>
      <c r="E36" s="53">
        <f>20.7868098453407*3</f>
        <v>62.360429536022096</v>
      </c>
      <c r="F36" s="50">
        <f>E36*12%</f>
        <v>7.483251544322651</v>
      </c>
      <c r="G36" s="66">
        <f t="shared" si="0"/>
        <v>282.79998757030717</v>
      </c>
      <c r="H36" s="42">
        <f t="shared" si="1"/>
        <v>66.167054395040253</v>
      </c>
    </row>
    <row r="37" spans="1:8" x14ac:dyDescent="0.3">
      <c r="A37" s="187">
        <v>34</v>
      </c>
      <c r="B37" s="51"/>
      <c r="C37" s="52"/>
      <c r="D37" s="48"/>
      <c r="E37" s="53"/>
      <c r="F37" s="50"/>
      <c r="G37" s="66">
        <f t="shared" si="0"/>
        <v>0</v>
      </c>
      <c r="H37" s="42">
        <f t="shared" si="1"/>
        <v>0</v>
      </c>
    </row>
    <row r="38" spans="1:8" x14ac:dyDescent="0.3">
      <c r="A38" s="187">
        <v>35</v>
      </c>
      <c r="B38" s="51"/>
      <c r="C38" s="52"/>
      <c r="D38" s="48"/>
      <c r="E38" s="53"/>
      <c r="F38" s="50"/>
      <c r="G38" s="66">
        <f t="shared" si="0"/>
        <v>0</v>
      </c>
      <c r="H38" s="42">
        <f t="shared" si="1"/>
        <v>0</v>
      </c>
    </row>
    <row r="39" spans="1:8" x14ac:dyDescent="0.3">
      <c r="A39" s="187">
        <v>36</v>
      </c>
      <c r="B39" s="51"/>
      <c r="C39" s="52"/>
      <c r="D39" s="48"/>
      <c r="E39" s="53"/>
      <c r="F39" s="50"/>
      <c r="G39" s="66">
        <f t="shared" si="0"/>
        <v>0</v>
      </c>
      <c r="H39" s="42">
        <f t="shared" si="1"/>
        <v>0</v>
      </c>
    </row>
    <row r="40" spans="1:8" x14ac:dyDescent="0.3">
      <c r="A40" s="187">
        <v>37</v>
      </c>
      <c r="B40" s="51"/>
      <c r="C40" s="52"/>
      <c r="D40" s="48"/>
      <c r="E40" s="53"/>
      <c r="F40" s="50"/>
      <c r="G40" s="66">
        <f t="shared" si="0"/>
        <v>0</v>
      </c>
      <c r="H40" s="42">
        <f t="shared" si="1"/>
        <v>0</v>
      </c>
    </row>
    <row r="41" spans="1:8" x14ac:dyDescent="0.3">
      <c r="A41" s="187">
        <v>38</v>
      </c>
      <c r="B41" s="51"/>
      <c r="C41" s="52"/>
      <c r="D41" s="48"/>
      <c r="E41" s="53"/>
      <c r="F41" s="50"/>
      <c r="G41" s="66">
        <f t="shared" si="0"/>
        <v>0</v>
      </c>
      <c r="H41" s="42">
        <f t="shared" si="1"/>
        <v>0</v>
      </c>
    </row>
    <row r="42" spans="1:8" x14ac:dyDescent="0.3">
      <c r="A42" s="187">
        <v>39</v>
      </c>
      <c r="B42" s="51"/>
      <c r="C42" s="52"/>
      <c r="D42" s="48"/>
      <c r="E42" s="53"/>
      <c r="F42" s="50"/>
      <c r="G42" s="66">
        <f t="shared" si="0"/>
        <v>0</v>
      </c>
      <c r="H42" s="42">
        <f t="shared" si="1"/>
        <v>0</v>
      </c>
    </row>
    <row r="43" spans="1:8" x14ac:dyDescent="0.3">
      <c r="A43" s="187">
        <v>40</v>
      </c>
      <c r="B43" s="51"/>
      <c r="C43" s="52"/>
      <c r="D43" s="48">
        <v>75</v>
      </c>
      <c r="E43" s="53"/>
      <c r="F43" s="50"/>
      <c r="G43" s="66">
        <f t="shared" si="0"/>
        <v>-75</v>
      </c>
      <c r="H43" s="42">
        <f t="shared" si="1"/>
        <v>-12.894652581555755</v>
      </c>
    </row>
    <row r="44" spans="1:8" x14ac:dyDescent="0.3">
      <c r="A44" s="187">
        <v>41</v>
      </c>
      <c r="B44" s="51"/>
      <c r="C44" s="52">
        <v>559.92987601706625</v>
      </c>
      <c r="D44" s="48">
        <f>C44*12%</f>
        <v>67.191585122047954</v>
      </c>
      <c r="E44" s="53">
        <f>43.6616341292297*3</f>
        <v>130.98490238768909</v>
      </c>
      <c r="F44" s="50">
        <f>E44*12%</f>
        <v>15.71818828652269</v>
      </c>
      <c r="G44" s="66">
        <f t="shared" si="0"/>
        <v>608.00500499618465</v>
      </c>
      <c r="H44" s="42">
        <f t="shared" si="1"/>
        <v>100.03206771640029</v>
      </c>
    </row>
    <row r="45" spans="1:8" x14ac:dyDescent="0.3">
      <c r="A45" s="187">
        <v>42</v>
      </c>
      <c r="B45" s="51"/>
      <c r="C45" s="52"/>
      <c r="D45" s="48"/>
      <c r="E45" s="53"/>
      <c r="F45" s="50"/>
      <c r="G45" s="66">
        <f t="shared" si="0"/>
        <v>0</v>
      </c>
      <c r="H45" s="42">
        <f t="shared" si="1"/>
        <v>0</v>
      </c>
    </row>
    <row r="46" spans="1:8" x14ac:dyDescent="0.3">
      <c r="A46" s="187">
        <v>43</v>
      </c>
      <c r="B46" s="51"/>
      <c r="C46" s="52"/>
      <c r="D46" s="48"/>
      <c r="E46" s="53"/>
      <c r="F46" s="50"/>
      <c r="G46" s="66">
        <f t="shared" si="0"/>
        <v>0</v>
      </c>
      <c r="H46" s="42">
        <f t="shared" si="1"/>
        <v>0</v>
      </c>
    </row>
    <row r="47" spans="1:8" x14ac:dyDescent="0.3">
      <c r="A47" s="187">
        <v>44</v>
      </c>
      <c r="B47" s="51"/>
      <c r="C47" s="52"/>
      <c r="D47" s="48"/>
      <c r="E47" s="53"/>
      <c r="F47" s="50"/>
      <c r="G47" s="66">
        <f t="shared" si="0"/>
        <v>0</v>
      </c>
      <c r="H47" s="42">
        <f t="shared" si="1"/>
        <v>0</v>
      </c>
    </row>
    <row r="48" spans="1:8" x14ac:dyDescent="0.3">
      <c r="A48" s="187">
        <v>45</v>
      </c>
      <c r="B48" s="51"/>
      <c r="C48" s="52"/>
      <c r="D48" s="48"/>
      <c r="E48" s="53"/>
      <c r="F48" s="50"/>
      <c r="G48" s="66">
        <f t="shared" si="0"/>
        <v>0</v>
      </c>
      <c r="H48" s="42">
        <f t="shared" si="1"/>
        <v>0</v>
      </c>
    </row>
    <row r="49" spans="1:8" x14ac:dyDescent="0.3">
      <c r="A49" s="187">
        <v>46</v>
      </c>
      <c r="B49" s="51"/>
      <c r="C49" s="52"/>
      <c r="D49" s="48"/>
      <c r="E49" s="53"/>
      <c r="F49" s="50"/>
      <c r="G49" s="66">
        <f t="shared" si="0"/>
        <v>0</v>
      </c>
      <c r="H49" s="42">
        <f t="shared" si="1"/>
        <v>0</v>
      </c>
    </row>
    <row r="50" spans="1:8" x14ac:dyDescent="0.3">
      <c r="A50" s="187">
        <v>47</v>
      </c>
      <c r="B50" s="51"/>
      <c r="C50" s="52"/>
      <c r="D50" s="48"/>
      <c r="E50" s="53"/>
      <c r="F50" s="50"/>
      <c r="G50" s="66">
        <f t="shared" si="0"/>
        <v>0</v>
      </c>
      <c r="H50" s="42">
        <f t="shared" si="1"/>
        <v>0</v>
      </c>
    </row>
    <row r="51" spans="1:8" x14ac:dyDescent="0.3">
      <c r="A51" s="187">
        <v>48</v>
      </c>
      <c r="B51" s="54"/>
      <c r="C51" s="52"/>
      <c r="D51" s="48"/>
      <c r="E51" s="53"/>
      <c r="F51" s="50"/>
      <c r="G51" s="66">
        <f t="shared" si="0"/>
        <v>0</v>
      </c>
      <c r="H51" s="42">
        <f t="shared" si="1"/>
        <v>0</v>
      </c>
    </row>
    <row r="52" spans="1:8" x14ac:dyDescent="0.3">
      <c r="A52" s="187">
        <v>49</v>
      </c>
      <c r="B52" s="54"/>
      <c r="C52" s="52"/>
      <c r="D52" s="48"/>
      <c r="E52" s="53"/>
      <c r="F52" s="50"/>
      <c r="G52" s="66">
        <f t="shared" si="0"/>
        <v>0</v>
      </c>
      <c r="H52" s="42">
        <f t="shared" si="1"/>
        <v>0</v>
      </c>
    </row>
    <row r="53" spans="1:8" x14ac:dyDescent="0.3">
      <c r="A53" s="187">
        <v>50</v>
      </c>
      <c r="B53" s="54"/>
      <c r="C53" s="52"/>
      <c r="D53" s="48"/>
      <c r="E53" s="53"/>
      <c r="F53" s="50"/>
      <c r="G53" s="66">
        <f t="shared" si="0"/>
        <v>0</v>
      </c>
      <c r="H53" s="42">
        <f t="shared" si="1"/>
        <v>0</v>
      </c>
    </row>
    <row r="54" spans="1:8" x14ac:dyDescent="0.3">
      <c r="A54" s="187">
        <v>51</v>
      </c>
      <c r="B54" s="54"/>
      <c r="C54" s="52"/>
      <c r="D54" s="48"/>
      <c r="E54" s="53"/>
      <c r="F54" s="50"/>
      <c r="G54" s="66">
        <f t="shared" si="0"/>
        <v>0</v>
      </c>
      <c r="H54" s="42">
        <f t="shared" si="1"/>
        <v>0</v>
      </c>
    </row>
    <row r="55" spans="1:8" x14ac:dyDescent="0.3">
      <c r="A55" s="187">
        <v>52</v>
      </c>
      <c r="B55" s="54"/>
      <c r="C55" s="52"/>
      <c r="D55" s="48"/>
      <c r="E55" s="53">
        <f>118.482305146166*3</f>
        <v>355.44691543849797</v>
      </c>
      <c r="F55" s="50">
        <f t="shared" ref="F55:F63" si="3">E55*12%</f>
        <v>42.653629852619751</v>
      </c>
      <c r="G55" s="66">
        <f t="shared" si="0"/>
        <v>312.79328558587821</v>
      </c>
      <c r="H55" s="42">
        <f t="shared" si="1"/>
        <v>31.711027823372955</v>
      </c>
    </row>
    <row r="56" spans="1:8" x14ac:dyDescent="0.3">
      <c r="A56" s="187">
        <v>53</v>
      </c>
      <c r="B56" s="54"/>
      <c r="C56" s="52"/>
      <c r="D56" s="48"/>
      <c r="E56" s="53"/>
      <c r="F56" s="50"/>
      <c r="G56" s="66">
        <f t="shared" si="0"/>
        <v>0</v>
      </c>
      <c r="H56" s="42">
        <f t="shared" si="1"/>
        <v>0</v>
      </c>
    </row>
    <row r="57" spans="1:8" x14ac:dyDescent="0.3">
      <c r="A57" s="187">
        <v>54</v>
      </c>
      <c r="B57" s="54"/>
      <c r="C57" s="52"/>
      <c r="D57" s="48">
        <v>75</v>
      </c>
      <c r="E57" s="53"/>
      <c r="F57" s="50"/>
      <c r="G57" s="66">
        <f t="shared" si="0"/>
        <v>-75</v>
      </c>
      <c r="H57" s="42">
        <f t="shared" si="1"/>
        <v>-6.9627624617948847</v>
      </c>
    </row>
    <row r="58" spans="1:8" x14ac:dyDescent="0.3">
      <c r="A58" s="187">
        <v>55</v>
      </c>
      <c r="B58" s="54"/>
      <c r="C58" s="52">
        <v>1789.2640388394852</v>
      </c>
      <c r="D58" s="48">
        <f>C58*12%</f>
        <v>214.71168466073823</v>
      </c>
      <c r="E58" s="53"/>
      <c r="F58" s="50"/>
      <c r="G58" s="66">
        <f t="shared" si="0"/>
        <v>1574.552354178747</v>
      </c>
      <c r="H58" s="42">
        <f t="shared" si="1"/>
        <v>139.88177385399098</v>
      </c>
    </row>
    <row r="59" spans="1:8" x14ac:dyDescent="0.3">
      <c r="A59" s="187">
        <v>56</v>
      </c>
      <c r="B59" s="54"/>
      <c r="C59" s="52"/>
      <c r="D59" s="48"/>
      <c r="E59" s="53"/>
      <c r="F59" s="50"/>
      <c r="G59" s="66">
        <f t="shared" si="0"/>
        <v>0</v>
      </c>
      <c r="H59" s="42">
        <f t="shared" si="1"/>
        <v>0</v>
      </c>
    </row>
    <row r="60" spans="1:8" x14ac:dyDescent="0.3">
      <c r="A60" s="187">
        <v>57</v>
      </c>
      <c r="B60" s="54"/>
      <c r="C60" s="52"/>
      <c r="D60" s="48"/>
      <c r="E60" s="53"/>
      <c r="F60" s="50"/>
      <c r="G60" s="66">
        <f t="shared" si="0"/>
        <v>0</v>
      </c>
      <c r="H60" s="42">
        <f t="shared" si="1"/>
        <v>0</v>
      </c>
    </row>
    <row r="61" spans="1:8" x14ac:dyDescent="0.3">
      <c r="A61" s="187">
        <v>58</v>
      </c>
      <c r="B61" s="54"/>
      <c r="C61" s="52"/>
      <c r="D61" s="48"/>
      <c r="E61" s="53"/>
      <c r="F61" s="50"/>
      <c r="G61" s="66">
        <f t="shared" si="0"/>
        <v>0</v>
      </c>
      <c r="H61" s="42">
        <f t="shared" si="1"/>
        <v>0</v>
      </c>
    </row>
    <row r="62" spans="1:8" x14ac:dyDescent="0.3">
      <c r="A62" s="187">
        <v>59</v>
      </c>
      <c r="B62" s="54"/>
      <c r="C62" s="52"/>
      <c r="D62" s="48"/>
      <c r="E62" s="53"/>
      <c r="F62" s="50"/>
      <c r="G62" s="66">
        <f t="shared" si="0"/>
        <v>0</v>
      </c>
      <c r="H62" s="42">
        <f t="shared" si="1"/>
        <v>0</v>
      </c>
    </row>
    <row r="63" spans="1:8" x14ac:dyDescent="0.3">
      <c r="A63" s="187">
        <v>60</v>
      </c>
      <c r="B63" s="54"/>
      <c r="C63" s="52"/>
      <c r="D63" s="48"/>
      <c r="E63" s="53">
        <f>6135.50601457964*3</f>
        <v>18406.518043738921</v>
      </c>
      <c r="F63" s="50">
        <f t="shared" si="3"/>
        <v>2208.7821652486705</v>
      </c>
      <c r="G63" s="66">
        <f t="shared" si="0"/>
        <v>16197.73587849025</v>
      </c>
      <c r="H63" s="42">
        <f t="shared" si="1"/>
        <v>1154.7205271709283</v>
      </c>
    </row>
    <row r="64" spans="1:8" x14ac:dyDescent="0.3">
      <c r="A64" s="187">
        <v>61</v>
      </c>
      <c r="B64" s="54"/>
      <c r="C64" s="52"/>
      <c r="D64" s="48"/>
      <c r="E64" s="53"/>
      <c r="F64" s="50"/>
      <c r="G64" s="66">
        <f t="shared" si="0"/>
        <v>0</v>
      </c>
      <c r="H64" s="42">
        <f t="shared" si="1"/>
        <v>0</v>
      </c>
    </row>
    <row r="65" spans="1:8" x14ac:dyDescent="0.3">
      <c r="A65" s="187">
        <v>62</v>
      </c>
      <c r="B65" s="54"/>
      <c r="C65" s="52"/>
      <c r="D65" s="48"/>
      <c r="E65" s="53"/>
      <c r="F65" s="50"/>
      <c r="G65" s="66">
        <f t="shared" si="0"/>
        <v>0</v>
      </c>
      <c r="H65" s="42">
        <f t="shared" si="1"/>
        <v>0</v>
      </c>
    </row>
    <row r="66" spans="1:8" x14ac:dyDescent="0.3">
      <c r="A66" s="187">
        <v>63</v>
      </c>
      <c r="B66" s="54"/>
      <c r="C66" s="52"/>
      <c r="D66" s="48"/>
      <c r="E66" s="53"/>
      <c r="F66" s="50"/>
      <c r="G66" s="66">
        <f t="shared" si="0"/>
        <v>0</v>
      </c>
      <c r="H66" s="42">
        <f t="shared" si="1"/>
        <v>0</v>
      </c>
    </row>
    <row r="67" spans="1:8" x14ac:dyDescent="0.3">
      <c r="A67" s="187">
        <v>64</v>
      </c>
      <c r="B67" s="54"/>
      <c r="C67" s="52"/>
      <c r="D67" s="48"/>
      <c r="E67" s="53"/>
      <c r="F67" s="50"/>
      <c r="G67" s="66">
        <f t="shared" si="0"/>
        <v>0</v>
      </c>
      <c r="H67" s="42">
        <f t="shared" si="1"/>
        <v>0</v>
      </c>
    </row>
    <row r="68" spans="1:8" x14ac:dyDescent="0.3">
      <c r="A68" s="187">
        <v>65</v>
      </c>
      <c r="B68" s="54"/>
      <c r="C68" s="52"/>
      <c r="D68" s="48"/>
      <c r="E68" s="53"/>
      <c r="F68" s="50"/>
      <c r="G68" s="66">
        <f t="shared" ref="G68:G131" si="4">(C68+E68)-(B68+D68+F68)</f>
        <v>0</v>
      </c>
      <c r="H68" s="42">
        <f t="shared" ref="H68:H131" si="5">G68/(1+4.5%)^A68</f>
        <v>0</v>
      </c>
    </row>
    <row r="69" spans="1:8" x14ac:dyDescent="0.3">
      <c r="A69" s="187">
        <v>66</v>
      </c>
      <c r="B69" s="54"/>
      <c r="C69" s="52"/>
      <c r="D69" s="48"/>
      <c r="E69" s="53"/>
      <c r="F69" s="50"/>
      <c r="G69" s="66">
        <f t="shared" si="4"/>
        <v>0</v>
      </c>
      <c r="H69" s="42">
        <f t="shared" si="5"/>
        <v>0</v>
      </c>
    </row>
    <row r="70" spans="1:8" x14ac:dyDescent="0.3">
      <c r="A70" s="187">
        <v>67</v>
      </c>
      <c r="B70" s="54"/>
      <c r="C70" s="52"/>
      <c r="D70" s="48"/>
      <c r="E70" s="53"/>
      <c r="F70" s="50"/>
      <c r="G70" s="66">
        <f t="shared" si="4"/>
        <v>0</v>
      </c>
      <c r="H70" s="42">
        <f t="shared" si="5"/>
        <v>0</v>
      </c>
    </row>
    <row r="71" spans="1:8" x14ac:dyDescent="0.3">
      <c r="A71" s="187">
        <v>68</v>
      </c>
      <c r="B71" s="54"/>
      <c r="C71" s="52"/>
      <c r="D71" s="48"/>
      <c r="E71" s="53"/>
      <c r="F71" s="50"/>
      <c r="G71" s="66">
        <f t="shared" si="4"/>
        <v>0</v>
      </c>
      <c r="H71" s="42">
        <f t="shared" si="5"/>
        <v>0</v>
      </c>
    </row>
    <row r="72" spans="1:8" x14ac:dyDescent="0.3">
      <c r="A72" s="187">
        <v>69</v>
      </c>
      <c r="B72" s="54"/>
      <c r="C72" s="52"/>
      <c r="D72" s="48">
        <v>75</v>
      </c>
      <c r="E72" s="53"/>
      <c r="F72" s="50"/>
      <c r="G72" s="66">
        <f t="shared" si="4"/>
        <v>-75</v>
      </c>
      <c r="H72" s="42">
        <f t="shared" si="5"/>
        <v>-3.5978016989982788</v>
      </c>
    </row>
    <row r="73" spans="1:8" x14ac:dyDescent="0.3">
      <c r="A73" s="187">
        <v>70</v>
      </c>
      <c r="B73" s="54"/>
      <c r="C73" s="52">
        <v>3088.7928144310345</v>
      </c>
      <c r="D73" s="48">
        <f>C73*12%</f>
        <v>370.6551377317241</v>
      </c>
      <c r="E73" s="53"/>
      <c r="F73" s="50"/>
      <c r="G73" s="66">
        <f t="shared" si="4"/>
        <v>2718.1376766993103</v>
      </c>
      <c r="H73" s="42">
        <f t="shared" si="5"/>
        <v>124.77601724197787</v>
      </c>
    </row>
    <row r="74" spans="1:8" x14ac:dyDescent="0.3">
      <c r="A74" s="187">
        <v>71</v>
      </c>
      <c r="B74" s="54"/>
      <c r="C74" s="52"/>
      <c r="D74" s="48"/>
      <c r="E74" s="53"/>
      <c r="F74" s="50"/>
      <c r="G74" s="66">
        <f t="shared" si="4"/>
        <v>0</v>
      </c>
      <c r="H74" s="42">
        <f t="shared" si="5"/>
        <v>0</v>
      </c>
    </row>
    <row r="75" spans="1:8" x14ac:dyDescent="0.3">
      <c r="A75" s="187">
        <v>72</v>
      </c>
      <c r="B75" s="54"/>
      <c r="C75" s="52"/>
      <c r="D75" s="48"/>
      <c r="E75" s="53"/>
      <c r="F75" s="50"/>
      <c r="G75" s="66">
        <f t="shared" si="4"/>
        <v>0</v>
      </c>
      <c r="H75" s="42">
        <f t="shared" si="5"/>
        <v>0</v>
      </c>
    </row>
    <row r="76" spans="1:8" x14ac:dyDescent="0.3">
      <c r="A76" s="187">
        <v>73</v>
      </c>
      <c r="B76" s="54"/>
      <c r="C76" s="52"/>
      <c r="D76" s="48"/>
      <c r="E76" s="53"/>
      <c r="F76" s="50"/>
      <c r="G76" s="66">
        <f t="shared" si="4"/>
        <v>0</v>
      </c>
      <c r="H76" s="42">
        <f t="shared" si="5"/>
        <v>0</v>
      </c>
    </row>
    <row r="77" spans="1:8" x14ac:dyDescent="0.3">
      <c r="A77" s="187">
        <v>74</v>
      </c>
      <c r="B77" s="54"/>
      <c r="C77" s="52"/>
      <c r="D77" s="48"/>
      <c r="E77" s="53"/>
      <c r="F77" s="50"/>
      <c r="G77" s="66">
        <f t="shared" si="4"/>
        <v>0</v>
      </c>
      <c r="H77" s="42">
        <f t="shared" si="5"/>
        <v>0</v>
      </c>
    </row>
    <row r="78" spans="1:8" x14ac:dyDescent="0.3">
      <c r="A78" s="187">
        <v>75</v>
      </c>
      <c r="B78" s="54"/>
      <c r="C78" s="52"/>
      <c r="D78" s="48"/>
      <c r="E78" s="53"/>
      <c r="F78" s="50"/>
      <c r="G78" s="66">
        <f t="shared" si="4"/>
        <v>0</v>
      </c>
      <c r="H78" s="42">
        <f t="shared" si="5"/>
        <v>0</v>
      </c>
    </row>
    <row r="79" spans="1:8" x14ac:dyDescent="0.3">
      <c r="A79" s="187">
        <v>76</v>
      </c>
      <c r="B79" s="54"/>
      <c r="C79" s="52"/>
      <c r="D79" s="48"/>
      <c r="E79" s="53"/>
      <c r="F79" s="50"/>
      <c r="G79" s="66">
        <f t="shared" si="4"/>
        <v>0</v>
      </c>
      <c r="H79" s="42">
        <f t="shared" si="5"/>
        <v>0</v>
      </c>
    </row>
    <row r="80" spans="1:8" x14ac:dyDescent="0.3">
      <c r="A80" s="187">
        <v>77</v>
      </c>
      <c r="B80" s="54"/>
      <c r="C80" s="52"/>
      <c r="D80" s="48"/>
      <c r="E80" s="53"/>
      <c r="F80" s="50"/>
      <c r="G80" s="66">
        <f t="shared" si="4"/>
        <v>0</v>
      </c>
      <c r="H80" s="42">
        <f t="shared" si="5"/>
        <v>0</v>
      </c>
    </row>
    <row r="81" spans="1:8" x14ac:dyDescent="0.3">
      <c r="A81" s="187">
        <v>78</v>
      </c>
      <c r="B81" s="54"/>
      <c r="C81" s="52"/>
      <c r="D81" s="48"/>
      <c r="E81" s="53"/>
      <c r="F81" s="50"/>
      <c r="G81" s="66">
        <f t="shared" si="4"/>
        <v>0</v>
      </c>
      <c r="H81" s="42">
        <f t="shared" si="5"/>
        <v>0</v>
      </c>
    </row>
    <row r="82" spans="1:8" x14ac:dyDescent="0.3">
      <c r="A82" s="187">
        <v>79</v>
      </c>
      <c r="B82" s="54"/>
      <c r="C82" s="52"/>
      <c r="D82" s="48"/>
      <c r="E82" s="53"/>
      <c r="F82" s="50"/>
      <c r="G82" s="66">
        <f t="shared" si="4"/>
        <v>0</v>
      </c>
      <c r="H82" s="42">
        <f t="shared" si="5"/>
        <v>0</v>
      </c>
    </row>
    <row r="83" spans="1:8" x14ac:dyDescent="0.3">
      <c r="A83" s="187">
        <v>80</v>
      </c>
      <c r="B83" s="54"/>
      <c r="C83" s="52"/>
      <c r="D83" s="48"/>
      <c r="E83" s="53"/>
      <c r="F83" s="50"/>
      <c r="G83" s="66">
        <f t="shared" si="4"/>
        <v>0</v>
      </c>
      <c r="H83" s="42">
        <f t="shared" si="5"/>
        <v>0</v>
      </c>
    </row>
    <row r="84" spans="1:8" x14ac:dyDescent="0.3">
      <c r="A84" s="187">
        <v>81</v>
      </c>
      <c r="B84" s="54"/>
      <c r="C84" s="52"/>
      <c r="D84" s="48"/>
      <c r="E84" s="53"/>
      <c r="F84" s="50"/>
      <c r="G84" s="66">
        <f t="shared" si="4"/>
        <v>0</v>
      </c>
      <c r="H84" s="42">
        <f t="shared" si="5"/>
        <v>0</v>
      </c>
    </row>
    <row r="85" spans="1:8" x14ac:dyDescent="0.3">
      <c r="A85" s="187">
        <v>82</v>
      </c>
      <c r="B85" s="54"/>
      <c r="C85" s="52"/>
      <c r="D85" s="48">
        <v>75</v>
      </c>
      <c r="E85" s="53"/>
      <c r="F85" s="50"/>
      <c r="G85" s="66">
        <f t="shared" si="4"/>
        <v>-75</v>
      </c>
      <c r="H85" s="42">
        <f t="shared" si="5"/>
        <v>-2.0301374687578586</v>
      </c>
    </row>
    <row r="86" spans="1:8" x14ac:dyDescent="0.3">
      <c r="A86" s="187">
        <v>83</v>
      </c>
      <c r="B86" s="54"/>
      <c r="C86" s="52">
        <v>8747.3884914424016</v>
      </c>
      <c r="D86" s="48">
        <f>C86*12%</f>
        <v>1049.6866189730881</v>
      </c>
      <c r="E86" s="53"/>
      <c r="F86" s="50"/>
      <c r="G86" s="66">
        <f t="shared" si="4"/>
        <v>7697.7018724693135</v>
      </c>
      <c r="H86" s="42">
        <f t="shared" si="5"/>
        <v>199.39257409413057</v>
      </c>
    </row>
    <row r="87" spans="1:8" x14ac:dyDescent="0.3">
      <c r="A87" s="187">
        <v>84</v>
      </c>
      <c r="B87" s="54"/>
      <c r="C87" s="52"/>
      <c r="D87" s="48"/>
      <c r="E87" s="53"/>
      <c r="F87" s="50"/>
      <c r="G87" s="66">
        <f t="shared" si="4"/>
        <v>0</v>
      </c>
      <c r="H87" s="42">
        <f t="shared" si="5"/>
        <v>0</v>
      </c>
    </row>
    <row r="88" spans="1:8" x14ac:dyDescent="0.3">
      <c r="A88" s="187">
        <v>85</v>
      </c>
      <c r="B88" s="54"/>
      <c r="C88" s="52"/>
      <c r="D88" s="48"/>
      <c r="E88" s="53"/>
      <c r="F88" s="50"/>
      <c r="G88" s="66">
        <f t="shared" si="4"/>
        <v>0</v>
      </c>
      <c r="H88" s="42">
        <f t="shared" si="5"/>
        <v>0</v>
      </c>
    </row>
    <row r="89" spans="1:8" x14ac:dyDescent="0.3">
      <c r="A89" s="187">
        <v>86</v>
      </c>
      <c r="B89" s="54"/>
      <c r="C89" s="52"/>
      <c r="D89" s="48"/>
      <c r="E89" s="53"/>
      <c r="F89" s="50"/>
      <c r="G89" s="66">
        <f t="shared" si="4"/>
        <v>0</v>
      </c>
      <c r="H89" s="42">
        <f t="shared" si="5"/>
        <v>0</v>
      </c>
    </row>
    <row r="90" spans="1:8" x14ac:dyDescent="0.3">
      <c r="A90" s="187">
        <v>87</v>
      </c>
      <c r="B90" s="54"/>
      <c r="C90" s="52"/>
      <c r="D90" s="48"/>
      <c r="E90" s="53"/>
      <c r="F90" s="50"/>
      <c r="G90" s="66">
        <f t="shared" si="4"/>
        <v>0</v>
      </c>
      <c r="H90" s="42">
        <f t="shared" si="5"/>
        <v>0</v>
      </c>
    </row>
    <row r="91" spans="1:8" x14ac:dyDescent="0.3">
      <c r="A91" s="187">
        <v>88</v>
      </c>
      <c r="B91" s="54"/>
      <c r="C91" s="52"/>
      <c r="D91" s="48"/>
      <c r="E91" s="53"/>
      <c r="F91" s="50"/>
      <c r="G91" s="66">
        <f t="shared" si="4"/>
        <v>0</v>
      </c>
      <c r="H91" s="42">
        <f t="shared" si="5"/>
        <v>0</v>
      </c>
    </row>
    <row r="92" spans="1:8" x14ac:dyDescent="0.3">
      <c r="A92" s="187">
        <v>89</v>
      </c>
      <c r="B92" s="54"/>
      <c r="C92" s="52"/>
      <c r="D92" s="48"/>
      <c r="E92" s="53"/>
      <c r="F92" s="50"/>
      <c r="G92" s="66">
        <f t="shared" si="4"/>
        <v>0</v>
      </c>
      <c r="H92" s="42">
        <f t="shared" si="5"/>
        <v>0</v>
      </c>
    </row>
    <row r="93" spans="1:8" x14ac:dyDescent="0.3">
      <c r="A93" s="187">
        <v>90</v>
      </c>
      <c r="B93" s="54"/>
      <c r="C93" s="52"/>
      <c r="D93" s="48"/>
      <c r="E93" s="53"/>
      <c r="F93" s="50"/>
      <c r="G93" s="66">
        <f t="shared" si="4"/>
        <v>0</v>
      </c>
      <c r="H93" s="42">
        <f t="shared" si="5"/>
        <v>0</v>
      </c>
    </row>
    <row r="94" spans="1:8" x14ac:dyDescent="0.3">
      <c r="A94" s="187">
        <v>91</v>
      </c>
      <c r="B94" s="54"/>
      <c r="C94" s="52"/>
      <c r="D94" s="48"/>
      <c r="E94" s="53"/>
      <c r="F94" s="50"/>
      <c r="G94" s="66">
        <f t="shared" si="4"/>
        <v>0</v>
      </c>
      <c r="H94" s="42">
        <f t="shared" si="5"/>
        <v>0</v>
      </c>
    </row>
    <row r="95" spans="1:8" x14ac:dyDescent="0.3">
      <c r="A95" s="187">
        <v>92</v>
      </c>
      <c r="B95" s="54"/>
      <c r="C95" s="52"/>
      <c r="D95" s="48"/>
      <c r="E95" s="53"/>
      <c r="F95" s="50"/>
      <c r="G95" s="66">
        <f t="shared" si="4"/>
        <v>0</v>
      </c>
      <c r="H95" s="42">
        <f t="shared" si="5"/>
        <v>0</v>
      </c>
    </row>
    <row r="96" spans="1:8" x14ac:dyDescent="0.3">
      <c r="A96" s="187">
        <v>93</v>
      </c>
      <c r="B96" s="54"/>
      <c r="C96" s="52"/>
      <c r="D96" s="48"/>
      <c r="E96" s="53"/>
      <c r="F96" s="50"/>
      <c r="G96" s="66">
        <f t="shared" si="4"/>
        <v>0</v>
      </c>
      <c r="H96" s="42">
        <f t="shared" si="5"/>
        <v>0</v>
      </c>
    </row>
    <row r="97" spans="1:8" x14ac:dyDescent="0.3">
      <c r="A97" s="187">
        <v>94</v>
      </c>
      <c r="B97" s="54"/>
      <c r="C97" s="52"/>
      <c r="D97" s="48"/>
      <c r="E97" s="53"/>
      <c r="F97" s="50"/>
      <c r="G97" s="66">
        <f t="shared" si="4"/>
        <v>0</v>
      </c>
      <c r="H97" s="42">
        <f t="shared" si="5"/>
        <v>0</v>
      </c>
    </row>
    <row r="98" spans="1:8" x14ac:dyDescent="0.3">
      <c r="A98" s="187">
        <v>95</v>
      </c>
      <c r="B98" s="54"/>
      <c r="C98" s="52"/>
      <c r="D98" s="48"/>
      <c r="E98" s="53"/>
      <c r="F98" s="50"/>
      <c r="G98" s="66">
        <f t="shared" si="4"/>
        <v>0</v>
      </c>
      <c r="H98" s="42">
        <f t="shared" si="5"/>
        <v>0</v>
      </c>
    </row>
    <row r="99" spans="1:8" x14ac:dyDescent="0.3">
      <c r="A99" s="187">
        <v>96</v>
      </c>
      <c r="B99" s="54"/>
      <c r="C99" s="52"/>
      <c r="D99" s="48">
        <v>75</v>
      </c>
      <c r="E99" s="53"/>
      <c r="F99" s="50"/>
      <c r="G99" s="66">
        <f t="shared" si="4"/>
        <v>-75</v>
      </c>
      <c r="H99" s="42">
        <f t="shared" si="5"/>
        <v>-1.0962191397052015</v>
      </c>
    </row>
    <row r="100" spans="1:8" x14ac:dyDescent="0.3">
      <c r="A100" s="187">
        <v>97</v>
      </c>
      <c r="B100" s="54"/>
      <c r="C100" s="52">
        <v>13480.969202973767</v>
      </c>
      <c r="D100" s="48">
        <f>C100*12%</f>
        <v>1617.7163043568519</v>
      </c>
      <c r="E100" s="53"/>
      <c r="F100" s="50"/>
      <c r="G100" s="66">
        <f t="shared" si="4"/>
        <v>11863.252898616915</v>
      </c>
      <c r="H100" s="42">
        <f t="shared" si="5"/>
        <v>165.92950413559265</v>
      </c>
    </row>
    <row r="101" spans="1:8" x14ac:dyDescent="0.3">
      <c r="A101" s="187">
        <v>98</v>
      </c>
      <c r="B101" s="54"/>
      <c r="C101" s="52"/>
      <c r="D101" s="48"/>
      <c r="E101" s="53"/>
      <c r="F101" s="50"/>
      <c r="G101" s="66">
        <f t="shared" si="4"/>
        <v>0</v>
      </c>
      <c r="H101" s="42">
        <f t="shared" si="5"/>
        <v>0</v>
      </c>
    </row>
    <row r="102" spans="1:8" x14ac:dyDescent="0.3">
      <c r="A102" s="187">
        <v>99</v>
      </c>
      <c r="B102" s="54"/>
      <c r="C102" s="52"/>
      <c r="D102" s="48"/>
      <c r="E102" s="53"/>
      <c r="F102" s="50"/>
      <c r="G102" s="66">
        <f t="shared" si="4"/>
        <v>0</v>
      </c>
      <c r="H102" s="42">
        <f t="shared" si="5"/>
        <v>0</v>
      </c>
    </row>
    <row r="103" spans="1:8" x14ac:dyDescent="0.3">
      <c r="A103" s="187">
        <v>100</v>
      </c>
      <c r="B103" s="54"/>
      <c r="C103" s="52"/>
      <c r="D103" s="48"/>
      <c r="E103" s="53"/>
      <c r="F103" s="50"/>
      <c r="G103" s="66">
        <f t="shared" si="4"/>
        <v>0</v>
      </c>
      <c r="H103" s="42">
        <f t="shared" si="5"/>
        <v>0</v>
      </c>
    </row>
    <row r="104" spans="1:8" x14ac:dyDescent="0.3">
      <c r="A104" s="187">
        <v>101</v>
      </c>
      <c r="B104" s="54"/>
      <c r="C104" s="52"/>
      <c r="D104" s="48"/>
      <c r="E104" s="53"/>
      <c r="F104" s="50"/>
      <c r="G104" s="66">
        <f t="shared" si="4"/>
        <v>0</v>
      </c>
      <c r="H104" s="42">
        <f t="shared" si="5"/>
        <v>0</v>
      </c>
    </row>
    <row r="105" spans="1:8" x14ac:dyDescent="0.3">
      <c r="A105" s="187">
        <v>102</v>
      </c>
      <c r="B105" s="54"/>
      <c r="C105" s="52"/>
      <c r="D105" s="48"/>
      <c r="E105" s="53"/>
      <c r="F105" s="50"/>
      <c r="G105" s="66">
        <f t="shared" si="4"/>
        <v>0</v>
      </c>
      <c r="H105" s="42">
        <f t="shared" si="5"/>
        <v>0</v>
      </c>
    </row>
    <row r="106" spans="1:8" x14ac:dyDescent="0.3">
      <c r="A106" s="187">
        <v>103</v>
      </c>
      <c r="B106" s="54"/>
      <c r="C106" s="52"/>
      <c r="D106" s="48"/>
      <c r="E106" s="53"/>
      <c r="F106" s="50"/>
      <c r="G106" s="66">
        <f t="shared" si="4"/>
        <v>0</v>
      </c>
      <c r="H106" s="42">
        <f t="shared" si="5"/>
        <v>0</v>
      </c>
    </row>
    <row r="107" spans="1:8" x14ac:dyDescent="0.3">
      <c r="A107" s="187">
        <v>104</v>
      </c>
      <c r="B107" s="54"/>
      <c r="C107" s="52"/>
      <c r="D107" s="48"/>
      <c r="E107" s="53"/>
      <c r="F107" s="50"/>
      <c r="G107" s="66">
        <f t="shared" si="4"/>
        <v>0</v>
      </c>
      <c r="H107" s="42">
        <f t="shared" si="5"/>
        <v>0</v>
      </c>
    </row>
    <row r="108" spans="1:8" x14ac:dyDescent="0.3">
      <c r="A108" s="187">
        <v>105</v>
      </c>
      <c r="B108" s="54"/>
      <c r="C108" s="52"/>
      <c r="D108" s="48"/>
      <c r="E108" s="53"/>
      <c r="F108" s="50"/>
      <c r="G108" s="66">
        <f t="shared" si="4"/>
        <v>0</v>
      </c>
      <c r="H108" s="42">
        <f t="shared" si="5"/>
        <v>0</v>
      </c>
    </row>
    <row r="109" spans="1:8" x14ac:dyDescent="0.3">
      <c r="A109" s="187">
        <v>106</v>
      </c>
      <c r="B109" s="54"/>
      <c r="C109" s="52"/>
      <c r="D109" s="48"/>
      <c r="E109" s="53"/>
      <c r="F109" s="50"/>
      <c r="G109" s="66">
        <f t="shared" si="4"/>
        <v>0</v>
      </c>
      <c r="H109" s="42">
        <f t="shared" si="5"/>
        <v>0</v>
      </c>
    </row>
    <row r="110" spans="1:8" x14ac:dyDescent="0.3">
      <c r="A110" s="187">
        <v>107</v>
      </c>
      <c r="B110" s="54"/>
      <c r="C110" s="52"/>
      <c r="D110" s="48"/>
      <c r="E110" s="53"/>
      <c r="F110" s="50"/>
      <c r="G110" s="66">
        <f t="shared" si="4"/>
        <v>0</v>
      </c>
      <c r="H110" s="42">
        <f t="shared" si="5"/>
        <v>0</v>
      </c>
    </row>
    <row r="111" spans="1:8" x14ac:dyDescent="0.3">
      <c r="A111" s="187">
        <v>108</v>
      </c>
      <c r="B111" s="54"/>
      <c r="C111" s="52"/>
      <c r="D111" s="48"/>
      <c r="E111" s="53"/>
      <c r="F111" s="50"/>
      <c r="G111" s="66">
        <f t="shared" si="4"/>
        <v>0</v>
      </c>
      <c r="H111" s="42">
        <f t="shared" si="5"/>
        <v>0</v>
      </c>
    </row>
    <row r="112" spans="1:8" x14ac:dyDescent="0.3">
      <c r="A112" s="187">
        <v>109</v>
      </c>
      <c r="B112" s="54"/>
      <c r="C112" s="52"/>
      <c r="D112" s="48"/>
      <c r="E112" s="53"/>
      <c r="F112" s="50"/>
      <c r="G112" s="66">
        <f t="shared" si="4"/>
        <v>0</v>
      </c>
      <c r="H112" s="42">
        <f t="shared" si="5"/>
        <v>0</v>
      </c>
    </row>
    <row r="113" spans="1:8" x14ac:dyDescent="0.3">
      <c r="A113" s="187">
        <v>110</v>
      </c>
      <c r="B113" s="54"/>
      <c r="C113" s="52"/>
      <c r="D113" s="48">
        <v>75</v>
      </c>
      <c r="E113" s="53"/>
      <c r="F113" s="50"/>
      <c r="G113" s="66">
        <f t="shared" si="4"/>
        <v>-75</v>
      </c>
      <c r="H113" s="42">
        <f t="shared" si="5"/>
        <v>-0.59192858648693913</v>
      </c>
    </row>
    <row r="114" spans="1:8" x14ac:dyDescent="0.3">
      <c r="A114" s="187">
        <v>111</v>
      </c>
      <c r="B114" s="54"/>
      <c r="C114" s="52">
        <v>19527.805158012328</v>
      </c>
      <c r="D114" s="48">
        <f>C114*12%</f>
        <v>2343.3366189614794</v>
      </c>
      <c r="E114" s="53"/>
      <c r="F114" s="50"/>
      <c r="G114" s="66">
        <f t="shared" si="4"/>
        <v>17184.468539050849</v>
      </c>
      <c r="H114" s="42">
        <f t="shared" si="5"/>
        <v>129.78600538245158</v>
      </c>
    </row>
    <row r="115" spans="1:8" x14ac:dyDescent="0.3">
      <c r="A115" s="187">
        <v>112</v>
      </c>
      <c r="B115" s="54"/>
      <c r="C115" s="52"/>
      <c r="D115" s="48"/>
      <c r="E115" s="53"/>
      <c r="F115" s="50"/>
      <c r="G115" s="66">
        <f t="shared" si="4"/>
        <v>0</v>
      </c>
      <c r="H115" s="42">
        <f t="shared" si="5"/>
        <v>0</v>
      </c>
    </row>
    <row r="116" spans="1:8" x14ac:dyDescent="0.3">
      <c r="A116" s="187">
        <v>113</v>
      </c>
      <c r="B116" s="54"/>
      <c r="C116" s="52"/>
      <c r="D116" s="48"/>
      <c r="E116" s="53"/>
      <c r="F116" s="50"/>
      <c r="G116" s="66">
        <f t="shared" si="4"/>
        <v>0</v>
      </c>
      <c r="H116" s="42">
        <f t="shared" si="5"/>
        <v>0</v>
      </c>
    </row>
    <row r="117" spans="1:8" x14ac:dyDescent="0.3">
      <c r="A117" s="187">
        <v>114</v>
      </c>
      <c r="B117" s="54"/>
      <c r="C117" s="52"/>
      <c r="D117" s="48"/>
      <c r="E117" s="53"/>
      <c r="F117" s="50"/>
      <c r="G117" s="66">
        <f t="shared" si="4"/>
        <v>0</v>
      </c>
      <c r="H117" s="42">
        <f t="shared" si="5"/>
        <v>0</v>
      </c>
    </row>
    <row r="118" spans="1:8" x14ac:dyDescent="0.3">
      <c r="A118" s="187">
        <v>115</v>
      </c>
      <c r="B118" s="54"/>
      <c r="C118" s="52"/>
      <c r="D118" s="48"/>
      <c r="E118" s="53"/>
      <c r="F118" s="50"/>
      <c r="G118" s="66">
        <f t="shared" si="4"/>
        <v>0</v>
      </c>
      <c r="H118" s="42">
        <f t="shared" si="5"/>
        <v>0</v>
      </c>
    </row>
    <row r="119" spans="1:8" x14ac:dyDescent="0.3">
      <c r="A119" s="187">
        <v>116</v>
      </c>
      <c r="B119" s="54"/>
      <c r="C119" s="52"/>
      <c r="D119" s="48"/>
      <c r="E119" s="53"/>
      <c r="F119" s="50"/>
      <c r="G119" s="66">
        <f t="shared" si="4"/>
        <v>0</v>
      </c>
      <c r="H119" s="42">
        <f t="shared" si="5"/>
        <v>0</v>
      </c>
    </row>
    <row r="120" spans="1:8" x14ac:dyDescent="0.3">
      <c r="A120" s="187">
        <v>117</v>
      </c>
      <c r="B120" s="54"/>
      <c r="C120" s="52"/>
      <c r="D120" s="48"/>
      <c r="E120" s="53"/>
      <c r="F120" s="50"/>
      <c r="G120" s="66">
        <f t="shared" si="4"/>
        <v>0</v>
      </c>
      <c r="H120" s="42">
        <f t="shared" si="5"/>
        <v>0</v>
      </c>
    </row>
    <row r="121" spans="1:8" x14ac:dyDescent="0.3">
      <c r="A121" s="187">
        <v>118</v>
      </c>
      <c r="B121" s="54"/>
      <c r="C121" s="52"/>
      <c r="D121" s="48"/>
      <c r="E121" s="53"/>
      <c r="F121" s="50"/>
      <c r="G121" s="66">
        <f t="shared" si="4"/>
        <v>0</v>
      </c>
      <c r="H121" s="42">
        <f t="shared" si="5"/>
        <v>0</v>
      </c>
    </row>
    <row r="122" spans="1:8" x14ac:dyDescent="0.3">
      <c r="A122" s="187">
        <v>119</v>
      </c>
      <c r="B122" s="54"/>
      <c r="C122" s="52"/>
      <c r="D122" s="48"/>
      <c r="E122" s="53"/>
      <c r="F122" s="50"/>
      <c r="G122" s="66">
        <f t="shared" si="4"/>
        <v>0</v>
      </c>
      <c r="H122" s="42">
        <f t="shared" si="5"/>
        <v>0</v>
      </c>
    </row>
    <row r="123" spans="1:8" x14ac:dyDescent="0.3">
      <c r="A123" s="187">
        <v>120</v>
      </c>
      <c r="B123" s="54"/>
      <c r="C123" s="52"/>
      <c r="D123" s="48"/>
      <c r="E123" s="53"/>
      <c r="F123" s="50"/>
      <c r="G123" s="66">
        <f t="shared" si="4"/>
        <v>0</v>
      </c>
      <c r="H123" s="42">
        <f t="shared" si="5"/>
        <v>0</v>
      </c>
    </row>
    <row r="124" spans="1:8" x14ac:dyDescent="0.3">
      <c r="A124" s="187">
        <v>121</v>
      </c>
      <c r="B124" s="54"/>
      <c r="C124" s="52"/>
      <c r="D124" s="48"/>
      <c r="E124" s="53"/>
      <c r="F124" s="50"/>
      <c r="G124" s="66">
        <f t="shared" si="4"/>
        <v>0</v>
      </c>
      <c r="H124" s="42">
        <f t="shared" si="5"/>
        <v>0</v>
      </c>
    </row>
    <row r="125" spans="1:8" x14ac:dyDescent="0.3">
      <c r="A125" s="187">
        <v>122</v>
      </c>
      <c r="B125" s="54"/>
      <c r="C125" s="52"/>
      <c r="D125" s="48"/>
      <c r="E125" s="53"/>
      <c r="F125" s="50"/>
      <c r="G125" s="66">
        <f t="shared" si="4"/>
        <v>0</v>
      </c>
      <c r="H125" s="42">
        <f t="shared" si="5"/>
        <v>0</v>
      </c>
    </row>
    <row r="126" spans="1:8" x14ac:dyDescent="0.3">
      <c r="A126" s="187">
        <v>123</v>
      </c>
      <c r="B126" s="54"/>
      <c r="C126" s="52"/>
      <c r="D126" s="48"/>
      <c r="E126" s="53"/>
      <c r="F126" s="50"/>
      <c r="G126" s="66">
        <f t="shared" si="4"/>
        <v>0</v>
      </c>
      <c r="H126" s="42">
        <f t="shared" si="5"/>
        <v>0</v>
      </c>
    </row>
    <row r="127" spans="1:8" x14ac:dyDescent="0.3">
      <c r="A127" s="187">
        <v>124</v>
      </c>
      <c r="B127" s="54"/>
      <c r="C127" s="52"/>
      <c r="D127" s="48">
        <v>75</v>
      </c>
      <c r="E127" s="53"/>
      <c r="F127" s="50"/>
      <c r="G127" s="66">
        <f t="shared" si="4"/>
        <v>-75</v>
      </c>
      <c r="H127" s="42">
        <f t="shared" si="5"/>
        <v>-0.31962537307517808</v>
      </c>
    </row>
    <row r="128" spans="1:8" x14ac:dyDescent="0.3">
      <c r="A128" s="187">
        <v>125</v>
      </c>
      <c r="B128" s="54"/>
      <c r="C128" s="52">
        <v>39640.760610981262</v>
      </c>
      <c r="D128" s="48">
        <f>C128*12%</f>
        <v>4756.8912733177513</v>
      </c>
      <c r="E128" s="53"/>
      <c r="F128" s="50"/>
      <c r="G128" s="66">
        <f t="shared" si="4"/>
        <v>34883.869337663513</v>
      </c>
      <c r="H128" s="42">
        <f t="shared" si="5"/>
        <v>142.26181500933285</v>
      </c>
    </row>
    <row r="129" spans="1:8" x14ac:dyDescent="0.3">
      <c r="A129" s="187">
        <v>126</v>
      </c>
      <c r="B129" s="54"/>
      <c r="C129" s="52"/>
      <c r="D129" s="48"/>
      <c r="E129" s="53"/>
      <c r="F129" s="50"/>
      <c r="G129" s="66">
        <f t="shared" si="4"/>
        <v>0</v>
      </c>
      <c r="H129" s="42">
        <f t="shared" si="5"/>
        <v>0</v>
      </c>
    </row>
    <row r="130" spans="1:8" x14ac:dyDescent="0.3">
      <c r="A130" s="187">
        <v>127</v>
      </c>
      <c r="B130" s="54"/>
      <c r="C130" s="52"/>
      <c r="D130" s="48"/>
      <c r="E130" s="53"/>
      <c r="F130" s="50"/>
      <c r="G130" s="66">
        <f t="shared" si="4"/>
        <v>0</v>
      </c>
      <c r="H130" s="42">
        <f t="shared" si="5"/>
        <v>0</v>
      </c>
    </row>
    <row r="131" spans="1:8" x14ac:dyDescent="0.3">
      <c r="A131" s="187">
        <v>128</v>
      </c>
      <c r="B131" s="54"/>
      <c r="C131" s="52"/>
      <c r="D131" s="48"/>
      <c r="E131" s="53"/>
      <c r="F131" s="50"/>
      <c r="G131" s="66">
        <f t="shared" si="4"/>
        <v>0</v>
      </c>
      <c r="H131" s="42">
        <f t="shared" si="5"/>
        <v>0</v>
      </c>
    </row>
    <row r="132" spans="1:8" x14ac:dyDescent="0.3">
      <c r="A132" s="187">
        <v>129</v>
      </c>
      <c r="B132" s="54"/>
      <c r="C132" s="52"/>
      <c r="D132" s="48"/>
      <c r="E132" s="53"/>
      <c r="F132" s="50"/>
      <c r="G132" s="66">
        <f t="shared" ref="G132:G143" si="6">(C132+E132)-(B132+D132+F132)</f>
        <v>0</v>
      </c>
      <c r="H132" s="42">
        <f t="shared" ref="H132:H143" si="7">G132/(1+4.5%)^A132</f>
        <v>0</v>
      </c>
    </row>
    <row r="133" spans="1:8" x14ac:dyDescent="0.3">
      <c r="A133" s="187">
        <v>130</v>
      </c>
      <c r="B133" s="54"/>
      <c r="C133" s="52"/>
      <c r="D133" s="48"/>
      <c r="E133" s="53"/>
      <c r="F133" s="50"/>
      <c r="G133" s="66">
        <f t="shared" si="6"/>
        <v>0</v>
      </c>
      <c r="H133" s="42">
        <f t="shared" si="7"/>
        <v>0</v>
      </c>
    </row>
    <row r="134" spans="1:8" x14ac:dyDescent="0.3">
      <c r="A134" s="187">
        <v>131</v>
      </c>
      <c r="B134" s="54"/>
      <c r="C134" s="52"/>
      <c r="D134" s="48"/>
      <c r="E134" s="53"/>
      <c r="F134" s="50"/>
      <c r="G134" s="66">
        <f t="shared" si="6"/>
        <v>0</v>
      </c>
      <c r="H134" s="42">
        <f t="shared" si="7"/>
        <v>0</v>
      </c>
    </row>
    <row r="135" spans="1:8" x14ac:dyDescent="0.3">
      <c r="A135" s="187">
        <v>132</v>
      </c>
      <c r="B135" s="54"/>
      <c r="C135" s="52"/>
      <c r="D135" s="48"/>
      <c r="E135" s="53"/>
      <c r="F135" s="50"/>
      <c r="G135" s="66">
        <f t="shared" si="6"/>
        <v>0</v>
      </c>
      <c r="H135" s="42">
        <f t="shared" si="7"/>
        <v>0</v>
      </c>
    </row>
    <row r="136" spans="1:8" x14ac:dyDescent="0.3">
      <c r="A136" s="187">
        <v>133</v>
      </c>
      <c r="B136" s="54"/>
      <c r="C136" s="52"/>
      <c r="D136" s="48"/>
      <c r="E136" s="53"/>
      <c r="F136" s="50"/>
      <c r="G136" s="66">
        <f t="shared" si="6"/>
        <v>0</v>
      </c>
      <c r="H136" s="42">
        <f t="shared" si="7"/>
        <v>0</v>
      </c>
    </row>
    <row r="137" spans="1:8" x14ac:dyDescent="0.3">
      <c r="A137" s="187">
        <v>134</v>
      </c>
      <c r="B137" s="54"/>
      <c r="C137" s="52"/>
      <c r="D137" s="48"/>
      <c r="E137" s="53"/>
      <c r="F137" s="50"/>
      <c r="G137" s="66">
        <f t="shared" si="6"/>
        <v>0</v>
      </c>
      <c r="H137" s="42">
        <f t="shared" si="7"/>
        <v>0</v>
      </c>
    </row>
    <row r="138" spans="1:8" x14ac:dyDescent="0.3">
      <c r="A138" s="187">
        <v>135</v>
      </c>
      <c r="B138" s="54"/>
      <c r="C138" s="52"/>
      <c r="D138" s="48"/>
      <c r="E138" s="53"/>
      <c r="F138" s="50"/>
      <c r="G138" s="66">
        <f t="shared" si="6"/>
        <v>0</v>
      </c>
      <c r="H138" s="42">
        <f t="shared" si="7"/>
        <v>0</v>
      </c>
    </row>
    <row r="139" spans="1:8" x14ac:dyDescent="0.3">
      <c r="A139" s="187">
        <v>136</v>
      </c>
      <c r="B139" s="54"/>
      <c r="C139" s="52"/>
      <c r="D139" s="48"/>
      <c r="E139" s="53"/>
      <c r="F139" s="50"/>
      <c r="G139" s="66">
        <f t="shared" si="6"/>
        <v>0</v>
      </c>
      <c r="H139" s="42">
        <f t="shared" si="7"/>
        <v>0</v>
      </c>
    </row>
    <row r="140" spans="1:8" x14ac:dyDescent="0.3">
      <c r="A140" s="187">
        <v>137</v>
      </c>
      <c r="B140" s="54"/>
      <c r="C140" s="52"/>
      <c r="D140" s="48"/>
      <c r="E140" s="53"/>
      <c r="F140" s="50"/>
      <c r="G140" s="66">
        <f t="shared" si="6"/>
        <v>0</v>
      </c>
      <c r="H140" s="42">
        <f t="shared" si="7"/>
        <v>0</v>
      </c>
    </row>
    <row r="141" spans="1:8" x14ac:dyDescent="0.3">
      <c r="A141" s="187">
        <v>138</v>
      </c>
      <c r="B141" s="54"/>
      <c r="C141" s="52"/>
      <c r="D141" s="48"/>
      <c r="E141" s="53"/>
      <c r="F141" s="50"/>
      <c r="G141" s="66">
        <f t="shared" si="6"/>
        <v>0</v>
      </c>
      <c r="H141" s="42">
        <f t="shared" si="7"/>
        <v>0</v>
      </c>
    </row>
    <row r="142" spans="1:8" x14ac:dyDescent="0.3">
      <c r="A142" s="187">
        <v>139</v>
      </c>
      <c r="B142" s="54"/>
      <c r="C142" s="52"/>
      <c r="D142" s="48">
        <v>75</v>
      </c>
      <c r="E142" s="53"/>
      <c r="F142" s="50"/>
      <c r="G142" s="66">
        <f t="shared" si="6"/>
        <v>-75</v>
      </c>
      <c r="H142" s="42">
        <f t="shared" si="7"/>
        <v>-0.16515696415074838</v>
      </c>
    </row>
    <row r="143" spans="1:8" ht="15" thickBot="1" x14ac:dyDescent="0.35">
      <c r="A143" s="188">
        <v>140</v>
      </c>
      <c r="B143" s="55"/>
      <c r="C143" s="56">
        <v>290841.43369319843</v>
      </c>
      <c r="D143" s="57">
        <f>C143*12%</f>
        <v>34900.972043183807</v>
      </c>
      <c r="E143" s="58"/>
      <c r="F143" s="59"/>
      <c r="G143" s="67">
        <f t="shared" si="6"/>
        <v>255940.46165001462</v>
      </c>
      <c r="H143" s="43">
        <f t="shared" si="7"/>
        <v>539.33460477776669</v>
      </c>
    </row>
    <row r="144" spans="1:8" ht="15" thickBot="1" x14ac:dyDescent="0.35">
      <c r="A144" s="196" t="s">
        <v>0</v>
      </c>
      <c r="B144" s="68">
        <f>SUM(B3:B143)</f>
        <v>7583</v>
      </c>
      <c r="C144" s="69">
        <f>SUM(C3:C143)*7</f>
        <v>2645547.4295501914</v>
      </c>
      <c r="D144" s="69">
        <f>SUM(D3:D143)*7</f>
        <v>414590.69154602289</v>
      </c>
      <c r="E144" s="69">
        <f t="shared" ref="E144:F144" si="8">SUM(E3:E143)*7</f>
        <v>132687.1720377079</v>
      </c>
      <c r="F144" s="69">
        <f t="shared" si="8"/>
        <v>15922.460644524948</v>
      </c>
      <c r="G144" s="197">
        <f>(C144+E144)-(B144+D144+F144)</f>
        <v>2340138.4493973516</v>
      </c>
      <c r="H144" s="40">
        <f>SUM(H3:H143)</f>
        <v>-14634.234862587418</v>
      </c>
    </row>
    <row r="146" spans="2:6" x14ac:dyDescent="0.3">
      <c r="B146" t="s">
        <v>19</v>
      </c>
    </row>
    <row r="147" spans="2:6" x14ac:dyDescent="0.3">
      <c r="C147" t="s">
        <v>20</v>
      </c>
    </row>
    <row r="148" spans="2:6" x14ac:dyDescent="0.3">
      <c r="C148" t="s">
        <v>21</v>
      </c>
    </row>
    <row r="149" spans="2:6" ht="15" thickBot="1" x14ac:dyDescent="0.35"/>
    <row r="150" spans="2:6" ht="28.8" x14ac:dyDescent="0.3">
      <c r="C150" s="193"/>
      <c r="D150" s="172" t="s">
        <v>31</v>
      </c>
      <c r="E150" s="172" t="s">
        <v>32</v>
      </c>
      <c r="F150" s="173" t="s">
        <v>33</v>
      </c>
    </row>
    <row r="151" spans="2:6" x14ac:dyDescent="0.3">
      <c r="C151" s="194" t="s">
        <v>34</v>
      </c>
      <c r="D151" s="189">
        <f>H144</f>
        <v>-14634.234862587418</v>
      </c>
      <c r="E151" s="189">
        <v>10533.333333333332</v>
      </c>
      <c r="F151" s="190">
        <f>D151-E151</f>
        <v>-25167.56819592075</v>
      </c>
    </row>
    <row r="152" spans="2:6" ht="15" thickBot="1" x14ac:dyDescent="0.35">
      <c r="C152" s="195" t="s">
        <v>35</v>
      </c>
      <c r="D152" s="191">
        <f>D151*1.58</f>
        <v>-23122.091082888121</v>
      </c>
      <c r="E152" s="191">
        <v>16642.666666666668</v>
      </c>
      <c r="F152" s="192">
        <f>F151*1.58</f>
        <v>-39764.757749554788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798A-D585-4726-B939-F11AC65D2200}">
  <dimension ref="A1:K32"/>
  <sheetViews>
    <sheetView workbookViewId="0">
      <selection activeCell="H14" sqref="H14"/>
    </sheetView>
  </sheetViews>
  <sheetFormatPr baseColWidth="10" defaultRowHeight="14.4" x14ac:dyDescent="0.3"/>
  <cols>
    <col min="2" max="2" width="13.33203125" customWidth="1"/>
    <col min="4" max="4" width="13" customWidth="1"/>
    <col min="7" max="7" width="18.109375" customWidth="1"/>
    <col min="9" max="9" width="13" customWidth="1"/>
  </cols>
  <sheetData>
    <row r="1" spans="1:9" ht="15" thickBot="1" x14ac:dyDescent="0.35">
      <c r="A1" s="1"/>
      <c r="B1" s="1"/>
      <c r="C1" s="1"/>
      <c r="D1" s="1"/>
      <c r="E1" s="1"/>
      <c r="F1" s="1"/>
      <c r="G1" s="1"/>
      <c r="H1" s="1"/>
    </row>
    <row r="2" spans="1:9" ht="14.4" customHeight="1" x14ac:dyDescent="0.3">
      <c r="A2" s="258" t="s">
        <v>60</v>
      </c>
      <c r="B2" s="259"/>
      <c r="C2" s="259"/>
      <c r="D2" s="259"/>
      <c r="E2" s="260"/>
      <c r="F2" s="12"/>
      <c r="G2" s="255" t="s">
        <v>6</v>
      </c>
      <c r="H2" s="256"/>
      <c r="I2" s="257"/>
    </row>
    <row r="3" spans="1:9" ht="51" customHeight="1" x14ac:dyDescent="0.3">
      <c r="A3" s="23" t="s">
        <v>3</v>
      </c>
      <c r="B3" s="24" t="s">
        <v>61</v>
      </c>
      <c r="C3" s="24" t="s">
        <v>68</v>
      </c>
      <c r="D3" s="24" t="s">
        <v>1</v>
      </c>
      <c r="E3" s="25" t="s">
        <v>2</v>
      </c>
      <c r="F3" s="13"/>
      <c r="G3" s="23" t="s">
        <v>7</v>
      </c>
      <c r="H3" s="24" t="s">
        <v>8</v>
      </c>
      <c r="I3" s="26" t="s">
        <v>5</v>
      </c>
    </row>
    <row r="4" spans="1:9" ht="25.8" customHeight="1" thickBot="1" x14ac:dyDescent="0.35">
      <c r="A4" s="3">
        <v>1.58</v>
      </c>
      <c r="B4" s="4">
        <v>8</v>
      </c>
      <c r="C4" s="5">
        <v>80</v>
      </c>
      <c r="D4" s="22">
        <f>B4*C4</f>
        <v>640</v>
      </c>
      <c r="E4" s="9">
        <f>D4*A4</f>
        <v>1011.2</v>
      </c>
      <c r="F4" s="14"/>
      <c r="G4" s="27" t="s">
        <v>62</v>
      </c>
      <c r="H4" s="20">
        <v>31</v>
      </c>
      <c r="I4" s="21">
        <f>H4*A4</f>
        <v>48.980000000000004</v>
      </c>
    </row>
    <row r="5" spans="1:9" ht="28.8" x14ac:dyDescent="0.3">
      <c r="A5" s="17"/>
      <c r="B5" s="17"/>
      <c r="C5" s="17"/>
      <c r="D5" s="17"/>
      <c r="E5" s="17"/>
      <c r="F5" s="15"/>
      <c r="G5" s="2" t="s">
        <v>63</v>
      </c>
      <c r="H5" s="20">
        <v>35</v>
      </c>
      <c r="I5" s="21">
        <f>H5*A4</f>
        <v>55.300000000000004</v>
      </c>
    </row>
    <row r="6" spans="1:9" ht="36.6" customHeight="1" x14ac:dyDescent="0.3">
      <c r="A6" s="18"/>
      <c r="B6" s="18"/>
      <c r="C6" s="18"/>
      <c r="D6" s="18"/>
      <c r="E6" s="18"/>
      <c r="F6" s="15"/>
      <c r="G6" s="11" t="s">
        <v>66</v>
      </c>
      <c r="H6" s="20">
        <v>40</v>
      </c>
      <c r="I6" s="21">
        <f>H6*A4</f>
        <v>63.2</v>
      </c>
    </row>
    <row r="7" spans="1:9" ht="22.2" customHeight="1" x14ac:dyDescent="0.3">
      <c r="A7" s="18"/>
      <c r="B7" s="18"/>
      <c r="C7" s="18"/>
      <c r="D7" s="18"/>
      <c r="E7" s="18"/>
      <c r="F7" s="15"/>
      <c r="G7" s="11" t="s">
        <v>67</v>
      </c>
      <c r="H7" s="20">
        <v>60</v>
      </c>
      <c r="I7" s="21">
        <f>H7*A4</f>
        <v>94.800000000000011</v>
      </c>
    </row>
    <row r="8" spans="1:9" ht="15" thickBot="1" x14ac:dyDescent="0.35">
      <c r="A8" s="19"/>
      <c r="B8" s="19"/>
      <c r="C8" s="19"/>
      <c r="D8" s="19"/>
      <c r="E8" s="19"/>
      <c r="F8" s="16"/>
      <c r="G8" s="28" t="s">
        <v>0</v>
      </c>
      <c r="H8" s="22">
        <f>SUM(H4:H7)</f>
        <v>166</v>
      </c>
      <c r="I8" s="10">
        <f>SUM(I4:I7)</f>
        <v>262.28000000000003</v>
      </c>
    </row>
    <row r="9" spans="1:9" x14ac:dyDescent="0.3">
      <c r="A9" s="1"/>
      <c r="B9" s="1"/>
      <c r="C9" s="1"/>
      <c r="D9" s="1"/>
      <c r="E9" s="1"/>
      <c r="F9" s="1"/>
      <c r="G9" s="1"/>
      <c r="H9" s="1"/>
    </row>
    <row r="10" spans="1:9" x14ac:dyDescent="0.3">
      <c r="A10" s="29" t="s">
        <v>4</v>
      </c>
      <c r="B10" s="6" t="s">
        <v>64</v>
      </c>
      <c r="C10" s="6"/>
      <c r="D10" s="6"/>
      <c r="E10" s="6"/>
      <c r="F10" s="6"/>
      <c r="G10" s="6"/>
      <c r="H10" s="1"/>
    </row>
    <row r="11" spans="1:9" x14ac:dyDescent="0.3">
      <c r="A11" s="6"/>
      <c r="B11" s="7" t="s">
        <v>65</v>
      </c>
      <c r="C11" s="6"/>
      <c r="D11" s="6"/>
      <c r="E11" s="6"/>
      <c r="F11" s="6"/>
      <c r="G11" s="6"/>
      <c r="H11" s="1"/>
    </row>
    <row r="12" spans="1:9" x14ac:dyDescent="0.3">
      <c r="A12" s="6"/>
      <c r="B12" s="6"/>
      <c r="C12" s="6"/>
      <c r="D12" s="6"/>
      <c r="E12" s="6"/>
      <c r="F12" s="6"/>
      <c r="G12" s="6"/>
      <c r="H12" s="1"/>
    </row>
    <row r="13" spans="1:9" x14ac:dyDescent="0.3">
      <c r="A13" s="6"/>
      <c r="B13" s="6"/>
      <c r="C13" s="6"/>
      <c r="D13" s="6"/>
      <c r="E13" s="6"/>
      <c r="F13" s="6"/>
      <c r="G13" s="6"/>
      <c r="H13" s="1"/>
    </row>
    <row r="14" spans="1:9" x14ac:dyDescent="0.3">
      <c r="A14" s="6"/>
      <c r="B14" s="6"/>
      <c r="C14" s="6"/>
      <c r="D14" s="6"/>
      <c r="E14" s="6"/>
      <c r="F14" s="6"/>
      <c r="G14" s="6"/>
      <c r="H14" s="1"/>
    </row>
    <row r="15" spans="1:9" x14ac:dyDescent="0.3">
      <c r="A15" s="6" t="s">
        <v>72</v>
      </c>
      <c r="B15" s="6"/>
      <c r="C15" s="6"/>
      <c r="D15" s="6"/>
      <c r="E15" s="6"/>
      <c r="F15" s="6"/>
      <c r="G15" s="6"/>
      <c r="H15" s="6"/>
    </row>
    <row r="16" spans="1:9" ht="15" thickBot="1" x14ac:dyDescent="0.35">
      <c r="A16" s="6"/>
      <c r="B16" s="6"/>
      <c r="C16" s="6"/>
      <c r="D16" s="6"/>
      <c r="E16" s="6"/>
      <c r="F16" s="6"/>
      <c r="G16" s="6"/>
      <c r="H16" s="6"/>
    </row>
    <row r="17" spans="1:11" x14ac:dyDescent="0.3">
      <c r="A17" s="6"/>
      <c r="B17" s="261" t="s">
        <v>9</v>
      </c>
      <c r="C17" s="262"/>
      <c r="D17" s="262"/>
      <c r="E17" s="262"/>
      <c r="F17" s="263"/>
      <c r="G17" s="6"/>
      <c r="H17" s="6"/>
    </row>
    <row r="18" spans="1:11" ht="43.2" x14ac:dyDescent="0.3">
      <c r="A18" s="6"/>
      <c r="B18" s="31" t="s">
        <v>10</v>
      </c>
      <c r="C18" s="32" t="s">
        <v>11</v>
      </c>
      <c r="D18" s="32" t="s">
        <v>12</v>
      </c>
      <c r="E18" s="32" t="s">
        <v>13</v>
      </c>
      <c r="F18" s="33" t="s">
        <v>14</v>
      </c>
      <c r="G18" s="6"/>
      <c r="H18" s="6"/>
    </row>
    <row r="19" spans="1:11" ht="15" thickBot="1" x14ac:dyDescent="0.35">
      <c r="A19" s="6"/>
      <c r="B19" s="8">
        <f>D4-H8</f>
        <v>474</v>
      </c>
      <c r="C19" s="5">
        <f>E4-I8</f>
        <v>748.92000000000007</v>
      </c>
      <c r="D19" s="30">
        <v>4.4999999999999998E-2</v>
      </c>
      <c r="E19" s="22">
        <f>B19*(1/D19)</f>
        <v>10533.333333333332</v>
      </c>
      <c r="F19" s="34">
        <f>C19*(1/D19)</f>
        <v>16642.666666666668</v>
      </c>
      <c r="G19" s="6"/>
      <c r="H19" s="6"/>
    </row>
    <row r="20" spans="1:11" x14ac:dyDescent="0.3">
      <c r="A20" s="6"/>
      <c r="B20" s="1"/>
      <c r="C20" s="1"/>
      <c r="D20" s="1"/>
      <c r="E20" s="1"/>
      <c r="F20" s="6"/>
      <c r="G20" s="6"/>
      <c r="H20" s="6"/>
    </row>
    <row r="21" spans="1:11" x14ac:dyDescent="0.3">
      <c r="A21" s="6"/>
      <c r="B21" s="1"/>
      <c r="C21" s="1"/>
      <c r="D21" s="1"/>
      <c r="E21" s="1"/>
      <c r="F21" s="6"/>
      <c r="G21" s="6"/>
      <c r="H21" s="6"/>
      <c r="K21" s="35"/>
    </row>
    <row r="22" spans="1:11" x14ac:dyDescent="0.3">
      <c r="A22" s="6"/>
      <c r="B22" s="1"/>
      <c r="C22" s="1"/>
      <c r="D22" s="1"/>
      <c r="E22" s="1"/>
      <c r="F22" s="6"/>
      <c r="G22" s="6"/>
      <c r="H22" s="6"/>
    </row>
    <row r="23" spans="1:11" x14ac:dyDescent="0.3">
      <c r="A23" s="6"/>
      <c r="B23" s="1"/>
      <c r="C23" s="1"/>
      <c r="D23" s="1"/>
      <c r="E23" s="1"/>
      <c r="F23" s="6"/>
      <c r="G23" s="6"/>
      <c r="H23" s="6"/>
    </row>
    <row r="24" spans="1:11" x14ac:dyDescent="0.3">
      <c r="A24" s="6"/>
      <c r="B24" s="6"/>
      <c r="C24" s="6"/>
      <c r="D24" s="6"/>
      <c r="E24" s="6"/>
      <c r="F24" s="6"/>
      <c r="G24" s="6"/>
      <c r="H24" s="6"/>
    </row>
    <row r="25" spans="1:11" x14ac:dyDescent="0.3">
      <c r="A25" s="1"/>
      <c r="B25" s="1"/>
      <c r="C25" s="1"/>
      <c r="D25" s="1"/>
      <c r="E25" s="1"/>
      <c r="F25" s="1"/>
      <c r="G25" s="1"/>
      <c r="H25" s="1"/>
    </row>
    <row r="26" spans="1:11" x14ac:dyDescent="0.3">
      <c r="A26" s="1"/>
      <c r="B26" s="1"/>
      <c r="C26" s="1"/>
      <c r="D26" s="1"/>
      <c r="E26" s="1"/>
      <c r="F26" s="1"/>
      <c r="G26" s="1"/>
      <c r="H26" s="1"/>
    </row>
    <row r="27" spans="1:11" x14ac:dyDescent="0.3">
      <c r="A27" s="1"/>
      <c r="B27" s="1"/>
      <c r="C27" s="1"/>
      <c r="D27" s="1"/>
      <c r="E27" s="1"/>
      <c r="F27" s="1"/>
      <c r="G27" s="1"/>
      <c r="H27" s="1"/>
    </row>
    <row r="28" spans="1:11" x14ac:dyDescent="0.3">
      <c r="A28" s="1"/>
      <c r="B28" s="1"/>
      <c r="C28" s="1"/>
      <c r="D28" s="1"/>
      <c r="E28" s="1"/>
      <c r="F28" s="1"/>
      <c r="G28" s="1"/>
      <c r="H28" s="1"/>
    </row>
    <row r="29" spans="1:11" x14ac:dyDescent="0.3">
      <c r="A29" s="1"/>
      <c r="B29" s="1"/>
      <c r="C29" s="1"/>
      <c r="D29" s="1"/>
      <c r="E29" s="1"/>
      <c r="F29" s="1"/>
      <c r="G29" s="1"/>
      <c r="H29" s="1"/>
    </row>
    <row r="30" spans="1:11" x14ac:dyDescent="0.3">
      <c r="A30" s="1"/>
      <c r="B30" s="1"/>
      <c r="C30" s="1"/>
      <c r="D30" s="1"/>
      <c r="E30" s="1"/>
      <c r="F30" s="1"/>
      <c r="G30" s="1"/>
      <c r="H30" s="1"/>
    </row>
    <row r="31" spans="1:11" x14ac:dyDescent="0.3">
      <c r="A31" s="1"/>
      <c r="B31" s="1"/>
      <c r="C31" s="1"/>
      <c r="D31" s="1"/>
      <c r="E31" s="1"/>
      <c r="F31" s="1"/>
      <c r="G31" s="1"/>
      <c r="H31" s="1"/>
    </row>
    <row r="32" spans="1:11" x14ac:dyDescent="0.3">
      <c r="A32" s="1"/>
      <c r="B32" s="1"/>
      <c r="C32" s="1"/>
      <c r="D32" s="1"/>
      <c r="E32" s="1"/>
      <c r="F32" s="1"/>
      <c r="G32" s="1"/>
      <c r="H32" s="1"/>
    </row>
  </sheetData>
  <mergeCells count="3">
    <mergeCell ref="G2:I2"/>
    <mergeCell ref="A2:E2"/>
    <mergeCell ref="B17:F17"/>
  </mergeCells>
  <hyperlinks>
    <hyperlink ref="B11" r:id="rId1" xr:uid="{3B5A780D-848A-4A2F-8B1E-08B6CB9FD90B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8A2A-73B5-447B-AAB4-975E15DC8ABA}">
  <dimension ref="A1:AL145"/>
  <sheetViews>
    <sheetView topLeftCell="P1" zoomScale="70" zoomScaleNormal="70" workbookViewId="0">
      <pane ySplit="3" topLeftCell="A142" activePane="bottomLeft" state="frozen"/>
      <selection activeCell="G1" sqref="G1"/>
      <selection pane="bottomLeft" activeCell="N18" sqref="N18"/>
    </sheetView>
  </sheetViews>
  <sheetFormatPr baseColWidth="10" defaultRowHeight="14.4" x14ac:dyDescent="0.3"/>
  <cols>
    <col min="2" max="2" width="12.5546875" customWidth="1"/>
    <col min="4" max="4" width="13.44140625" customWidth="1"/>
    <col min="5" max="5" width="10.88671875" customWidth="1"/>
    <col min="6" max="6" width="14.109375" customWidth="1"/>
    <col min="8" max="8" width="12.44140625" customWidth="1"/>
    <col min="10" max="10" width="13" customWidth="1"/>
    <col min="11" max="11" width="13.6640625" customWidth="1"/>
    <col min="12" max="12" width="7.21875" customWidth="1"/>
    <col min="13" max="13" width="7.6640625" customWidth="1"/>
    <col min="14" max="14" width="12.6640625" customWidth="1"/>
    <col min="15" max="15" width="12.5546875" customWidth="1"/>
    <col min="35" max="35" width="13.44140625" customWidth="1"/>
    <col min="37" max="37" width="14" customWidth="1"/>
  </cols>
  <sheetData>
    <row r="1" spans="1:38" ht="15" thickBot="1" x14ac:dyDescent="0.35">
      <c r="G1" s="264" t="s">
        <v>58</v>
      </c>
      <c r="H1" s="265"/>
      <c r="I1" s="265"/>
      <c r="J1" s="266"/>
      <c r="Z1" s="35"/>
    </row>
    <row r="2" spans="1:38" ht="15" thickBot="1" x14ac:dyDescent="0.35">
      <c r="Z2" s="35"/>
    </row>
    <row r="3" spans="1:38" ht="72.599999999999994" thickBot="1" x14ac:dyDescent="0.35">
      <c r="A3" s="176" t="s">
        <v>15</v>
      </c>
      <c r="B3" s="170" t="s">
        <v>30</v>
      </c>
      <c r="C3" s="171" t="s">
        <v>36</v>
      </c>
      <c r="D3" s="171" t="s">
        <v>37</v>
      </c>
      <c r="E3" s="228" t="s">
        <v>29</v>
      </c>
      <c r="F3" s="176" t="s">
        <v>59</v>
      </c>
      <c r="G3" s="75"/>
      <c r="H3" s="199" t="s">
        <v>24</v>
      </c>
      <c r="I3" s="73" t="s">
        <v>51</v>
      </c>
      <c r="J3" s="73" t="s">
        <v>55</v>
      </c>
      <c r="K3" s="74" t="s">
        <v>54</v>
      </c>
      <c r="L3" s="75"/>
      <c r="M3" s="19"/>
      <c r="N3" s="71" t="s">
        <v>56</v>
      </c>
      <c r="O3" s="72" t="s">
        <v>24</v>
      </c>
      <c r="P3" s="73" t="s">
        <v>52</v>
      </c>
      <c r="Q3" s="73" t="s">
        <v>53</v>
      </c>
      <c r="R3" s="76" t="s">
        <v>57</v>
      </c>
      <c r="S3" s="77"/>
      <c r="T3" s="78" t="s">
        <v>40</v>
      </c>
      <c r="U3" s="79" t="s">
        <v>25</v>
      </c>
      <c r="V3" s="62" t="s">
        <v>43</v>
      </c>
      <c r="W3" s="37" t="s">
        <v>44</v>
      </c>
      <c r="X3" s="80" t="s">
        <v>26</v>
      </c>
      <c r="Y3" s="81" t="s">
        <v>27</v>
      </c>
      <c r="Z3" s="77"/>
      <c r="AA3" s="63" t="s">
        <v>41</v>
      </c>
      <c r="AB3" s="63" t="s">
        <v>45</v>
      </c>
      <c r="AC3" s="60" t="s">
        <v>28</v>
      </c>
      <c r="AD3" s="60" t="s">
        <v>46</v>
      </c>
      <c r="AE3" s="82" t="s">
        <v>47</v>
      </c>
      <c r="AF3" s="77"/>
      <c r="AG3" s="83" t="s">
        <v>42</v>
      </c>
      <c r="AH3" s="84" t="s">
        <v>48</v>
      </c>
      <c r="AI3" s="85" t="s">
        <v>49</v>
      </c>
      <c r="AJ3" s="158"/>
      <c r="AK3" s="166" t="s">
        <v>50</v>
      </c>
      <c r="AL3" s="175"/>
    </row>
    <row r="4" spans="1:38" x14ac:dyDescent="0.3">
      <c r="A4" s="182">
        <v>0</v>
      </c>
      <c r="B4" s="210">
        <v>0.5</v>
      </c>
      <c r="C4" s="212">
        <v>0.02</v>
      </c>
      <c r="D4" s="177">
        <f>C4*PI()</f>
        <v>6.2831853071795868E-2</v>
      </c>
      <c r="E4" s="225">
        <f>(D4^2/(4*PI()))*B4*0.496</f>
        <v>7.7911497809026877E-5</v>
      </c>
      <c r="F4" s="229">
        <f>E4*1120</f>
        <v>8.7260877546110102E-2</v>
      </c>
      <c r="H4" s="200"/>
      <c r="I4" s="86"/>
      <c r="J4" s="87"/>
      <c r="K4" s="88">
        <f>F4</f>
        <v>8.7260877546110102E-2</v>
      </c>
      <c r="L4" s="89"/>
      <c r="M4" s="179"/>
      <c r="N4" s="90">
        <f t="shared" ref="N4:N35" si="0">F4/1.56</f>
        <v>5.5936459965455189E-2</v>
      </c>
      <c r="O4" s="91"/>
      <c r="P4" s="86"/>
      <c r="Q4" s="87"/>
      <c r="R4" s="88">
        <f>N4</f>
        <v>5.5936459965455189E-2</v>
      </c>
      <c r="S4" s="92"/>
      <c r="T4" s="93"/>
      <c r="U4" s="94"/>
      <c r="V4" s="95"/>
      <c r="W4" s="96"/>
      <c r="X4" s="97"/>
      <c r="Y4" s="98"/>
      <c r="Z4" s="99"/>
      <c r="AA4" s="100"/>
      <c r="AB4" s="101"/>
      <c r="AC4" s="102"/>
      <c r="AD4" s="103"/>
      <c r="AE4" s="104"/>
      <c r="AF4" s="105"/>
      <c r="AG4" s="106"/>
      <c r="AH4" s="107"/>
      <c r="AI4" s="108"/>
      <c r="AJ4" s="162"/>
      <c r="AK4" s="167">
        <f>W4+AE4+AI4</f>
        <v>0</v>
      </c>
      <c r="AL4" s="174"/>
    </row>
    <row r="5" spans="1:38" x14ac:dyDescent="0.3">
      <c r="A5" s="183">
        <v>1</v>
      </c>
      <c r="B5" s="211">
        <f>((B18-B4)/14)+B4</f>
        <v>0.89999999999999991</v>
      </c>
      <c r="C5" s="221">
        <f>((C18-C4)/14)+C4</f>
        <v>2.3714285714285716E-2</v>
      </c>
      <c r="D5" s="177">
        <f t="shared" ref="D5:D68" si="1">C5*PI()</f>
        <v>7.4500625785129379E-2</v>
      </c>
      <c r="E5" s="225">
        <f t="shared" ref="E5:E68" si="2">(D5^2/(4*PI()))*B5*0.496</f>
        <v>1.9716697043499896E-4</v>
      </c>
      <c r="F5" s="229">
        <f t="shared" ref="F5:F68" si="3">E5*1120</f>
        <v>0.22082700688719883</v>
      </c>
      <c r="H5" s="200"/>
      <c r="I5" s="86"/>
      <c r="J5" s="87"/>
      <c r="K5" s="88">
        <f t="shared" ref="K5:K36" si="4">F5</f>
        <v>0.22082700688719883</v>
      </c>
      <c r="L5" s="89"/>
      <c r="M5" s="179"/>
      <c r="N5" s="90">
        <f t="shared" si="0"/>
        <v>0.14155577364564029</v>
      </c>
      <c r="O5" s="91"/>
      <c r="P5" s="86"/>
      <c r="Q5" s="87"/>
      <c r="R5" s="88">
        <f t="shared" ref="R5:R36" si="5">N5</f>
        <v>0.14155577364564029</v>
      </c>
      <c r="S5" s="92"/>
      <c r="T5" s="109"/>
      <c r="U5" s="94"/>
      <c r="V5" s="110"/>
      <c r="W5" s="111"/>
      <c r="X5" s="112"/>
      <c r="Y5" s="113"/>
      <c r="Z5" s="114"/>
      <c r="AA5" s="115"/>
      <c r="AB5" s="101"/>
      <c r="AC5" s="116"/>
      <c r="AD5" s="117"/>
      <c r="AE5" s="118"/>
      <c r="AF5" s="119"/>
      <c r="AG5" s="120"/>
      <c r="AH5" s="121"/>
      <c r="AI5" s="122"/>
      <c r="AJ5" s="163"/>
      <c r="AK5" s="167">
        <f t="shared" ref="AK5:AK68" si="6">W5+AE5+AI5</f>
        <v>0</v>
      </c>
      <c r="AL5" s="174"/>
    </row>
    <row r="6" spans="1:38" x14ac:dyDescent="0.3">
      <c r="A6" s="184">
        <v>2</v>
      </c>
      <c r="B6" s="211">
        <f>((B18-B4)/14)+B5</f>
        <v>1.2999999999999998</v>
      </c>
      <c r="C6" s="221">
        <f>((C18-C4)/14)+C5</f>
        <v>2.7428571428571431E-2</v>
      </c>
      <c r="D6" s="177">
        <f t="shared" si="1"/>
        <v>8.6169398498462904E-2</v>
      </c>
      <c r="E6" s="225">
        <f t="shared" si="2"/>
        <v>3.8099676446954657E-4</v>
      </c>
      <c r="F6" s="229">
        <f t="shared" si="3"/>
        <v>0.42671637620589215</v>
      </c>
      <c r="H6" s="201"/>
      <c r="I6" s="86"/>
      <c r="J6" s="123"/>
      <c r="K6" s="88">
        <f t="shared" si="4"/>
        <v>0.42671637620589215</v>
      </c>
      <c r="L6" s="89"/>
      <c r="M6" s="179"/>
      <c r="N6" s="90">
        <f t="shared" si="0"/>
        <v>0.27353613859352061</v>
      </c>
      <c r="O6" s="124"/>
      <c r="P6" s="86"/>
      <c r="Q6" s="123"/>
      <c r="R6" s="88">
        <f t="shared" si="5"/>
        <v>0.27353613859352061</v>
      </c>
      <c r="S6" s="92"/>
      <c r="T6" s="109"/>
      <c r="U6" s="94"/>
      <c r="V6" s="110"/>
      <c r="W6" s="111"/>
      <c r="X6" s="112"/>
      <c r="Y6" s="113"/>
      <c r="Z6" s="114"/>
      <c r="AA6" s="115"/>
      <c r="AB6" s="101"/>
      <c r="AC6" s="116"/>
      <c r="AD6" s="117"/>
      <c r="AE6" s="118"/>
      <c r="AF6" s="119"/>
      <c r="AG6" s="120"/>
      <c r="AH6" s="121"/>
      <c r="AI6" s="122"/>
      <c r="AJ6" s="163"/>
      <c r="AK6" s="167">
        <f t="shared" si="6"/>
        <v>0</v>
      </c>
      <c r="AL6" s="174"/>
    </row>
    <row r="7" spans="1:38" x14ac:dyDescent="0.3">
      <c r="A7" s="184">
        <v>3</v>
      </c>
      <c r="B7" s="211">
        <f>((B18-B4)/14)+B6</f>
        <v>1.6999999999999997</v>
      </c>
      <c r="C7" s="221">
        <f>((C18-C4)/14)+C6</f>
        <v>3.1142857142857146E-2</v>
      </c>
      <c r="D7" s="177">
        <f t="shared" si="1"/>
        <v>9.7838171211796429E-2</v>
      </c>
      <c r="E7" s="225">
        <f t="shared" si="2"/>
        <v>6.4229920787648267E-4</v>
      </c>
      <c r="F7" s="229">
        <f t="shared" si="3"/>
        <v>0.71937511282166056</v>
      </c>
      <c r="H7" s="201"/>
      <c r="I7" s="86"/>
      <c r="J7" s="123"/>
      <c r="K7" s="88">
        <f t="shared" si="4"/>
        <v>0.71937511282166056</v>
      </c>
      <c r="L7" s="89"/>
      <c r="M7" s="179"/>
      <c r="N7" s="90">
        <f t="shared" si="0"/>
        <v>0.46113789283439777</v>
      </c>
      <c r="O7" s="124"/>
      <c r="P7" s="86"/>
      <c r="Q7" s="123"/>
      <c r="R7" s="88">
        <f t="shared" si="5"/>
        <v>0.46113789283439777</v>
      </c>
      <c r="S7" s="92"/>
      <c r="T7" s="109"/>
      <c r="U7" s="94"/>
      <c r="V7" s="110"/>
      <c r="W7" s="111"/>
      <c r="X7" s="112"/>
      <c r="Y7" s="113"/>
      <c r="Z7" s="114"/>
      <c r="AA7" s="115"/>
      <c r="AB7" s="101"/>
      <c r="AC7" s="116"/>
      <c r="AD7" s="117"/>
      <c r="AE7" s="118"/>
      <c r="AF7" s="119"/>
      <c r="AG7" s="120"/>
      <c r="AH7" s="121"/>
      <c r="AI7" s="122"/>
      <c r="AJ7" s="163"/>
      <c r="AK7" s="167">
        <f t="shared" si="6"/>
        <v>0</v>
      </c>
      <c r="AL7" s="174"/>
    </row>
    <row r="8" spans="1:38" x14ac:dyDescent="0.3">
      <c r="A8" s="184">
        <v>4</v>
      </c>
      <c r="B8" s="211">
        <f>((B18-B4)/14)+B7</f>
        <v>2.0999999999999996</v>
      </c>
      <c r="C8" s="221">
        <f>((C18-C4)/14)+C7</f>
        <v>3.4857142857142857E-2</v>
      </c>
      <c r="D8" s="177">
        <f t="shared" si="1"/>
        <v>0.10950694392512993</v>
      </c>
      <c r="E8" s="225">
        <f t="shared" si="2"/>
        <v>9.9397262861961912E-4</v>
      </c>
      <c r="F8" s="229">
        <f t="shared" si="3"/>
        <v>1.1132493440539735</v>
      </c>
      <c r="H8" s="201"/>
      <c r="I8" s="86"/>
      <c r="J8" s="123"/>
      <c r="K8" s="88">
        <f t="shared" si="4"/>
        <v>1.1132493440539735</v>
      </c>
      <c r="L8" s="89"/>
      <c r="M8" s="179"/>
      <c r="N8" s="90">
        <f t="shared" si="0"/>
        <v>0.71362137439357276</v>
      </c>
      <c r="O8" s="124"/>
      <c r="P8" s="86"/>
      <c r="Q8" s="123"/>
      <c r="R8" s="88">
        <f t="shared" si="5"/>
        <v>0.71362137439357276</v>
      </c>
      <c r="S8" s="92"/>
      <c r="T8" s="109"/>
      <c r="U8" s="94"/>
      <c r="V8" s="110"/>
      <c r="W8" s="111"/>
      <c r="X8" s="112"/>
      <c r="Y8" s="113"/>
      <c r="Z8" s="114"/>
      <c r="AA8" s="115"/>
      <c r="AB8" s="101"/>
      <c r="AC8" s="116"/>
      <c r="AD8" s="117"/>
      <c r="AE8" s="118"/>
      <c r="AF8" s="119"/>
      <c r="AG8" s="120"/>
      <c r="AH8" s="121"/>
      <c r="AI8" s="122"/>
      <c r="AJ8" s="163"/>
      <c r="AK8" s="167">
        <f t="shared" si="6"/>
        <v>0</v>
      </c>
      <c r="AL8" s="174"/>
    </row>
    <row r="9" spans="1:38" x14ac:dyDescent="0.3">
      <c r="A9" s="184">
        <v>5</v>
      </c>
      <c r="B9" s="211">
        <f>((B18-B4)/14)+B8</f>
        <v>2.4999999999999996</v>
      </c>
      <c r="C9" s="221">
        <f>((C18-C4)/14)+C8</f>
        <v>3.8571428571428569E-2</v>
      </c>
      <c r="D9" s="177">
        <f t="shared" si="1"/>
        <v>0.12117571663846344</v>
      </c>
      <c r="E9" s="225">
        <f t="shared" si="2"/>
        <v>1.4489153546627695E-3</v>
      </c>
      <c r="F9" s="229">
        <f t="shared" si="3"/>
        <v>1.6227851972223017</v>
      </c>
      <c r="H9" s="201"/>
      <c r="I9" s="86"/>
      <c r="J9" s="123"/>
      <c r="K9" s="88">
        <f t="shared" si="4"/>
        <v>1.6227851972223017</v>
      </c>
      <c r="L9" s="89"/>
      <c r="M9" s="179"/>
      <c r="N9" s="90">
        <f t="shared" si="0"/>
        <v>1.0402469212963472</v>
      </c>
      <c r="O9" s="124"/>
      <c r="P9" s="86"/>
      <c r="Q9" s="123"/>
      <c r="R9" s="88">
        <f t="shared" si="5"/>
        <v>1.0402469212963472</v>
      </c>
      <c r="S9" s="92"/>
      <c r="T9" s="109"/>
      <c r="U9" s="94"/>
      <c r="V9" s="110"/>
      <c r="W9" s="111"/>
      <c r="X9" s="112"/>
      <c r="Y9" s="113"/>
      <c r="Z9" s="114"/>
      <c r="AA9" s="115"/>
      <c r="AB9" s="101"/>
      <c r="AC9" s="116"/>
      <c r="AD9" s="117"/>
      <c r="AE9" s="118"/>
      <c r="AF9" s="119"/>
      <c r="AG9" s="120"/>
      <c r="AH9" s="121"/>
      <c r="AI9" s="122"/>
      <c r="AJ9" s="163"/>
      <c r="AK9" s="167">
        <f t="shared" si="6"/>
        <v>0</v>
      </c>
      <c r="AL9" s="174"/>
    </row>
    <row r="10" spans="1:38" x14ac:dyDescent="0.3">
      <c r="A10" s="184">
        <v>6</v>
      </c>
      <c r="B10" s="211">
        <f>((B18-B4)/14)+B9</f>
        <v>2.8999999999999995</v>
      </c>
      <c r="C10" s="221">
        <f>((C18-C4)/14)+C9</f>
        <v>4.2285714285714281E-2</v>
      </c>
      <c r="D10" s="177">
        <f t="shared" si="1"/>
        <v>0.13284448935179696</v>
      </c>
      <c r="E10" s="225">
        <f t="shared" si="2"/>
        <v>2.020025713969747E-3</v>
      </c>
      <c r="F10" s="229">
        <f t="shared" si="3"/>
        <v>2.2624287996461168</v>
      </c>
      <c r="H10" s="201"/>
      <c r="I10" s="86"/>
      <c r="J10" s="123"/>
      <c r="K10" s="88">
        <f t="shared" si="4"/>
        <v>2.2624287996461168</v>
      </c>
      <c r="L10" s="89"/>
      <c r="M10" s="179"/>
      <c r="N10" s="90">
        <f t="shared" si="0"/>
        <v>1.4502748715680236</v>
      </c>
      <c r="O10" s="124"/>
      <c r="P10" s="86"/>
      <c r="Q10" s="123"/>
      <c r="R10" s="88">
        <f t="shared" si="5"/>
        <v>1.4502748715680236</v>
      </c>
      <c r="S10" s="92"/>
      <c r="T10" s="109"/>
      <c r="U10" s="94"/>
      <c r="V10" s="110"/>
      <c r="W10" s="111"/>
      <c r="X10" s="112"/>
      <c r="Y10" s="113"/>
      <c r="Z10" s="114"/>
      <c r="AA10" s="115"/>
      <c r="AB10" s="101"/>
      <c r="AC10" s="116"/>
      <c r="AD10" s="117"/>
      <c r="AE10" s="118"/>
      <c r="AF10" s="119"/>
      <c r="AG10" s="120"/>
      <c r="AH10" s="121"/>
      <c r="AI10" s="122"/>
      <c r="AJ10" s="163"/>
      <c r="AK10" s="167">
        <f t="shared" si="6"/>
        <v>0</v>
      </c>
      <c r="AL10" s="174"/>
    </row>
    <row r="11" spans="1:38" x14ac:dyDescent="0.3">
      <c r="A11" s="184">
        <v>7</v>
      </c>
      <c r="B11" s="211">
        <f>((B18-B4)/14)+B10</f>
        <v>3.2999999999999994</v>
      </c>
      <c r="C11" s="221">
        <f>((C18-C4)/14)+C10</f>
        <v>4.5999999999999992E-2</v>
      </c>
      <c r="D11" s="177">
        <f t="shared" si="1"/>
        <v>0.14451326206513046</v>
      </c>
      <c r="E11" s="225">
        <f t="shared" si="2"/>
        <v>2.7202020345043626E-3</v>
      </c>
      <c r="F11" s="229">
        <f t="shared" si="3"/>
        <v>3.0466262786448861</v>
      </c>
      <c r="H11" s="201"/>
      <c r="I11" s="86"/>
      <c r="J11" s="123"/>
      <c r="K11" s="88">
        <f t="shared" si="4"/>
        <v>3.0466262786448861</v>
      </c>
      <c r="L11" s="89"/>
      <c r="M11" s="179"/>
      <c r="N11" s="90">
        <f t="shared" si="0"/>
        <v>1.9529655632339014</v>
      </c>
      <c r="O11" s="124"/>
      <c r="P11" s="86"/>
      <c r="Q11" s="123"/>
      <c r="R11" s="88">
        <f t="shared" si="5"/>
        <v>1.9529655632339014</v>
      </c>
      <c r="S11" s="92"/>
      <c r="T11" s="109"/>
      <c r="U11" s="94"/>
      <c r="V11" s="110"/>
      <c r="W11" s="111"/>
      <c r="X11" s="112"/>
      <c r="Y11" s="113"/>
      <c r="Z11" s="114"/>
      <c r="AA11" s="115"/>
      <c r="AB11" s="101"/>
      <c r="AC11" s="116"/>
      <c r="AD11" s="117"/>
      <c r="AE11" s="118"/>
      <c r="AF11" s="119"/>
      <c r="AG11" s="120"/>
      <c r="AH11" s="121"/>
      <c r="AI11" s="122"/>
      <c r="AJ11" s="163"/>
      <c r="AK11" s="167">
        <f t="shared" si="6"/>
        <v>0</v>
      </c>
      <c r="AL11" s="174"/>
    </row>
    <row r="12" spans="1:38" x14ac:dyDescent="0.3">
      <c r="A12" s="184">
        <v>8</v>
      </c>
      <c r="B12" s="211">
        <f>((B18-B4)/14)+B11</f>
        <v>3.6999999999999993</v>
      </c>
      <c r="C12" s="221">
        <f>((C18-C4)/14)+C11</f>
        <v>4.9714285714285704E-2</v>
      </c>
      <c r="D12" s="177">
        <f t="shared" si="1"/>
        <v>0.15618203477846396</v>
      </c>
      <c r="E12" s="225">
        <f t="shared" si="2"/>
        <v>3.5623426442304303E-3</v>
      </c>
      <c r="F12" s="229">
        <f t="shared" si="3"/>
        <v>3.9898237615380818</v>
      </c>
      <c r="H12" s="201"/>
      <c r="I12" s="86"/>
      <c r="J12" s="123"/>
      <c r="K12" s="88">
        <f t="shared" si="4"/>
        <v>3.9898237615380818</v>
      </c>
      <c r="L12" s="89"/>
      <c r="M12" s="179"/>
      <c r="N12" s="90">
        <f t="shared" si="0"/>
        <v>2.557579334319283</v>
      </c>
      <c r="O12" s="124"/>
      <c r="P12" s="86"/>
      <c r="Q12" s="123"/>
      <c r="R12" s="88">
        <f t="shared" si="5"/>
        <v>2.557579334319283</v>
      </c>
      <c r="S12" s="92"/>
      <c r="T12" s="109"/>
      <c r="U12" s="94"/>
      <c r="V12" s="110"/>
      <c r="W12" s="111"/>
      <c r="X12" s="112"/>
      <c r="Y12" s="113"/>
      <c r="Z12" s="114"/>
      <c r="AA12" s="115"/>
      <c r="AB12" s="101"/>
      <c r="AC12" s="116"/>
      <c r="AD12" s="117"/>
      <c r="AE12" s="118"/>
      <c r="AF12" s="119"/>
      <c r="AG12" s="120"/>
      <c r="AH12" s="121"/>
      <c r="AI12" s="122"/>
      <c r="AJ12" s="163"/>
      <c r="AK12" s="167">
        <f t="shared" si="6"/>
        <v>0</v>
      </c>
      <c r="AL12" s="174"/>
    </row>
    <row r="13" spans="1:38" x14ac:dyDescent="0.3">
      <c r="A13" s="184">
        <v>9</v>
      </c>
      <c r="B13" s="211">
        <f>((B18-B4)/14)+B12</f>
        <v>4.0999999999999996</v>
      </c>
      <c r="C13" s="221">
        <f>((C18-C4)/14)+C12</f>
        <v>5.3428571428571416E-2</v>
      </c>
      <c r="D13" s="177">
        <f t="shared" si="1"/>
        <v>0.16785080749179748</v>
      </c>
      <c r="E13" s="225">
        <f t="shared" si="2"/>
        <v>4.5593458711117646E-3</v>
      </c>
      <c r="F13" s="229">
        <f t="shared" si="3"/>
        <v>5.1064673756451766</v>
      </c>
      <c r="H13" s="201"/>
      <c r="I13" s="86"/>
      <c r="J13" s="123"/>
      <c r="K13" s="88">
        <f t="shared" si="4"/>
        <v>5.1064673756451766</v>
      </c>
      <c r="L13" s="89"/>
      <c r="M13" s="179"/>
      <c r="N13" s="90">
        <f t="shared" si="0"/>
        <v>3.273376522849472</v>
      </c>
      <c r="O13" s="124"/>
      <c r="P13" s="86"/>
      <c r="Q13" s="123"/>
      <c r="R13" s="88">
        <f t="shared" si="5"/>
        <v>3.273376522849472</v>
      </c>
      <c r="S13" s="92"/>
      <c r="T13" s="109"/>
      <c r="U13" s="94"/>
      <c r="V13" s="110"/>
      <c r="W13" s="111"/>
      <c r="X13" s="112"/>
      <c r="Y13" s="113"/>
      <c r="Z13" s="114"/>
      <c r="AA13" s="115"/>
      <c r="AB13" s="101"/>
      <c r="AC13" s="116"/>
      <c r="AD13" s="117"/>
      <c r="AE13" s="118"/>
      <c r="AF13" s="119"/>
      <c r="AG13" s="120"/>
      <c r="AH13" s="121"/>
      <c r="AI13" s="122"/>
      <c r="AJ13" s="163"/>
      <c r="AK13" s="167">
        <f t="shared" si="6"/>
        <v>0</v>
      </c>
      <c r="AL13" s="174"/>
    </row>
    <row r="14" spans="1:38" x14ac:dyDescent="0.3">
      <c r="A14" s="184">
        <v>10</v>
      </c>
      <c r="B14" s="211">
        <f>((B18-B4)/14)+B13</f>
        <v>4.5</v>
      </c>
      <c r="C14" s="221">
        <f>((C18-C4)/14)+C13</f>
        <v>5.7142857142857127E-2</v>
      </c>
      <c r="D14" s="177">
        <f t="shared" si="1"/>
        <v>0.17951958020513098</v>
      </c>
      <c r="E14" s="225">
        <f t="shared" si="2"/>
        <v>5.7241100431121746E-3</v>
      </c>
      <c r="F14" s="229">
        <f t="shared" si="3"/>
        <v>6.4110032482856356</v>
      </c>
      <c r="H14" s="201"/>
      <c r="I14" s="86"/>
      <c r="J14" s="123"/>
      <c r="K14" s="88">
        <f t="shared" si="4"/>
        <v>6.4110032482856356</v>
      </c>
      <c r="L14" s="89"/>
      <c r="M14" s="179"/>
      <c r="N14" s="90">
        <f t="shared" si="0"/>
        <v>4.109617466849766</v>
      </c>
      <c r="O14" s="124"/>
      <c r="P14" s="86"/>
      <c r="Q14" s="123"/>
      <c r="R14" s="88">
        <f t="shared" si="5"/>
        <v>4.109617466849766</v>
      </c>
      <c r="S14" s="92"/>
      <c r="T14" s="109"/>
      <c r="U14" s="94"/>
      <c r="V14" s="110"/>
      <c r="W14" s="111"/>
      <c r="X14" s="112"/>
      <c r="Y14" s="113"/>
      <c r="Z14" s="114"/>
      <c r="AA14" s="115"/>
      <c r="AB14" s="101"/>
      <c r="AC14" s="116"/>
      <c r="AD14" s="117"/>
      <c r="AE14" s="118"/>
      <c r="AF14" s="119"/>
      <c r="AG14" s="120"/>
      <c r="AH14" s="121"/>
      <c r="AI14" s="122"/>
      <c r="AJ14" s="163"/>
      <c r="AK14" s="167">
        <f t="shared" si="6"/>
        <v>0</v>
      </c>
      <c r="AL14" s="174"/>
    </row>
    <row r="15" spans="1:38" x14ac:dyDescent="0.3">
      <c r="A15" s="184">
        <v>11</v>
      </c>
      <c r="B15" s="211">
        <f>((B18-B4)/14)+B14</f>
        <v>4.9000000000000004</v>
      </c>
      <c r="C15" s="221">
        <f>((C18-C4)/14)+C14</f>
        <v>6.0857142857142839E-2</v>
      </c>
      <c r="D15" s="177">
        <f t="shared" si="1"/>
        <v>0.1911883529184645</v>
      </c>
      <c r="E15" s="225">
        <f t="shared" si="2"/>
        <v>7.0695334881954765E-3</v>
      </c>
      <c r="F15" s="229">
        <f t="shared" si="3"/>
        <v>7.9178775067789333</v>
      </c>
      <c r="H15" s="201"/>
      <c r="I15" s="86"/>
      <c r="J15" s="123"/>
      <c r="K15" s="88">
        <f t="shared" si="4"/>
        <v>7.9178775067789333</v>
      </c>
      <c r="L15" s="89"/>
      <c r="M15" s="179"/>
      <c r="N15" s="90">
        <f t="shared" si="0"/>
        <v>5.07556250434547</v>
      </c>
      <c r="O15" s="124"/>
      <c r="P15" s="86"/>
      <c r="Q15" s="123"/>
      <c r="R15" s="88">
        <f t="shared" si="5"/>
        <v>5.07556250434547</v>
      </c>
      <c r="S15" s="92"/>
      <c r="T15" s="109"/>
      <c r="U15" s="94"/>
      <c r="V15" s="110"/>
      <c r="W15" s="111"/>
      <c r="X15" s="112"/>
      <c r="Y15" s="113"/>
      <c r="Z15" s="114"/>
      <c r="AA15" s="115"/>
      <c r="AB15" s="101"/>
      <c r="AC15" s="116"/>
      <c r="AD15" s="117"/>
      <c r="AE15" s="118"/>
      <c r="AF15" s="119"/>
      <c r="AG15" s="120"/>
      <c r="AH15" s="121"/>
      <c r="AI15" s="122"/>
      <c r="AJ15" s="163"/>
      <c r="AK15" s="167">
        <f t="shared" si="6"/>
        <v>0</v>
      </c>
      <c r="AL15" s="174"/>
    </row>
    <row r="16" spans="1:38" x14ac:dyDescent="0.3">
      <c r="A16" s="184">
        <v>12</v>
      </c>
      <c r="B16" s="211">
        <f>((B18-B4)/14)+B15</f>
        <v>5.3000000000000007</v>
      </c>
      <c r="C16" s="221">
        <f>((C18-C4)/14)+C15</f>
        <v>6.4571428571428557E-2</v>
      </c>
      <c r="D16" s="177">
        <f t="shared" si="1"/>
        <v>0.20285712563179803</v>
      </c>
      <c r="E16" s="225">
        <f t="shared" si="2"/>
        <v>8.6085145343254826E-3</v>
      </c>
      <c r="F16" s="229">
        <f t="shared" si="3"/>
        <v>9.6415362784445406</v>
      </c>
      <c r="H16" s="201"/>
      <c r="I16" s="86"/>
      <c r="J16" s="123"/>
      <c r="K16" s="88">
        <f t="shared" si="4"/>
        <v>9.6415362784445406</v>
      </c>
      <c r="L16" s="89"/>
      <c r="M16" s="179"/>
      <c r="N16" s="90">
        <f t="shared" si="0"/>
        <v>6.1804719733618851</v>
      </c>
      <c r="O16" s="124"/>
      <c r="P16" s="86"/>
      <c r="Q16" s="123"/>
      <c r="R16" s="88">
        <f t="shared" si="5"/>
        <v>6.1804719733618851</v>
      </c>
      <c r="S16" s="92"/>
      <c r="T16" s="109"/>
      <c r="U16" s="94"/>
      <c r="V16" s="110"/>
      <c r="W16" s="111"/>
      <c r="X16" s="112"/>
      <c r="Y16" s="113"/>
      <c r="Z16" s="114"/>
      <c r="AA16" s="115"/>
      <c r="AB16" s="101"/>
      <c r="AC16" s="116"/>
      <c r="AD16" s="117"/>
      <c r="AE16" s="118"/>
      <c r="AF16" s="119"/>
      <c r="AG16" s="120"/>
      <c r="AH16" s="121"/>
      <c r="AI16" s="122"/>
      <c r="AJ16" s="163"/>
      <c r="AK16" s="167">
        <f t="shared" si="6"/>
        <v>0</v>
      </c>
      <c r="AL16" s="174"/>
    </row>
    <row r="17" spans="1:38" x14ac:dyDescent="0.3">
      <c r="A17" s="184">
        <v>13</v>
      </c>
      <c r="B17" s="211">
        <f>((B18-B4)/14)+B16</f>
        <v>5.7000000000000011</v>
      </c>
      <c r="C17" s="221">
        <f>((C18-C4)/14)+C16</f>
        <v>6.8285714285714269E-2</v>
      </c>
      <c r="D17" s="177">
        <f t="shared" si="1"/>
        <v>0.21452589834513153</v>
      </c>
      <c r="E17" s="225">
        <f t="shared" si="2"/>
        <v>1.0353951509466002E-2</v>
      </c>
      <c r="F17" s="229">
        <f t="shared" si="3"/>
        <v>11.596425690601922</v>
      </c>
      <c r="H17" s="201"/>
      <c r="I17" s="86"/>
      <c r="J17" s="123"/>
      <c r="K17" s="88">
        <f t="shared" si="4"/>
        <v>11.596425690601922</v>
      </c>
      <c r="L17" s="89"/>
      <c r="M17" s="179"/>
      <c r="N17" s="90">
        <f t="shared" si="0"/>
        <v>7.4336062119243085</v>
      </c>
      <c r="O17" s="124"/>
      <c r="P17" s="86"/>
      <c r="Q17" s="123"/>
      <c r="R17" s="88">
        <f t="shared" si="5"/>
        <v>7.4336062119243085</v>
      </c>
      <c r="S17" s="92"/>
      <c r="T17" s="109"/>
      <c r="U17" s="94"/>
      <c r="V17" s="110"/>
      <c r="W17" s="111"/>
      <c r="X17" s="112"/>
      <c r="Y17" s="113"/>
      <c r="Z17" s="114"/>
      <c r="AA17" s="115"/>
      <c r="AB17" s="101"/>
      <c r="AC17" s="116"/>
      <c r="AD17" s="117"/>
      <c r="AE17" s="118"/>
      <c r="AF17" s="119"/>
      <c r="AG17" s="120"/>
      <c r="AH17" s="121"/>
      <c r="AI17" s="122"/>
      <c r="AJ17" s="163"/>
      <c r="AK17" s="167">
        <f t="shared" si="6"/>
        <v>0</v>
      </c>
      <c r="AL17" s="174"/>
    </row>
    <row r="18" spans="1:38" x14ac:dyDescent="0.3">
      <c r="A18" s="207">
        <v>14</v>
      </c>
      <c r="B18" s="211">
        <v>6.1</v>
      </c>
      <c r="C18" s="221">
        <v>7.1999999999999995E-2</v>
      </c>
      <c r="D18" s="198">
        <f t="shared" si="1"/>
        <v>0.22619467105846508</v>
      </c>
      <c r="E18" s="226">
        <f t="shared" si="2"/>
        <v>1.2318742741580853E-2</v>
      </c>
      <c r="F18" s="229">
        <f t="shared" si="3"/>
        <v>13.796991870570555</v>
      </c>
      <c r="H18" s="201"/>
      <c r="I18" s="86"/>
      <c r="J18" s="123"/>
      <c r="K18" s="88">
        <f t="shared" si="4"/>
        <v>13.796991870570555</v>
      </c>
      <c r="L18" s="89"/>
      <c r="M18" s="179"/>
      <c r="N18" s="90">
        <f t="shared" si="0"/>
        <v>8.8442255580580476</v>
      </c>
      <c r="O18" s="124"/>
      <c r="P18" s="86"/>
      <c r="Q18" s="123"/>
      <c r="R18" s="88">
        <f t="shared" si="5"/>
        <v>8.8442255580580476</v>
      </c>
      <c r="S18" s="92"/>
      <c r="T18" s="109"/>
      <c r="U18" s="94"/>
      <c r="V18" s="110"/>
      <c r="W18" s="111"/>
      <c r="X18" s="112"/>
      <c r="Y18" s="113"/>
      <c r="Z18" s="114"/>
      <c r="AA18" s="115"/>
      <c r="AB18" s="101"/>
      <c r="AC18" s="116"/>
      <c r="AD18" s="117"/>
      <c r="AE18" s="118"/>
      <c r="AF18" s="119"/>
      <c r="AG18" s="120"/>
      <c r="AH18" s="121"/>
      <c r="AI18" s="122"/>
      <c r="AJ18" s="163"/>
      <c r="AK18" s="167">
        <f t="shared" si="6"/>
        <v>0</v>
      </c>
      <c r="AL18" s="174"/>
    </row>
    <row r="19" spans="1:38" x14ac:dyDescent="0.3">
      <c r="A19" s="184">
        <v>15</v>
      </c>
      <c r="B19" s="208">
        <f>((B29-B18)/11)+B18</f>
        <v>6.4909090909090903</v>
      </c>
      <c r="C19" s="217">
        <f>((C29-C18)/11)+C18</f>
        <v>7.6090909090909084E-2</v>
      </c>
      <c r="D19" s="177">
        <f t="shared" si="1"/>
        <v>0.23904664100496878</v>
      </c>
      <c r="E19" s="225">
        <f t="shared" si="2"/>
        <v>1.4640052365710182E-2</v>
      </c>
      <c r="F19" s="229">
        <f t="shared" si="3"/>
        <v>16.396858649595405</v>
      </c>
      <c r="H19" s="201"/>
      <c r="I19" s="86"/>
      <c r="J19" s="123"/>
      <c r="K19" s="88">
        <f t="shared" si="4"/>
        <v>16.396858649595405</v>
      </c>
      <c r="L19" s="89"/>
      <c r="M19" s="179"/>
      <c r="N19" s="90">
        <f t="shared" si="0"/>
        <v>10.510806826663721</v>
      </c>
      <c r="O19" s="124"/>
      <c r="P19" s="86"/>
      <c r="Q19" s="123"/>
      <c r="R19" s="88">
        <f t="shared" si="5"/>
        <v>10.510806826663721</v>
      </c>
      <c r="S19" s="92"/>
      <c r="T19" s="109"/>
      <c r="U19" s="94"/>
      <c r="V19" s="110"/>
      <c r="W19" s="111"/>
      <c r="X19" s="112"/>
      <c r="Y19" s="113"/>
      <c r="Z19" s="114"/>
      <c r="AA19" s="115"/>
      <c r="AB19" s="101"/>
      <c r="AC19" s="116"/>
      <c r="AD19" s="117"/>
      <c r="AE19" s="118"/>
      <c r="AF19" s="119"/>
      <c r="AG19" s="120"/>
      <c r="AH19" s="121"/>
      <c r="AI19" s="122"/>
      <c r="AJ19" s="163"/>
      <c r="AK19" s="167">
        <f t="shared" si="6"/>
        <v>0</v>
      </c>
      <c r="AL19" s="174"/>
    </row>
    <row r="20" spans="1:38" x14ac:dyDescent="0.3">
      <c r="A20" s="184">
        <v>16</v>
      </c>
      <c r="B20" s="208">
        <f>((B29-B18)/11)+B19</f>
        <v>6.8818181818181809</v>
      </c>
      <c r="C20" s="217">
        <f>((C29-C18)/11)+C19</f>
        <v>8.0181818181818174E-2</v>
      </c>
      <c r="D20" s="177">
        <f t="shared" si="1"/>
        <v>0.25189861095147248</v>
      </c>
      <c r="E20" s="225">
        <f t="shared" si="2"/>
        <v>1.7235605779242363E-2</v>
      </c>
      <c r="F20" s="229">
        <f t="shared" si="3"/>
        <v>19.303878472751446</v>
      </c>
      <c r="H20" s="201"/>
      <c r="I20" s="86"/>
      <c r="J20" s="123"/>
      <c r="K20" s="88">
        <f t="shared" si="4"/>
        <v>19.303878472751446</v>
      </c>
      <c r="L20" s="89"/>
      <c r="M20" s="179"/>
      <c r="N20" s="90">
        <f t="shared" si="0"/>
        <v>12.374281072276567</v>
      </c>
      <c r="O20" s="124"/>
      <c r="P20" s="86"/>
      <c r="Q20" s="123"/>
      <c r="R20" s="88">
        <f t="shared" si="5"/>
        <v>12.374281072276567</v>
      </c>
      <c r="S20" s="92"/>
      <c r="T20" s="109"/>
      <c r="U20" s="94"/>
      <c r="V20" s="110"/>
      <c r="W20" s="111"/>
      <c r="X20" s="112"/>
      <c r="Y20" s="113"/>
      <c r="Z20" s="114"/>
      <c r="AA20" s="115"/>
      <c r="AB20" s="101"/>
      <c r="AC20" s="116"/>
      <c r="AD20" s="117"/>
      <c r="AE20" s="118"/>
      <c r="AF20" s="119"/>
      <c r="AG20" s="120"/>
      <c r="AH20" s="121"/>
      <c r="AI20" s="122"/>
      <c r="AJ20" s="163"/>
      <c r="AK20" s="167">
        <f t="shared" si="6"/>
        <v>0</v>
      </c>
      <c r="AL20" s="174"/>
    </row>
    <row r="21" spans="1:38" x14ac:dyDescent="0.3">
      <c r="A21" s="184">
        <v>17</v>
      </c>
      <c r="B21" s="208">
        <f>((B29-B18)/11)+B20</f>
        <v>7.2727272727272716</v>
      </c>
      <c r="C21" s="217">
        <f>((C29-C18)/11)+C20</f>
        <v>8.4272727272727263E-2</v>
      </c>
      <c r="D21" s="177">
        <f t="shared" si="1"/>
        <v>0.26475058089797615</v>
      </c>
      <c r="E21" s="225">
        <f t="shared" si="2"/>
        <v>2.0120694064833421E-2</v>
      </c>
      <c r="F21" s="229">
        <f t="shared" si="3"/>
        <v>22.535177352613431</v>
      </c>
      <c r="H21" s="201"/>
      <c r="I21" s="86"/>
      <c r="J21" s="123"/>
      <c r="K21" s="88">
        <f t="shared" si="4"/>
        <v>22.535177352613431</v>
      </c>
      <c r="L21" s="89"/>
      <c r="M21" s="179"/>
      <c r="N21" s="90">
        <f t="shared" si="0"/>
        <v>14.445626508085532</v>
      </c>
      <c r="O21" s="124"/>
      <c r="P21" s="86"/>
      <c r="Q21" s="123"/>
      <c r="R21" s="88">
        <f t="shared" si="5"/>
        <v>14.445626508085532</v>
      </c>
      <c r="S21" s="92"/>
      <c r="T21" s="109"/>
      <c r="U21" s="94"/>
      <c r="V21" s="110"/>
      <c r="W21" s="111"/>
      <c r="X21" s="112"/>
      <c r="Y21" s="113"/>
      <c r="Z21" s="114"/>
      <c r="AA21" s="115"/>
      <c r="AB21" s="101"/>
      <c r="AC21" s="116"/>
      <c r="AD21" s="117"/>
      <c r="AE21" s="118"/>
      <c r="AF21" s="119"/>
      <c r="AG21" s="120"/>
      <c r="AH21" s="121"/>
      <c r="AI21" s="122"/>
      <c r="AJ21" s="163"/>
      <c r="AK21" s="167">
        <f t="shared" si="6"/>
        <v>0</v>
      </c>
      <c r="AL21" s="174"/>
    </row>
    <row r="22" spans="1:38" x14ac:dyDescent="0.3">
      <c r="A22" s="184">
        <v>18</v>
      </c>
      <c r="B22" s="208">
        <f>((B29-B18)/11)+B21</f>
        <v>7.6636363636363622</v>
      </c>
      <c r="C22" s="217">
        <f>((C29-C18)/11)+C21</f>
        <v>8.8363636363636353E-2</v>
      </c>
      <c r="D22" s="177">
        <f t="shared" si="1"/>
        <v>0.27760255084447988</v>
      </c>
      <c r="E22" s="225">
        <f t="shared" si="2"/>
        <v>2.3310608305139386E-2</v>
      </c>
      <c r="F22" s="229">
        <f t="shared" si="3"/>
        <v>26.107881301756112</v>
      </c>
      <c r="H22" s="201"/>
      <c r="I22" s="86"/>
      <c r="J22" s="123"/>
      <c r="K22" s="88">
        <f t="shared" si="4"/>
        <v>26.107881301756112</v>
      </c>
      <c r="L22" s="89"/>
      <c r="M22" s="179"/>
      <c r="N22" s="90">
        <f t="shared" si="0"/>
        <v>16.735821347279558</v>
      </c>
      <c r="O22" s="124"/>
      <c r="P22" s="86"/>
      <c r="Q22" s="123"/>
      <c r="R22" s="88">
        <f t="shared" si="5"/>
        <v>16.735821347279558</v>
      </c>
      <c r="S22" s="92"/>
      <c r="T22" s="109"/>
      <c r="U22" s="94"/>
      <c r="V22" s="110"/>
      <c r="W22" s="111"/>
      <c r="X22" s="112"/>
      <c r="Y22" s="113"/>
      <c r="Z22" s="114"/>
      <c r="AA22" s="115"/>
      <c r="AB22" s="101"/>
      <c r="AC22" s="116"/>
      <c r="AD22" s="117"/>
      <c r="AE22" s="118"/>
      <c r="AF22" s="119"/>
      <c r="AG22" s="120"/>
      <c r="AH22" s="121"/>
      <c r="AI22" s="122"/>
      <c r="AJ22" s="163"/>
      <c r="AK22" s="167">
        <f t="shared" si="6"/>
        <v>0</v>
      </c>
      <c r="AL22" s="174"/>
    </row>
    <row r="23" spans="1:38" x14ac:dyDescent="0.3">
      <c r="A23" s="184">
        <v>19</v>
      </c>
      <c r="B23" s="208">
        <f>((B29-B18)/11)+B22</f>
        <v>8.0545454545454529</v>
      </c>
      <c r="C23" s="217">
        <f>((C29-C18)/11)+C22</f>
        <v>9.2454545454545442E-2</v>
      </c>
      <c r="D23" s="177">
        <f t="shared" si="1"/>
        <v>0.29045452079098355</v>
      </c>
      <c r="E23" s="225">
        <f t="shared" si="2"/>
        <v>2.6820639582816261E-2</v>
      </c>
      <c r="F23" s="229">
        <f t="shared" si="3"/>
        <v>30.039116332754212</v>
      </c>
      <c r="H23" s="201"/>
      <c r="I23" s="86"/>
      <c r="J23" s="123"/>
      <c r="K23" s="88">
        <f t="shared" si="4"/>
        <v>30.039116332754212</v>
      </c>
      <c r="L23" s="89"/>
      <c r="M23" s="179"/>
      <c r="N23" s="90">
        <f t="shared" si="0"/>
        <v>19.255843803047572</v>
      </c>
      <c r="O23" s="124"/>
      <c r="P23" s="86"/>
      <c r="Q23" s="123"/>
      <c r="R23" s="88">
        <f t="shared" si="5"/>
        <v>19.255843803047572</v>
      </c>
      <c r="S23" s="92"/>
      <c r="T23" s="109"/>
      <c r="U23" s="94"/>
      <c r="V23" s="110"/>
      <c r="W23" s="111"/>
      <c r="X23" s="112"/>
      <c r="Y23" s="113"/>
      <c r="Z23" s="114"/>
      <c r="AA23" s="115"/>
      <c r="AB23" s="101"/>
      <c r="AC23" s="116"/>
      <c r="AD23" s="117"/>
      <c r="AE23" s="118"/>
      <c r="AF23" s="119"/>
      <c r="AG23" s="120"/>
      <c r="AH23" s="121"/>
      <c r="AI23" s="122"/>
      <c r="AJ23" s="163"/>
      <c r="AK23" s="167">
        <f t="shared" si="6"/>
        <v>0</v>
      </c>
      <c r="AL23" s="174"/>
    </row>
    <row r="24" spans="1:38" x14ac:dyDescent="0.3">
      <c r="A24" s="184">
        <v>20</v>
      </c>
      <c r="B24" s="208">
        <f>((B29-B18)/11)+B23</f>
        <v>8.4454545454545435</v>
      </c>
      <c r="C24" s="217">
        <f>((C29-C18)/11)+C23</f>
        <v>9.6545454545454532E-2</v>
      </c>
      <c r="D24" s="177">
        <f t="shared" si="1"/>
        <v>0.30330649073748728</v>
      </c>
      <c r="E24" s="225">
        <f t="shared" si="2"/>
        <v>3.0666078980520085E-2</v>
      </c>
      <c r="F24" s="229">
        <f t="shared" si="3"/>
        <v>34.346008458182496</v>
      </c>
      <c r="H24" s="201"/>
      <c r="I24" s="86"/>
      <c r="J24" s="123"/>
      <c r="K24" s="88">
        <f t="shared" si="4"/>
        <v>34.346008458182496</v>
      </c>
      <c r="L24" s="89"/>
      <c r="M24" s="179"/>
      <c r="N24" s="90">
        <f t="shared" si="0"/>
        <v>22.016672088578524</v>
      </c>
      <c r="O24" s="124"/>
      <c r="P24" s="86"/>
      <c r="Q24" s="123"/>
      <c r="R24" s="88">
        <f t="shared" si="5"/>
        <v>22.016672088578524</v>
      </c>
      <c r="S24" s="92"/>
      <c r="T24" s="109"/>
      <c r="U24" s="94"/>
      <c r="V24" s="110"/>
      <c r="W24" s="111"/>
      <c r="X24" s="112"/>
      <c r="Y24" s="113"/>
      <c r="Z24" s="114"/>
      <c r="AA24" s="115"/>
      <c r="AB24" s="101"/>
      <c r="AC24" s="116"/>
      <c r="AD24" s="117"/>
      <c r="AE24" s="118"/>
      <c r="AF24" s="119"/>
      <c r="AG24" s="120"/>
      <c r="AH24" s="121"/>
      <c r="AI24" s="122"/>
      <c r="AJ24" s="163"/>
      <c r="AK24" s="167">
        <f t="shared" si="6"/>
        <v>0</v>
      </c>
      <c r="AL24" s="174"/>
    </row>
    <row r="25" spans="1:38" x14ac:dyDescent="0.3">
      <c r="A25" s="184">
        <v>21</v>
      </c>
      <c r="B25" s="208">
        <f>((B29-B18)/11)+B24</f>
        <v>8.8363636363636342</v>
      </c>
      <c r="C25" s="217">
        <f>((C29-C18)/11)+C24</f>
        <v>0.10063636363636362</v>
      </c>
      <c r="D25" s="177">
        <f t="shared" si="1"/>
        <v>0.31615846068399095</v>
      </c>
      <c r="E25" s="225">
        <f t="shared" si="2"/>
        <v>3.4862217580906851E-2</v>
      </c>
      <c r="F25" s="229">
        <f t="shared" si="3"/>
        <v>39.045683690615675</v>
      </c>
      <c r="H25" s="201"/>
      <c r="I25" s="86"/>
      <c r="J25" s="123"/>
      <c r="K25" s="88">
        <f t="shared" si="4"/>
        <v>39.045683690615675</v>
      </c>
      <c r="L25" s="89"/>
      <c r="M25" s="179"/>
      <c r="N25" s="90">
        <f t="shared" si="0"/>
        <v>25.02928441706133</v>
      </c>
      <c r="O25" s="124"/>
      <c r="P25" s="86"/>
      <c r="Q25" s="123"/>
      <c r="R25" s="88">
        <f t="shared" si="5"/>
        <v>25.02928441706133</v>
      </c>
      <c r="S25" s="92"/>
      <c r="T25" s="109"/>
      <c r="U25" s="94"/>
      <c r="V25" s="110"/>
      <c r="W25" s="111"/>
      <c r="X25" s="112"/>
      <c r="Y25" s="113"/>
      <c r="Z25" s="114"/>
      <c r="AA25" s="115"/>
      <c r="AB25" s="101"/>
      <c r="AC25" s="116"/>
      <c r="AD25" s="117"/>
      <c r="AE25" s="118"/>
      <c r="AF25" s="119"/>
      <c r="AG25" s="120"/>
      <c r="AH25" s="121"/>
      <c r="AI25" s="122"/>
      <c r="AJ25" s="163"/>
      <c r="AK25" s="167">
        <f t="shared" si="6"/>
        <v>0</v>
      </c>
      <c r="AL25" s="174"/>
    </row>
    <row r="26" spans="1:38" x14ac:dyDescent="0.3">
      <c r="A26" s="184">
        <v>22</v>
      </c>
      <c r="B26" s="208">
        <f>((B29-B18)/11)+B25</f>
        <v>9.2272727272727249</v>
      </c>
      <c r="C26" s="217">
        <f>((C29-C18)/11)+C25</f>
        <v>0.10472727272727271</v>
      </c>
      <c r="D26" s="177">
        <f t="shared" si="1"/>
        <v>0.32901043063049462</v>
      </c>
      <c r="E26" s="225">
        <f t="shared" si="2"/>
        <v>3.94243464666326E-2</v>
      </c>
      <c r="F26" s="229">
        <f t="shared" si="3"/>
        <v>44.155268042628514</v>
      </c>
      <c r="H26" s="201"/>
      <c r="I26" s="86"/>
      <c r="J26" s="123"/>
      <c r="K26" s="88">
        <f t="shared" si="4"/>
        <v>44.155268042628514</v>
      </c>
      <c r="L26" s="89"/>
      <c r="M26" s="179"/>
      <c r="N26" s="90">
        <f t="shared" si="0"/>
        <v>28.304659001684943</v>
      </c>
      <c r="O26" s="124"/>
      <c r="P26" s="86"/>
      <c r="Q26" s="123"/>
      <c r="R26" s="88">
        <f t="shared" si="5"/>
        <v>28.304659001684943</v>
      </c>
      <c r="S26" s="92"/>
      <c r="T26" s="109"/>
      <c r="U26" s="94"/>
      <c r="V26" s="110"/>
      <c r="W26" s="111"/>
      <c r="X26" s="112"/>
      <c r="Y26" s="113"/>
      <c r="Z26" s="114"/>
      <c r="AA26" s="115"/>
      <c r="AB26" s="101"/>
      <c r="AC26" s="116"/>
      <c r="AD26" s="117"/>
      <c r="AE26" s="118"/>
      <c r="AF26" s="119"/>
      <c r="AG26" s="120"/>
      <c r="AH26" s="121"/>
      <c r="AI26" s="122"/>
      <c r="AJ26" s="163"/>
      <c r="AK26" s="167">
        <f t="shared" si="6"/>
        <v>0</v>
      </c>
      <c r="AL26" s="174"/>
    </row>
    <row r="27" spans="1:38" x14ac:dyDescent="0.3">
      <c r="A27" s="184">
        <v>23</v>
      </c>
      <c r="B27" s="208">
        <f>((B29-B18)/11)+B26</f>
        <v>9.6181818181818155</v>
      </c>
      <c r="C27" s="217">
        <f>((C29-C18)/11)+C26</f>
        <v>0.1088181818181818</v>
      </c>
      <c r="D27" s="177">
        <f t="shared" si="1"/>
        <v>0.34186240057699835</v>
      </c>
      <c r="E27" s="225">
        <f t="shared" si="2"/>
        <v>4.4367756720353362E-2</v>
      </c>
      <c r="F27" s="229">
        <f t="shared" si="3"/>
        <v>49.691887526795767</v>
      </c>
      <c r="H27" s="201"/>
      <c r="I27" s="86"/>
      <c r="J27" s="123"/>
      <c r="K27" s="88">
        <f t="shared" si="4"/>
        <v>49.691887526795767</v>
      </c>
      <c r="L27" s="89"/>
      <c r="M27" s="179"/>
      <c r="N27" s="90">
        <f t="shared" si="0"/>
        <v>31.853774055638311</v>
      </c>
      <c r="O27" s="124"/>
      <c r="P27" s="86"/>
      <c r="Q27" s="123"/>
      <c r="R27" s="88">
        <f t="shared" si="5"/>
        <v>31.853774055638311</v>
      </c>
      <c r="S27" s="92"/>
      <c r="T27" s="109"/>
      <c r="U27" s="94"/>
      <c r="V27" s="110"/>
      <c r="W27" s="111"/>
      <c r="X27" s="112"/>
      <c r="Y27" s="113"/>
      <c r="Z27" s="114"/>
      <c r="AA27" s="115"/>
      <c r="AB27" s="101"/>
      <c r="AC27" s="116"/>
      <c r="AD27" s="117"/>
      <c r="AE27" s="118"/>
      <c r="AF27" s="119"/>
      <c r="AG27" s="120"/>
      <c r="AH27" s="121"/>
      <c r="AI27" s="122"/>
      <c r="AJ27" s="163"/>
      <c r="AK27" s="167">
        <f t="shared" si="6"/>
        <v>0</v>
      </c>
      <c r="AL27" s="174"/>
    </row>
    <row r="28" spans="1:38" x14ac:dyDescent="0.3">
      <c r="A28" s="184">
        <v>24</v>
      </c>
      <c r="B28" s="208">
        <f>((B29-B18)/11)+B27</f>
        <v>10.009090909090906</v>
      </c>
      <c r="C28" s="217">
        <f>((C29-C18)/11)+C27</f>
        <v>0.11290909090909089</v>
      </c>
      <c r="D28" s="177">
        <f t="shared" si="1"/>
        <v>0.35471437052350202</v>
      </c>
      <c r="E28" s="225">
        <f t="shared" si="2"/>
        <v>4.9707739424725117E-2</v>
      </c>
      <c r="F28" s="229">
        <f t="shared" si="3"/>
        <v>55.672668155692129</v>
      </c>
      <c r="H28" s="201"/>
      <c r="I28" s="86"/>
      <c r="J28" s="123"/>
      <c r="K28" s="88">
        <f t="shared" si="4"/>
        <v>55.672668155692129</v>
      </c>
      <c r="L28" s="89"/>
      <c r="M28" s="179"/>
      <c r="N28" s="90">
        <f t="shared" si="0"/>
        <v>35.687607792110335</v>
      </c>
      <c r="O28" s="124"/>
      <c r="P28" s="86"/>
      <c r="Q28" s="123"/>
      <c r="R28" s="88">
        <f t="shared" si="5"/>
        <v>35.687607792110335</v>
      </c>
      <c r="S28" s="92"/>
      <c r="T28" s="109"/>
      <c r="U28" s="94"/>
      <c r="V28" s="110"/>
      <c r="W28" s="111"/>
      <c r="X28" s="112"/>
      <c r="Y28" s="113"/>
      <c r="Z28" s="114"/>
      <c r="AA28" s="115"/>
      <c r="AB28" s="101"/>
      <c r="AC28" s="116"/>
      <c r="AD28" s="117"/>
      <c r="AE28" s="118"/>
      <c r="AF28" s="119"/>
      <c r="AG28" s="120"/>
      <c r="AH28" s="121"/>
      <c r="AI28" s="122"/>
      <c r="AJ28" s="163"/>
      <c r="AK28" s="167">
        <f t="shared" si="6"/>
        <v>0</v>
      </c>
      <c r="AL28" s="174"/>
    </row>
    <row r="29" spans="1:38" x14ac:dyDescent="0.3">
      <c r="A29" s="207">
        <v>25</v>
      </c>
      <c r="B29" s="208">
        <v>10.4</v>
      </c>
      <c r="C29" s="217">
        <v>0.11700000000000001</v>
      </c>
      <c r="D29" s="177">
        <f t="shared" si="1"/>
        <v>0.3675663404700058</v>
      </c>
      <c r="E29" s="225">
        <f t="shared" si="2"/>
        <v>5.5459585662403985E-2</v>
      </c>
      <c r="F29" s="229">
        <f t="shared" si="3"/>
        <v>62.114735941892462</v>
      </c>
      <c r="H29" s="202"/>
      <c r="I29" s="86"/>
      <c r="J29" s="123"/>
      <c r="K29" s="88">
        <f t="shared" si="4"/>
        <v>62.114735941892462</v>
      </c>
      <c r="L29" s="89"/>
      <c r="M29" s="179"/>
      <c r="N29" s="90">
        <f t="shared" si="0"/>
        <v>39.817138424290036</v>
      </c>
      <c r="O29" s="124"/>
      <c r="P29" s="86"/>
      <c r="Q29" s="123"/>
      <c r="R29" s="88">
        <f t="shared" si="5"/>
        <v>39.817138424290036</v>
      </c>
      <c r="S29" s="92"/>
      <c r="T29" s="109"/>
      <c r="U29" s="94"/>
      <c r="V29" s="110"/>
      <c r="W29" s="111"/>
      <c r="X29" s="112"/>
      <c r="Y29" s="113"/>
      <c r="Z29" s="114"/>
      <c r="AA29" s="115"/>
      <c r="AB29" s="101"/>
      <c r="AC29" s="116"/>
      <c r="AD29" s="117"/>
      <c r="AE29" s="118"/>
      <c r="AF29" s="119"/>
      <c r="AG29" s="120"/>
      <c r="AH29" s="121"/>
      <c r="AI29" s="122"/>
      <c r="AJ29" s="163"/>
      <c r="AK29" s="167">
        <f t="shared" si="6"/>
        <v>0</v>
      </c>
      <c r="AL29" s="174"/>
    </row>
    <row r="30" spans="1:38" x14ac:dyDescent="0.3">
      <c r="A30" s="184">
        <v>26</v>
      </c>
      <c r="B30" s="208">
        <f>((B41-B29)/12)+B29</f>
        <v>10.741666666666667</v>
      </c>
      <c r="C30" s="217">
        <f>((C41-C29)/12)+C29</f>
        <v>0.12116666666666667</v>
      </c>
      <c r="D30" s="177">
        <f t="shared" si="1"/>
        <v>0.38065630985996329</v>
      </c>
      <c r="E30" s="225">
        <f t="shared" si="2"/>
        <v>6.1434107044998541E-2</v>
      </c>
      <c r="F30" s="229">
        <f t="shared" si="3"/>
        <v>68.806199890398361</v>
      </c>
      <c r="H30" s="201"/>
      <c r="I30" s="86"/>
      <c r="J30" s="123"/>
      <c r="K30" s="88">
        <f t="shared" si="4"/>
        <v>68.806199890398361</v>
      </c>
      <c r="L30" s="89"/>
      <c r="M30" s="179"/>
      <c r="N30" s="90">
        <f t="shared" si="0"/>
        <v>44.106538391280999</v>
      </c>
      <c r="O30" s="124"/>
      <c r="P30" s="86"/>
      <c r="Q30" s="123"/>
      <c r="R30" s="88">
        <f t="shared" si="5"/>
        <v>44.106538391280999</v>
      </c>
      <c r="S30" s="92"/>
      <c r="T30" s="109"/>
      <c r="U30" s="94"/>
      <c r="V30" s="110"/>
      <c r="W30" s="111"/>
      <c r="X30" s="112"/>
      <c r="Y30" s="113"/>
      <c r="Z30" s="114"/>
      <c r="AA30" s="115"/>
      <c r="AB30" s="101"/>
      <c r="AC30" s="116"/>
      <c r="AD30" s="117"/>
      <c r="AE30" s="118"/>
      <c r="AF30" s="119"/>
      <c r="AG30" s="120"/>
      <c r="AH30" s="121"/>
      <c r="AI30" s="122"/>
      <c r="AJ30" s="163"/>
      <c r="AK30" s="167">
        <f t="shared" si="6"/>
        <v>0</v>
      </c>
      <c r="AL30" s="174"/>
    </row>
    <row r="31" spans="1:38" x14ac:dyDescent="0.3">
      <c r="A31" s="184">
        <v>27</v>
      </c>
      <c r="B31" s="208">
        <f>((B41-B29)/12)+B30</f>
        <v>11.083333333333334</v>
      </c>
      <c r="C31" s="217">
        <f>((C41-C29)/12)+C30</f>
        <v>0.12533333333333335</v>
      </c>
      <c r="D31" s="177">
        <f t="shared" si="1"/>
        <v>0.39374627924992078</v>
      </c>
      <c r="E31" s="225">
        <f t="shared" si="2"/>
        <v>6.7822709101625703E-2</v>
      </c>
      <c r="F31" s="229">
        <f t="shared" si="3"/>
        <v>75.961434193820793</v>
      </c>
      <c r="H31" s="201"/>
      <c r="I31" s="86"/>
      <c r="J31" s="123"/>
      <c r="K31" s="88">
        <f t="shared" si="4"/>
        <v>75.961434193820793</v>
      </c>
      <c r="L31" s="89"/>
      <c r="M31" s="179"/>
      <c r="N31" s="90">
        <f t="shared" si="0"/>
        <v>48.693227047321017</v>
      </c>
      <c r="O31" s="124"/>
      <c r="P31" s="86"/>
      <c r="Q31" s="123"/>
      <c r="R31" s="88">
        <f t="shared" si="5"/>
        <v>48.693227047321017</v>
      </c>
      <c r="S31" s="92"/>
      <c r="T31" s="109"/>
      <c r="U31" s="94"/>
      <c r="V31" s="110"/>
      <c r="W31" s="111"/>
      <c r="X31" s="112"/>
      <c r="Y31" s="113"/>
      <c r="Z31" s="114"/>
      <c r="AA31" s="115"/>
      <c r="AB31" s="101"/>
      <c r="AC31" s="116"/>
      <c r="AD31" s="117"/>
      <c r="AE31" s="118"/>
      <c r="AF31" s="119"/>
      <c r="AG31" s="120"/>
      <c r="AH31" s="121"/>
      <c r="AI31" s="122"/>
      <c r="AJ31" s="163"/>
      <c r="AK31" s="167">
        <f t="shared" si="6"/>
        <v>0</v>
      </c>
      <c r="AL31" s="174"/>
    </row>
    <row r="32" spans="1:38" x14ac:dyDescent="0.3">
      <c r="A32" s="184">
        <v>28</v>
      </c>
      <c r="B32" s="208">
        <f>((B41-B29)/12)+B31</f>
        <v>11.425000000000001</v>
      </c>
      <c r="C32" s="217">
        <f>((C41-C29)/12)+C31</f>
        <v>0.12950000000000003</v>
      </c>
      <c r="D32" s="177">
        <f t="shared" si="1"/>
        <v>0.40683624863987833</v>
      </c>
      <c r="E32" s="225">
        <f t="shared" si="2"/>
        <v>7.4639256291531009E-2</v>
      </c>
      <c r="F32" s="229">
        <f t="shared" si="3"/>
        <v>83.59596704651473</v>
      </c>
      <c r="H32" s="201"/>
      <c r="I32" s="86"/>
      <c r="J32" s="123"/>
      <c r="K32" s="88">
        <f t="shared" si="4"/>
        <v>83.59596704651473</v>
      </c>
      <c r="L32" s="89"/>
      <c r="M32" s="179"/>
      <c r="N32" s="90">
        <f t="shared" si="0"/>
        <v>53.587158363150465</v>
      </c>
      <c r="O32" s="124"/>
      <c r="P32" s="86"/>
      <c r="Q32" s="123"/>
      <c r="R32" s="88">
        <f t="shared" si="5"/>
        <v>53.587158363150465</v>
      </c>
      <c r="S32" s="92"/>
      <c r="T32" s="125"/>
      <c r="U32" s="94"/>
      <c r="V32" s="126"/>
      <c r="W32" s="127"/>
      <c r="X32" s="128"/>
      <c r="Y32" s="129"/>
      <c r="Z32" s="130"/>
      <c r="AA32" s="131"/>
      <c r="AB32" s="101"/>
      <c r="AC32" s="116"/>
      <c r="AD32" s="132"/>
      <c r="AE32" s="118"/>
      <c r="AF32" s="119"/>
      <c r="AG32" s="133"/>
      <c r="AH32" s="134"/>
      <c r="AI32" s="135"/>
      <c r="AJ32" s="164"/>
      <c r="AK32" s="167">
        <f t="shared" si="6"/>
        <v>0</v>
      </c>
      <c r="AL32" s="174"/>
    </row>
    <row r="33" spans="1:38" x14ac:dyDescent="0.3">
      <c r="A33" s="184">
        <v>29</v>
      </c>
      <c r="B33" s="208">
        <f>((B41-B29)/12)+B32</f>
        <v>11.766666666666667</v>
      </c>
      <c r="C33" s="217">
        <f>((C41-C29)/12)+C32</f>
        <v>0.13366666666666671</v>
      </c>
      <c r="D33" s="177">
        <f t="shared" si="1"/>
        <v>0.41992621802983582</v>
      </c>
      <c r="E33" s="225">
        <f t="shared" si="2"/>
        <v>8.1897613073959943E-2</v>
      </c>
      <c r="F33" s="229">
        <f t="shared" si="3"/>
        <v>91.725326642835142</v>
      </c>
      <c r="H33" s="201"/>
      <c r="I33" s="86"/>
      <c r="J33" s="123"/>
      <c r="K33" s="88">
        <f t="shared" si="4"/>
        <v>91.725326642835142</v>
      </c>
      <c r="L33" s="89"/>
      <c r="M33" s="179"/>
      <c r="N33" s="90">
        <f t="shared" si="0"/>
        <v>58.798286309509706</v>
      </c>
      <c r="O33" s="124"/>
      <c r="P33" s="86"/>
      <c r="Q33" s="123"/>
      <c r="R33" s="88">
        <f t="shared" si="5"/>
        <v>58.798286309509706</v>
      </c>
      <c r="S33" s="92"/>
      <c r="T33" s="125"/>
      <c r="U33" s="94"/>
      <c r="V33" s="126"/>
      <c r="W33" s="127"/>
      <c r="X33" s="128"/>
      <c r="Y33" s="129"/>
      <c r="Z33" s="130"/>
      <c r="AA33" s="131"/>
      <c r="AB33" s="101"/>
      <c r="AC33" s="116"/>
      <c r="AD33" s="132"/>
      <c r="AE33" s="118"/>
      <c r="AF33" s="119"/>
      <c r="AG33" s="133"/>
      <c r="AH33" s="134"/>
      <c r="AI33" s="135"/>
      <c r="AJ33" s="164"/>
      <c r="AK33" s="167">
        <f t="shared" si="6"/>
        <v>0</v>
      </c>
      <c r="AL33" s="174"/>
    </row>
    <row r="34" spans="1:38" x14ac:dyDescent="0.3">
      <c r="A34" s="184">
        <v>30</v>
      </c>
      <c r="B34" s="208">
        <f>((B41-B29)/12)+B33</f>
        <v>12.108333333333334</v>
      </c>
      <c r="C34" s="217">
        <f>((C41-C29)/12)+C33</f>
        <v>0.13783333333333339</v>
      </c>
      <c r="D34" s="177">
        <f t="shared" si="1"/>
        <v>0.43301618741979331</v>
      </c>
      <c r="E34" s="225">
        <f t="shared" si="2"/>
        <v>8.9611643908158053E-2</v>
      </c>
      <c r="F34" s="229">
        <f t="shared" si="3"/>
        <v>100.36504117713702</v>
      </c>
      <c r="H34" s="201"/>
      <c r="I34" s="86"/>
      <c r="J34" s="123"/>
      <c r="K34" s="160">
        <f t="shared" si="4"/>
        <v>100.36504117713702</v>
      </c>
      <c r="L34" s="136"/>
      <c r="M34" s="179"/>
      <c r="N34" s="90">
        <f t="shared" si="0"/>
        <v>64.336564857139109</v>
      </c>
      <c r="O34" s="124"/>
      <c r="P34" s="86"/>
      <c r="Q34" s="123"/>
      <c r="R34" s="88">
        <f t="shared" si="5"/>
        <v>64.336564857139109</v>
      </c>
      <c r="S34" s="92"/>
      <c r="T34" s="125"/>
      <c r="U34" s="94"/>
      <c r="V34" s="126"/>
      <c r="W34" s="127"/>
      <c r="X34" s="128"/>
      <c r="Y34" s="129"/>
      <c r="Z34" s="130"/>
      <c r="AA34" s="131"/>
      <c r="AB34" s="101"/>
      <c r="AC34" s="116"/>
      <c r="AD34" s="132"/>
      <c r="AE34" s="118"/>
      <c r="AF34" s="119"/>
      <c r="AG34" s="133"/>
      <c r="AH34" s="134"/>
      <c r="AI34" s="135"/>
      <c r="AJ34" s="164"/>
      <c r="AK34" s="167">
        <f t="shared" si="6"/>
        <v>0</v>
      </c>
      <c r="AL34" s="174"/>
    </row>
    <row r="35" spans="1:38" x14ac:dyDescent="0.3">
      <c r="A35" s="184">
        <v>31</v>
      </c>
      <c r="B35" s="208">
        <f>((B41-B29)/12)+B34</f>
        <v>12.450000000000001</v>
      </c>
      <c r="C35" s="217">
        <f>((C41-C29)/12)+C34</f>
        <v>0.14200000000000007</v>
      </c>
      <c r="D35" s="177">
        <f t="shared" si="1"/>
        <v>0.44610615680975085</v>
      </c>
      <c r="E35" s="225">
        <f t="shared" si="2"/>
        <v>9.7795213253370927E-2</v>
      </c>
      <c r="F35" s="229">
        <f t="shared" si="3"/>
        <v>109.53063884377544</v>
      </c>
      <c r="H35" s="201"/>
      <c r="I35" s="86"/>
      <c r="J35" s="123"/>
      <c r="K35" s="88">
        <f t="shared" si="4"/>
        <v>109.53063884377544</v>
      </c>
      <c r="L35" s="89"/>
      <c r="M35" s="179"/>
      <c r="N35" s="90">
        <f t="shared" si="0"/>
        <v>70.211947976779129</v>
      </c>
      <c r="O35" s="124"/>
      <c r="P35" s="86"/>
      <c r="Q35" s="123"/>
      <c r="R35" s="88">
        <f t="shared" si="5"/>
        <v>70.211947976779129</v>
      </c>
      <c r="S35" s="92"/>
      <c r="T35" s="125"/>
      <c r="U35" s="94"/>
      <c r="V35" s="126"/>
      <c r="W35" s="127"/>
      <c r="X35" s="128"/>
      <c r="Y35" s="129"/>
      <c r="Z35" s="130"/>
      <c r="AA35" s="131"/>
      <c r="AB35" s="101"/>
      <c r="AC35" s="116"/>
      <c r="AD35" s="132"/>
      <c r="AE35" s="118"/>
      <c r="AF35" s="119"/>
      <c r="AG35" s="133"/>
      <c r="AH35" s="134"/>
      <c r="AI35" s="135"/>
      <c r="AJ35" s="164"/>
      <c r="AK35" s="167">
        <f t="shared" si="6"/>
        <v>0</v>
      </c>
      <c r="AL35" s="174"/>
    </row>
    <row r="36" spans="1:38" x14ac:dyDescent="0.3">
      <c r="A36" s="184">
        <v>32</v>
      </c>
      <c r="B36" s="208">
        <f>((B41-B29)/12)+B35</f>
        <v>12.791666666666668</v>
      </c>
      <c r="C36" s="217">
        <f>((C41-C29)/12)+C35</f>
        <v>0.14616666666666675</v>
      </c>
      <c r="D36" s="177">
        <f t="shared" si="1"/>
        <v>0.45919612619970834</v>
      </c>
      <c r="E36" s="225">
        <f t="shared" si="2"/>
        <v>0.10646218556884399</v>
      </c>
      <c r="F36" s="229">
        <f t="shared" si="3"/>
        <v>119.23764783710527</v>
      </c>
      <c r="H36" s="201"/>
      <c r="I36" s="86"/>
      <c r="J36" s="123"/>
      <c r="K36" s="88">
        <f t="shared" si="4"/>
        <v>119.23764783710527</v>
      </c>
      <c r="L36" s="89"/>
      <c r="M36" s="179"/>
      <c r="N36" s="90">
        <f t="shared" ref="N36:N67" si="7">F36/1.56</f>
        <v>76.43438963917005</v>
      </c>
      <c r="O36" s="124"/>
      <c r="P36" s="86"/>
      <c r="Q36" s="123"/>
      <c r="R36" s="88">
        <f t="shared" si="5"/>
        <v>76.43438963917005</v>
      </c>
      <c r="S36" s="92"/>
      <c r="T36" s="125"/>
      <c r="U36" s="94"/>
      <c r="V36" s="126"/>
      <c r="W36" s="127"/>
      <c r="X36" s="128"/>
      <c r="Y36" s="129"/>
      <c r="Z36" s="130"/>
      <c r="AA36" s="131"/>
      <c r="AB36" s="101"/>
      <c r="AC36" s="116"/>
      <c r="AD36" s="132"/>
      <c r="AE36" s="118"/>
      <c r="AF36" s="119"/>
      <c r="AG36" s="133"/>
      <c r="AH36" s="134"/>
      <c r="AI36" s="135"/>
      <c r="AJ36" s="164"/>
      <c r="AK36" s="167">
        <f t="shared" si="6"/>
        <v>0</v>
      </c>
      <c r="AL36" s="174"/>
    </row>
    <row r="37" spans="1:38" x14ac:dyDescent="0.3">
      <c r="A37" s="184">
        <v>33</v>
      </c>
      <c r="B37" s="208">
        <f>((B41-B29)/12)+B36</f>
        <v>13.133333333333335</v>
      </c>
      <c r="C37" s="217">
        <f>((C41-C29)/12)+C36</f>
        <v>0.15033333333333343</v>
      </c>
      <c r="D37" s="177">
        <f t="shared" si="1"/>
        <v>0.47228609558966589</v>
      </c>
      <c r="E37" s="225">
        <f t="shared" si="2"/>
        <v>0.1156264253138229</v>
      </c>
      <c r="F37" s="229">
        <f t="shared" si="3"/>
        <v>129.50159635148165</v>
      </c>
      <c r="H37" s="203">
        <v>0.15</v>
      </c>
      <c r="I37" s="86">
        <f>H37*F37</f>
        <v>19.425239452722249</v>
      </c>
      <c r="J37" s="123">
        <f>I37</f>
        <v>19.425239452722249</v>
      </c>
      <c r="K37" s="88">
        <f>F37-J37</f>
        <v>110.0763568987594</v>
      </c>
      <c r="L37" s="89"/>
      <c r="M37" s="179"/>
      <c r="N37" s="90">
        <f t="shared" si="7"/>
        <v>83.01384381505234</v>
      </c>
      <c r="O37" s="137">
        <v>0.15</v>
      </c>
      <c r="P37" s="86">
        <f>O37*N37</f>
        <v>12.45207657225785</v>
      </c>
      <c r="Q37" s="123">
        <f>P37</f>
        <v>12.45207657225785</v>
      </c>
      <c r="R37" s="88">
        <f>N37-Q37</f>
        <v>70.561767242794488</v>
      </c>
      <c r="S37" s="92"/>
      <c r="T37" s="125"/>
      <c r="U37" s="94"/>
      <c r="V37" s="126"/>
      <c r="W37" s="127"/>
      <c r="X37" s="128"/>
      <c r="Y37" s="129"/>
      <c r="Z37" s="130"/>
      <c r="AA37" s="131">
        <f>P37</f>
        <v>12.45207657225785</v>
      </c>
      <c r="AB37" s="101">
        <f t="shared" ref="AB37:AB87" si="8">I37-P37</f>
        <v>6.9731628804643986</v>
      </c>
      <c r="AC37" s="116">
        <f t="shared" ref="AC37:AC87" si="9">(AA37+AB37)/0.6</f>
        <v>32.375399087870413</v>
      </c>
      <c r="AD37" s="132">
        <v>8</v>
      </c>
      <c r="AE37" s="118">
        <f t="shared" ref="AE37:AE87" si="10">AC37*AD37</f>
        <v>259.0031927029633</v>
      </c>
      <c r="AF37" s="119"/>
      <c r="AG37" s="133"/>
      <c r="AH37" s="134"/>
      <c r="AI37" s="135"/>
      <c r="AJ37" s="164"/>
      <c r="AK37" s="167">
        <f t="shared" si="6"/>
        <v>259.0031927029633</v>
      </c>
      <c r="AL37" s="174"/>
    </row>
    <row r="38" spans="1:38" x14ac:dyDescent="0.3">
      <c r="A38" s="184">
        <v>34</v>
      </c>
      <c r="B38" s="208">
        <f>((B41-B29)/12)+B37</f>
        <v>13.475000000000001</v>
      </c>
      <c r="C38" s="217">
        <f>((C41-C29)/12)+C37</f>
        <v>0.15450000000000011</v>
      </c>
      <c r="D38" s="177">
        <f t="shared" si="1"/>
        <v>0.48537606497962338</v>
      </c>
      <c r="E38" s="225">
        <f t="shared" si="2"/>
        <v>0.12530179694755303</v>
      </c>
      <c r="F38" s="229">
        <f t="shared" si="3"/>
        <v>140.33801258125939</v>
      </c>
      <c r="H38" s="204"/>
      <c r="I38" s="86"/>
      <c r="J38" s="123"/>
      <c r="K38" s="88">
        <f>F38-J37</f>
        <v>120.91277312853714</v>
      </c>
      <c r="L38" s="89"/>
      <c r="M38" s="179"/>
      <c r="N38" s="90">
        <f t="shared" si="7"/>
        <v>89.960264475166269</v>
      </c>
      <c r="O38" s="137"/>
      <c r="P38" s="86"/>
      <c r="Q38" s="123"/>
      <c r="R38" s="88">
        <f>N38-Q37</f>
        <v>77.508187902908418</v>
      </c>
      <c r="S38" s="92"/>
      <c r="T38" s="125"/>
      <c r="U38" s="94"/>
      <c r="V38" s="126"/>
      <c r="W38" s="127"/>
      <c r="X38" s="128"/>
      <c r="Y38" s="129"/>
      <c r="Z38" s="130"/>
      <c r="AA38" s="131"/>
      <c r="AB38" s="101"/>
      <c r="AC38" s="116"/>
      <c r="AD38" s="132"/>
      <c r="AE38" s="118"/>
      <c r="AF38" s="119"/>
      <c r="AG38" s="133"/>
      <c r="AH38" s="134"/>
      <c r="AI38" s="135"/>
      <c r="AJ38" s="164"/>
      <c r="AK38" s="167">
        <f t="shared" si="6"/>
        <v>0</v>
      </c>
      <c r="AL38" s="174"/>
    </row>
    <row r="39" spans="1:38" x14ac:dyDescent="0.3">
      <c r="A39" s="184">
        <v>35</v>
      </c>
      <c r="B39" s="208">
        <f>((B41-B29)/12)+B38</f>
        <v>13.816666666666668</v>
      </c>
      <c r="C39" s="217">
        <f>((C41-C29)/12)+C38</f>
        <v>0.15866666666666679</v>
      </c>
      <c r="D39" s="177">
        <f t="shared" si="1"/>
        <v>0.49846603436958087</v>
      </c>
      <c r="E39" s="225">
        <f t="shared" si="2"/>
        <v>0.13550216492928005</v>
      </c>
      <c r="F39" s="229">
        <f t="shared" si="3"/>
        <v>151.76242472079366</v>
      </c>
      <c r="H39" s="204"/>
      <c r="I39" s="86"/>
      <c r="J39" s="123"/>
      <c r="K39" s="88">
        <f>F39-J37</f>
        <v>132.33718526807141</v>
      </c>
      <c r="L39" s="89"/>
      <c r="M39" s="179"/>
      <c r="N39" s="90">
        <f t="shared" si="7"/>
        <v>97.28360559025235</v>
      </c>
      <c r="O39" s="137"/>
      <c r="P39" s="86"/>
      <c r="Q39" s="123"/>
      <c r="R39" s="88">
        <f>N39-Q37</f>
        <v>84.831529017994498</v>
      </c>
      <c r="S39" s="92"/>
      <c r="T39" s="125"/>
      <c r="U39" s="94"/>
      <c r="V39" s="126"/>
      <c r="W39" s="127"/>
      <c r="X39" s="128"/>
      <c r="Y39" s="129"/>
      <c r="Z39" s="130"/>
      <c r="AA39" s="131"/>
      <c r="AB39" s="101"/>
      <c r="AC39" s="116"/>
      <c r="AD39" s="132"/>
      <c r="AE39" s="118"/>
      <c r="AF39" s="119"/>
      <c r="AG39" s="133"/>
      <c r="AH39" s="134"/>
      <c r="AI39" s="135"/>
      <c r="AJ39" s="164"/>
      <c r="AK39" s="167">
        <f t="shared" si="6"/>
        <v>0</v>
      </c>
      <c r="AL39" s="174"/>
    </row>
    <row r="40" spans="1:38" x14ac:dyDescent="0.3">
      <c r="A40" s="184">
        <v>36</v>
      </c>
      <c r="B40" s="208">
        <f>((B41-B29)/12)+B39</f>
        <v>14.158333333333335</v>
      </c>
      <c r="C40" s="217">
        <f>((C41-C29)/12)+C39</f>
        <v>0.16283333333333347</v>
      </c>
      <c r="D40" s="177">
        <f t="shared" si="1"/>
        <v>0.51155600375953836</v>
      </c>
      <c r="E40" s="225">
        <f t="shared" si="2"/>
        <v>0.1462413937182494</v>
      </c>
      <c r="F40" s="229">
        <f t="shared" si="3"/>
        <v>163.79036096443934</v>
      </c>
      <c r="H40" s="204"/>
      <c r="I40" s="86"/>
      <c r="J40" s="123"/>
      <c r="K40" s="88">
        <f>F40-J37</f>
        <v>144.36512151171709</v>
      </c>
      <c r="L40" s="89"/>
      <c r="M40" s="179"/>
      <c r="N40" s="90">
        <f t="shared" si="7"/>
        <v>104.99382113105086</v>
      </c>
      <c r="O40" s="137"/>
      <c r="P40" s="86"/>
      <c r="Q40" s="123"/>
      <c r="R40" s="88">
        <f>N40-Q37</f>
        <v>92.541744558793013</v>
      </c>
      <c r="S40" s="92"/>
      <c r="T40" s="125"/>
      <c r="U40" s="94"/>
      <c r="V40" s="126"/>
      <c r="W40" s="127"/>
      <c r="X40" s="128"/>
      <c r="Y40" s="129"/>
      <c r="Z40" s="130"/>
      <c r="AA40" s="131"/>
      <c r="AB40" s="101"/>
      <c r="AC40" s="116"/>
      <c r="AD40" s="132"/>
      <c r="AE40" s="118"/>
      <c r="AF40" s="119"/>
      <c r="AG40" s="133"/>
      <c r="AH40" s="134"/>
      <c r="AI40" s="135"/>
      <c r="AJ40" s="164"/>
      <c r="AK40" s="167">
        <f t="shared" si="6"/>
        <v>0</v>
      </c>
      <c r="AL40" s="174"/>
    </row>
    <row r="41" spans="1:38" x14ac:dyDescent="0.3">
      <c r="A41" s="207">
        <v>37</v>
      </c>
      <c r="B41" s="208">
        <v>14.5</v>
      </c>
      <c r="C41" s="217">
        <v>0.16700000000000001</v>
      </c>
      <c r="D41" s="177">
        <f t="shared" si="1"/>
        <v>0.52464597314949546</v>
      </c>
      <c r="E41" s="225">
        <f t="shared" si="2"/>
        <v>0.15753334777370639</v>
      </c>
      <c r="F41" s="229">
        <f t="shared" si="3"/>
        <v>176.43734950655116</v>
      </c>
      <c r="H41" s="204"/>
      <c r="I41" s="86"/>
      <c r="J41" s="123"/>
      <c r="K41" s="88">
        <f>F41-J37</f>
        <v>157.01211005382891</v>
      </c>
      <c r="L41" s="89"/>
      <c r="M41" s="179"/>
      <c r="N41" s="90">
        <f t="shared" si="7"/>
        <v>113.10086506830201</v>
      </c>
      <c r="O41" s="137"/>
      <c r="P41" s="86"/>
      <c r="Q41" s="123"/>
      <c r="R41" s="88">
        <f>N41-Q37</f>
        <v>100.64878849604416</v>
      </c>
      <c r="S41" s="92"/>
      <c r="T41" s="125"/>
      <c r="U41" s="94"/>
      <c r="V41" s="126"/>
      <c r="W41" s="127"/>
      <c r="X41" s="128"/>
      <c r="Y41" s="129"/>
      <c r="Z41" s="130"/>
      <c r="AA41" s="131"/>
      <c r="AB41" s="101"/>
      <c r="AC41" s="116"/>
      <c r="AD41" s="132"/>
      <c r="AE41" s="118"/>
      <c r="AF41" s="119"/>
      <c r="AG41" s="133"/>
      <c r="AH41" s="134"/>
      <c r="AI41" s="135"/>
      <c r="AJ41" s="164"/>
      <c r="AK41" s="167">
        <f t="shared" si="6"/>
        <v>0</v>
      </c>
      <c r="AL41" s="174"/>
    </row>
    <row r="42" spans="1:38" x14ac:dyDescent="0.3">
      <c r="A42" s="184">
        <v>38</v>
      </c>
      <c r="B42" s="208">
        <f>((B49-B41)/8)+B41</f>
        <v>14.8</v>
      </c>
      <c r="C42" s="217">
        <f>((C49-C41)/8)+C41</f>
        <v>0.17100000000000001</v>
      </c>
      <c r="D42" s="177">
        <f t="shared" si="1"/>
        <v>0.53721234376385463</v>
      </c>
      <c r="E42" s="225">
        <f t="shared" si="2"/>
        <v>0.16858754795009787</v>
      </c>
      <c r="F42" s="229">
        <f t="shared" si="3"/>
        <v>188.81805370410962</v>
      </c>
      <c r="H42" s="204"/>
      <c r="I42" s="86"/>
      <c r="J42" s="123"/>
      <c r="K42" s="88">
        <f>F42-J37</f>
        <v>169.39281425138736</v>
      </c>
      <c r="L42" s="89"/>
      <c r="M42" s="179"/>
      <c r="N42" s="90">
        <f t="shared" si="7"/>
        <v>121.03721391289078</v>
      </c>
      <c r="O42" s="137"/>
      <c r="P42" s="86"/>
      <c r="Q42" s="123"/>
      <c r="R42" s="88">
        <f>N42-Q37</f>
        <v>108.58513734063293</v>
      </c>
      <c r="S42" s="92"/>
      <c r="T42" s="125"/>
      <c r="U42" s="94"/>
      <c r="V42" s="126"/>
      <c r="W42" s="127"/>
      <c r="X42" s="128"/>
      <c r="Y42" s="129"/>
      <c r="Z42" s="130"/>
      <c r="AA42" s="131"/>
      <c r="AB42" s="101"/>
      <c r="AC42" s="116"/>
      <c r="AD42" s="132"/>
      <c r="AE42" s="118"/>
      <c r="AF42" s="119"/>
      <c r="AG42" s="133"/>
      <c r="AH42" s="134"/>
      <c r="AI42" s="135"/>
      <c r="AJ42" s="164"/>
      <c r="AK42" s="167">
        <f t="shared" si="6"/>
        <v>0</v>
      </c>
      <c r="AL42" s="174"/>
    </row>
    <row r="43" spans="1:38" x14ac:dyDescent="0.3">
      <c r="A43" s="184">
        <v>39</v>
      </c>
      <c r="B43" s="208">
        <f>((B49-B41)/8)+B42</f>
        <v>15.100000000000001</v>
      </c>
      <c r="C43" s="217">
        <f>((C49-C41)/8)+C42</f>
        <v>0.17500000000000002</v>
      </c>
      <c r="D43" s="177">
        <f t="shared" si="1"/>
        <v>0.5497787143782138</v>
      </c>
      <c r="E43" s="225">
        <f t="shared" si="2"/>
        <v>0.18014599134030934</v>
      </c>
      <c r="F43" s="229">
        <f t="shared" si="3"/>
        <v>201.76351030114645</v>
      </c>
      <c r="H43" s="204"/>
      <c r="I43" s="86"/>
      <c r="J43" s="123"/>
      <c r="K43" s="88">
        <f>F43-J37</f>
        <v>182.3382708484242</v>
      </c>
      <c r="L43" s="89"/>
      <c r="M43" s="179"/>
      <c r="N43" s="90">
        <f t="shared" si="7"/>
        <v>129.33558352637593</v>
      </c>
      <c r="O43" s="137"/>
      <c r="P43" s="86"/>
      <c r="Q43" s="123"/>
      <c r="R43" s="88">
        <f>N43-Q37</f>
        <v>116.88350695411808</v>
      </c>
      <c r="S43" s="92"/>
      <c r="T43" s="125"/>
      <c r="U43" s="94"/>
      <c r="V43" s="126"/>
      <c r="W43" s="127"/>
      <c r="X43" s="128"/>
      <c r="Y43" s="129"/>
      <c r="Z43" s="130"/>
      <c r="AA43" s="131"/>
      <c r="AB43" s="101"/>
      <c r="AC43" s="116"/>
      <c r="AD43" s="132"/>
      <c r="AE43" s="118"/>
      <c r="AF43" s="119"/>
      <c r="AG43" s="133"/>
      <c r="AH43" s="134"/>
      <c r="AI43" s="135"/>
      <c r="AJ43" s="164"/>
      <c r="AK43" s="167">
        <f t="shared" si="6"/>
        <v>0</v>
      </c>
      <c r="AL43" s="174"/>
    </row>
    <row r="44" spans="1:38" x14ac:dyDescent="0.3">
      <c r="A44" s="184">
        <v>40</v>
      </c>
      <c r="B44" s="208">
        <f>((B49-B41)/8)+B43</f>
        <v>15.400000000000002</v>
      </c>
      <c r="C44" s="217">
        <f>((C49-C41)/8)+C43</f>
        <v>0.17900000000000002</v>
      </c>
      <c r="D44" s="177">
        <f t="shared" si="1"/>
        <v>0.56234508499257307</v>
      </c>
      <c r="E44" s="225">
        <f t="shared" si="2"/>
        <v>0.19221989720002539</v>
      </c>
      <c r="F44" s="229">
        <f t="shared" si="3"/>
        <v>215.28628486402843</v>
      </c>
      <c r="H44" s="204"/>
      <c r="I44" s="86"/>
      <c r="J44" s="123"/>
      <c r="K44" s="88">
        <f>F44-J37</f>
        <v>195.86104541130618</v>
      </c>
      <c r="L44" s="89"/>
      <c r="M44" s="179"/>
      <c r="N44" s="90">
        <f t="shared" si="7"/>
        <v>138.00402875899258</v>
      </c>
      <c r="O44" s="137"/>
      <c r="P44" s="86"/>
      <c r="Q44" s="123"/>
      <c r="R44" s="88">
        <f>N44-Q37</f>
        <v>125.55195218673472</v>
      </c>
      <c r="S44" s="92"/>
      <c r="T44" s="125"/>
      <c r="U44" s="94"/>
      <c r="V44" s="126"/>
      <c r="W44" s="127"/>
      <c r="X44" s="128"/>
      <c r="Y44" s="129"/>
      <c r="Z44" s="130"/>
      <c r="AA44" s="131"/>
      <c r="AB44" s="101"/>
      <c r="AC44" s="116"/>
      <c r="AD44" s="132"/>
      <c r="AE44" s="118"/>
      <c r="AF44" s="119"/>
      <c r="AG44" s="133"/>
      <c r="AH44" s="134"/>
      <c r="AI44" s="135"/>
      <c r="AJ44" s="164"/>
      <c r="AK44" s="167">
        <f t="shared" si="6"/>
        <v>0</v>
      </c>
      <c r="AL44" s="174"/>
    </row>
    <row r="45" spans="1:38" x14ac:dyDescent="0.3">
      <c r="A45" s="184">
        <v>41</v>
      </c>
      <c r="B45" s="208">
        <f>((B49-B41)/8)+B44</f>
        <v>15.700000000000003</v>
      </c>
      <c r="C45" s="217">
        <f>((C49-C41)/8)+C44</f>
        <v>0.18300000000000002</v>
      </c>
      <c r="D45" s="177">
        <f t="shared" si="1"/>
        <v>0.57491145560693224</v>
      </c>
      <c r="E45" s="225">
        <f t="shared" si="2"/>
        <v>0.20482048478493042</v>
      </c>
      <c r="F45" s="229">
        <f t="shared" si="3"/>
        <v>229.39894295912208</v>
      </c>
      <c r="H45" s="203">
        <v>0.2</v>
      </c>
      <c r="I45" s="206">
        <f>H45*(F45-J37)</f>
        <v>41.994740701279966</v>
      </c>
      <c r="J45" s="123">
        <f>I45+J37</f>
        <v>61.419980154002218</v>
      </c>
      <c r="K45" s="88">
        <f>F45-J45</f>
        <v>167.97896280511986</v>
      </c>
      <c r="L45" s="89"/>
      <c r="M45" s="179"/>
      <c r="N45" s="90">
        <f t="shared" si="7"/>
        <v>147.05060446097568</v>
      </c>
      <c r="O45" s="137">
        <v>0.2</v>
      </c>
      <c r="P45" s="206">
        <f>O45*(N45-Q37)</f>
        <v>26.919705577743567</v>
      </c>
      <c r="Q45" s="123">
        <f>P45+Q37</f>
        <v>39.371782150001415</v>
      </c>
      <c r="R45" s="88">
        <f>N45-Q45</f>
        <v>107.67882231097425</v>
      </c>
      <c r="S45" s="92"/>
      <c r="T45" s="125"/>
      <c r="U45" s="94"/>
      <c r="V45" s="126"/>
      <c r="W45" s="127"/>
      <c r="X45" s="128"/>
      <c r="Y45" s="129"/>
      <c r="Z45" s="130"/>
      <c r="AA45" s="131">
        <f>P45</f>
        <v>26.919705577743567</v>
      </c>
      <c r="AB45" s="101">
        <f t="shared" si="8"/>
        <v>15.075035123536399</v>
      </c>
      <c r="AC45" s="116">
        <f t="shared" si="9"/>
        <v>69.991234502133281</v>
      </c>
      <c r="AD45" s="132">
        <v>8</v>
      </c>
      <c r="AE45" s="118">
        <f t="shared" si="10"/>
        <v>559.92987601706625</v>
      </c>
      <c r="AF45" s="119"/>
      <c r="AG45" s="133"/>
      <c r="AH45" s="134"/>
      <c r="AI45" s="135"/>
      <c r="AJ45" s="164"/>
      <c r="AK45" s="167">
        <f t="shared" si="6"/>
        <v>559.92987601706625</v>
      </c>
      <c r="AL45" s="174"/>
    </row>
    <row r="46" spans="1:38" x14ac:dyDescent="0.3">
      <c r="A46" s="184">
        <v>42</v>
      </c>
      <c r="B46" s="208">
        <f>((B49-B41)/8)+B45</f>
        <v>16.000000000000004</v>
      </c>
      <c r="C46" s="217">
        <f>((C49-C41)/8)+C45</f>
        <v>0.18700000000000003</v>
      </c>
      <c r="D46" s="177">
        <f t="shared" si="1"/>
        <v>0.58747782622129141</v>
      </c>
      <c r="E46" s="225">
        <f t="shared" si="2"/>
        <v>0.21795897335070899</v>
      </c>
      <c r="F46" s="229">
        <f t="shared" si="3"/>
        <v>244.11405015279408</v>
      </c>
      <c r="H46" s="204"/>
      <c r="I46" s="206"/>
      <c r="J46" s="123"/>
      <c r="K46" s="88">
        <f>F46-J45</f>
        <v>182.69406999879186</v>
      </c>
      <c r="L46" s="89"/>
      <c r="M46" s="179"/>
      <c r="N46" s="90">
        <f t="shared" si="7"/>
        <v>156.48336548256029</v>
      </c>
      <c r="O46" s="137"/>
      <c r="P46" s="206"/>
      <c r="Q46" s="123"/>
      <c r="R46" s="88">
        <f>N46-Q45</f>
        <v>117.11158333255887</v>
      </c>
      <c r="S46" s="92"/>
      <c r="T46" s="125"/>
      <c r="U46" s="94"/>
      <c r="V46" s="126"/>
      <c r="W46" s="127"/>
      <c r="X46" s="128"/>
      <c r="Y46" s="129"/>
      <c r="Z46" s="130"/>
      <c r="AA46" s="131"/>
      <c r="AB46" s="101"/>
      <c r="AC46" s="116"/>
      <c r="AD46" s="132"/>
      <c r="AE46" s="118"/>
      <c r="AF46" s="119"/>
      <c r="AG46" s="133"/>
      <c r="AH46" s="134"/>
      <c r="AI46" s="135"/>
      <c r="AJ46" s="164"/>
      <c r="AK46" s="167">
        <f t="shared" si="6"/>
        <v>0</v>
      </c>
      <c r="AL46" s="174"/>
    </row>
    <row r="47" spans="1:38" x14ac:dyDescent="0.3">
      <c r="A47" s="184">
        <v>43</v>
      </c>
      <c r="B47" s="208">
        <f>((B49-B41)/8)+B46</f>
        <v>16.300000000000004</v>
      </c>
      <c r="C47" s="217">
        <f>((C49-C41)/8)+C46</f>
        <v>0.19100000000000003</v>
      </c>
      <c r="D47" s="177">
        <f t="shared" si="1"/>
        <v>0.60004419683565058</v>
      </c>
      <c r="E47" s="225">
        <f t="shared" si="2"/>
        <v>0.23164658215304554</v>
      </c>
      <c r="F47" s="229">
        <f t="shared" si="3"/>
        <v>259.44417201141101</v>
      </c>
      <c r="H47" s="204"/>
      <c r="I47" s="206"/>
      <c r="J47" s="123"/>
      <c r="K47" s="88">
        <f>F47-J45</f>
        <v>198.02419185740879</v>
      </c>
      <c r="L47" s="89"/>
      <c r="M47" s="179"/>
      <c r="N47" s="90">
        <f t="shared" si="7"/>
        <v>166.31036667398141</v>
      </c>
      <c r="O47" s="137"/>
      <c r="P47" s="206"/>
      <c r="Q47" s="123"/>
      <c r="R47" s="88">
        <f>N47-Q45</f>
        <v>126.93858452397998</v>
      </c>
      <c r="S47" s="92"/>
      <c r="T47" s="125"/>
      <c r="U47" s="94"/>
      <c r="V47" s="126"/>
      <c r="W47" s="127"/>
      <c r="X47" s="128"/>
      <c r="Y47" s="129"/>
      <c r="Z47" s="130"/>
      <c r="AA47" s="131"/>
      <c r="AB47" s="101"/>
      <c r="AC47" s="116"/>
      <c r="AD47" s="132"/>
      <c r="AE47" s="118"/>
      <c r="AF47" s="119"/>
      <c r="AG47" s="133"/>
      <c r="AH47" s="134"/>
      <c r="AI47" s="135"/>
      <c r="AJ47" s="164"/>
      <c r="AK47" s="167">
        <f t="shared" si="6"/>
        <v>0</v>
      </c>
      <c r="AL47" s="174"/>
    </row>
    <row r="48" spans="1:38" x14ac:dyDescent="0.3">
      <c r="A48" s="184">
        <v>44</v>
      </c>
      <c r="B48" s="208">
        <f>((B49-B41)/8)+B47</f>
        <v>16.600000000000005</v>
      </c>
      <c r="C48" s="217">
        <f>((C49-C41)/8)+C47</f>
        <v>0.19500000000000003</v>
      </c>
      <c r="D48" s="177">
        <f t="shared" si="1"/>
        <v>0.61261056745000975</v>
      </c>
      <c r="E48" s="225">
        <f t="shared" si="2"/>
        <v>0.2458945304476246</v>
      </c>
      <c r="F48" s="229">
        <f t="shared" si="3"/>
        <v>275.40187410133956</v>
      </c>
      <c r="H48" s="204"/>
      <c r="I48" s="206"/>
      <c r="J48" s="123"/>
      <c r="K48" s="88">
        <f>F48-J45</f>
        <v>213.98189394733734</v>
      </c>
      <c r="L48" s="89"/>
      <c r="M48" s="179"/>
      <c r="N48" s="90">
        <f t="shared" si="7"/>
        <v>176.53966288547406</v>
      </c>
      <c r="O48" s="137"/>
      <c r="P48" s="206"/>
      <c r="Q48" s="123"/>
      <c r="R48" s="88">
        <f>N48-Q45</f>
        <v>137.16788073547264</v>
      </c>
      <c r="S48" s="92"/>
      <c r="T48" s="125"/>
      <c r="U48" s="94"/>
      <c r="V48" s="126"/>
      <c r="W48" s="127"/>
      <c r="X48" s="128"/>
      <c r="Y48" s="129"/>
      <c r="Z48" s="130"/>
      <c r="AA48" s="131"/>
      <c r="AB48" s="101"/>
      <c r="AC48" s="116"/>
      <c r="AD48" s="132"/>
      <c r="AE48" s="118"/>
      <c r="AF48" s="119"/>
      <c r="AG48" s="133"/>
      <c r="AH48" s="134"/>
      <c r="AI48" s="135"/>
      <c r="AJ48" s="164"/>
      <c r="AK48" s="167">
        <f t="shared" si="6"/>
        <v>0</v>
      </c>
      <c r="AL48" s="174"/>
    </row>
    <row r="49" spans="1:38" x14ac:dyDescent="0.3">
      <c r="A49" s="207">
        <v>45</v>
      </c>
      <c r="B49" s="208">
        <v>16.899999999999999</v>
      </c>
      <c r="C49" s="217">
        <v>0.19900000000000001</v>
      </c>
      <c r="D49" s="177">
        <f t="shared" si="1"/>
        <v>0.62517693806436891</v>
      </c>
      <c r="E49" s="225">
        <f t="shared" si="2"/>
        <v>0.26071403749013067</v>
      </c>
      <c r="F49" s="229">
        <f t="shared" si="3"/>
        <v>291.99972198894636</v>
      </c>
      <c r="H49" s="204"/>
      <c r="I49" s="206"/>
      <c r="J49" s="123"/>
      <c r="K49" s="88">
        <f>F49-J45</f>
        <v>230.57974183494414</v>
      </c>
      <c r="L49" s="89"/>
      <c r="M49" s="179"/>
      <c r="N49" s="90">
        <f t="shared" si="7"/>
        <v>187.1793089672733</v>
      </c>
      <c r="O49" s="137"/>
      <c r="P49" s="206"/>
      <c r="Q49" s="123"/>
      <c r="R49" s="88">
        <f>N49-Q45</f>
        <v>147.80752681727188</v>
      </c>
      <c r="S49" s="92"/>
      <c r="T49" s="125"/>
      <c r="U49" s="94"/>
      <c r="V49" s="126"/>
      <c r="W49" s="127"/>
      <c r="X49" s="128"/>
      <c r="Y49" s="129"/>
      <c r="Z49" s="130"/>
      <c r="AA49" s="131"/>
      <c r="AB49" s="101"/>
      <c r="AC49" s="116"/>
      <c r="AD49" s="132"/>
      <c r="AE49" s="118"/>
      <c r="AF49" s="119"/>
      <c r="AG49" s="133"/>
      <c r="AH49" s="134"/>
      <c r="AI49" s="135"/>
      <c r="AJ49" s="164"/>
      <c r="AK49" s="167">
        <f t="shared" si="6"/>
        <v>0</v>
      </c>
      <c r="AL49" s="174"/>
    </row>
    <row r="50" spans="1:38" x14ac:dyDescent="0.3">
      <c r="A50" s="184">
        <v>46</v>
      </c>
      <c r="B50" s="208">
        <f>((B57-B49)/8)+B49</f>
        <v>17.149999999999999</v>
      </c>
      <c r="C50" s="217">
        <f>((C57-C49)/8)+C49</f>
        <v>0.203125</v>
      </c>
      <c r="D50" s="177">
        <f t="shared" si="1"/>
        <v>0.63813600776042678</v>
      </c>
      <c r="E50" s="225">
        <f t="shared" si="2"/>
        <v>0.27565281942723757</v>
      </c>
      <c r="F50" s="229">
        <f t="shared" si="3"/>
        <v>308.73115775850607</v>
      </c>
      <c r="H50" s="204"/>
      <c r="I50" s="206"/>
      <c r="J50" s="123"/>
      <c r="K50" s="88">
        <f>F50-J45</f>
        <v>247.31117760450385</v>
      </c>
      <c r="L50" s="89"/>
      <c r="M50" s="179"/>
      <c r="N50" s="90">
        <f t="shared" si="7"/>
        <v>197.90458830673467</v>
      </c>
      <c r="O50" s="137"/>
      <c r="P50" s="206"/>
      <c r="Q50" s="123"/>
      <c r="R50" s="88">
        <f>N50-Q45</f>
        <v>158.53280615673324</v>
      </c>
      <c r="S50" s="92"/>
      <c r="T50" s="125"/>
      <c r="U50" s="94"/>
      <c r="V50" s="126"/>
      <c r="W50" s="127"/>
      <c r="X50" s="128"/>
      <c r="Y50" s="129"/>
      <c r="Z50" s="130"/>
      <c r="AA50" s="131"/>
      <c r="AB50" s="101"/>
      <c r="AC50" s="116"/>
      <c r="AD50" s="132"/>
      <c r="AE50" s="118"/>
      <c r="AF50" s="119"/>
      <c r="AG50" s="133"/>
      <c r="AH50" s="134"/>
      <c r="AI50" s="135"/>
      <c r="AJ50" s="164"/>
      <c r="AK50" s="167">
        <f t="shared" si="6"/>
        <v>0</v>
      </c>
      <c r="AL50" s="174"/>
    </row>
    <row r="51" spans="1:38" x14ac:dyDescent="0.3">
      <c r="A51" s="184">
        <v>47</v>
      </c>
      <c r="B51" s="208">
        <f>((B57-B49)/8)+B50</f>
        <v>17.399999999999999</v>
      </c>
      <c r="C51" s="217">
        <f>((C57-C49)/8)+C50</f>
        <v>0.20724999999999999</v>
      </c>
      <c r="D51" s="177">
        <f t="shared" si="1"/>
        <v>0.65109507745648454</v>
      </c>
      <c r="E51" s="225">
        <f t="shared" si="2"/>
        <v>0.29114536768264299</v>
      </c>
      <c r="F51" s="229">
        <f t="shared" si="3"/>
        <v>326.08281180456015</v>
      </c>
      <c r="H51" s="204"/>
      <c r="I51" s="206"/>
      <c r="J51" s="123"/>
      <c r="K51" s="88">
        <f>F51-J45</f>
        <v>264.66283165055791</v>
      </c>
      <c r="L51" s="89"/>
      <c r="M51" s="179"/>
      <c r="N51" s="90">
        <f t="shared" si="7"/>
        <v>209.02744346446164</v>
      </c>
      <c r="O51" s="137"/>
      <c r="P51" s="206"/>
      <c r="Q51" s="123"/>
      <c r="R51" s="88">
        <f>N51-Q45</f>
        <v>169.65566131446022</v>
      </c>
      <c r="S51" s="92"/>
      <c r="T51" s="125"/>
      <c r="U51" s="94"/>
      <c r="V51" s="126"/>
      <c r="W51" s="127"/>
      <c r="X51" s="128"/>
      <c r="Y51" s="129"/>
      <c r="Z51" s="130"/>
      <c r="AA51" s="131"/>
      <c r="AB51" s="101"/>
      <c r="AC51" s="116"/>
      <c r="AD51" s="132"/>
      <c r="AE51" s="118"/>
      <c r="AF51" s="119"/>
      <c r="AG51" s="133"/>
      <c r="AH51" s="134"/>
      <c r="AI51" s="135"/>
      <c r="AJ51" s="164"/>
      <c r="AK51" s="167">
        <f t="shared" si="6"/>
        <v>0</v>
      </c>
      <c r="AL51" s="174"/>
    </row>
    <row r="52" spans="1:38" x14ac:dyDescent="0.3">
      <c r="A52" s="184">
        <v>48</v>
      </c>
      <c r="B52" s="208">
        <f>((B57-B49)/8)+B51</f>
        <v>17.649999999999999</v>
      </c>
      <c r="C52" s="217">
        <f>((C57-C49)/8)+C51</f>
        <v>0.21137499999999998</v>
      </c>
      <c r="D52" s="177">
        <f t="shared" si="1"/>
        <v>0.66405414715254241</v>
      </c>
      <c r="E52" s="225">
        <f t="shared" si="2"/>
        <v>0.30720162510257115</v>
      </c>
      <c r="F52" s="229">
        <f t="shared" si="3"/>
        <v>344.06582011487967</v>
      </c>
      <c r="H52" s="204"/>
      <c r="I52" s="206"/>
      <c r="J52" s="123"/>
      <c r="K52" s="88">
        <f>F52-J45</f>
        <v>282.64583996087742</v>
      </c>
      <c r="L52" s="89"/>
      <c r="M52" s="179"/>
      <c r="N52" s="90">
        <f t="shared" si="7"/>
        <v>220.55501289415363</v>
      </c>
      <c r="O52" s="137"/>
      <c r="P52" s="206"/>
      <c r="Q52" s="123"/>
      <c r="R52" s="88">
        <f>N52-Q45</f>
        <v>181.18323074415221</v>
      </c>
      <c r="S52" s="92"/>
      <c r="T52" s="125"/>
      <c r="U52" s="94"/>
      <c r="V52" s="126"/>
      <c r="W52" s="127"/>
      <c r="X52" s="128"/>
      <c r="Y52" s="129"/>
      <c r="Z52" s="130"/>
      <c r="AA52" s="131"/>
      <c r="AB52" s="101"/>
      <c r="AC52" s="116"/>
      <c r="AD52" s="132"/>
      <c r="AE52" s="118"/>
      <c r="AF52" s="119"/>
      <c r="AG52" s="133"/>
      <c r="AH52" s="134"/>
      <c r="AI52" s="135"/>
      <c r="AJ52" s="164"/>
      <c r="AK52" s="167">
        <f t="shared" si="6"/>
        <v>0</v>
      </c>
      <c r="AL52" s="174"/>
    </row>
    <row r="53" spans="1:38" x14ac:dyDescent="0.3">
      <c r="A53" s="184">
        <v>49</v>
      </c>
      <c r="B53" s="208">
        <f>((B57-B49)/8)+B52</f>
        <v>17.899999999999999</v>
      </c>
      <c r="C53" s="217">
        <f>((C57-C49)/8)+C52</f>
        <v>0.21549999999999997</v>
      </c>
      <c r="D53" s="177">
        <f t="shared" si="1"/>
        <v>0.67701321684860027</v>
      </c>
      <c r="E53" s="225">
        <f t="shared" si="2"/>
        <v>0.32383153453324642</v>
      </c>
      <c r="F53" s="229">
        <f t="shared" si="3"/>
        <v>362.69131867723598</v>
      </c>
      <c r="H53" s="204"/>
      <c r="I53" s="206"/>
      <c r="J53" s="123"/>
      <c r="K53" s="88">
        <f>F53-J45</f>
        <v>301.27133852323379</v>
      </c>
      <c r="L53" s="89"/>
      <c r="M53" s="179"/>
      <c r="N53" s="90">
        <f t="shared" si="7"/>
        <v>232.49443504951023</v>
      </c>
      <c r="O53" s="137"/>
      <c r="P53" s="206"/>
      <c r="Q53" s="123"/>
      <c r="R53" s="88">
        <f>N53-Q45</f>
        <v>193.12265289950881</v>
      </c>
      <c r="S53" s="92"/>
      <c r="T53" s="125"/>
      <c r="U53" s="94"/>
      <c r="V53" s="126"/>
      <c r="W53" s="127"/>
      <c r="X53" s="128"/>
      <c r="Y53" s="129"/>
      <c r="Z53" s="130"/>
      <c r="AA53" s="131"/>
      <c r="AB53" s="101"/>
      <c r="AC53" s="116"/>
      <c r="AD53" s="132"/>
      <c r="AE53" s="118"/>
      <c r="AF53" s="119"/>
      <c r="AG53" s="133"/>
      <c r="AH53" s="134"/>
      <c r="AI53" s="135"/>
      <c r="AJ53" s="164"/>
      <c r="AK53" s="167">
        <f t="shared" si="6"/>
        <v>0</v>
      </c>
      <c r="AL53" s="174"/>
    </row>
    <row r="54" spans="1:38" x14ac:dyDescent="0.3">
      <c r="A54" s="184">
        <v>50</v>
      </c>
      <c r="B54" s="208">
        <f>((B57-B49)/8)+B53</f>
        <v>18.149999999999999</v>
      </c>
      <c r="C54" s="217">
        <f>((C57-C49)/8)+C53</f>
        <v>0.21962499999999996</v>
      </c>
      <c r="D54" s="177">
        <f t="shared" si="1"/>
        <v>0.68997228654465814</v>
      </c>
      <c r="E54" s="225">
        <f t="shared" si="2"/>
        <v>0.34104503882089304</v>
      </c>
      <c r="F54" s="229">
        <f t="shared" si="3"/>
        <v>381.97044347940022</v>
      </c>
      <c r="H54" s="204"/>
      <c r="I54" s="206"/>
      <c r="J54" s="123"/>
      <c r="K54" s="88">
        <f>F54-J45</f>
        <v>320.55046332539803</v>
      </c>
      <c r="L54" s="89"/>
      <c r="M54" s="179"/>
      <c r="N54" s="90">
        <f t="shared" si="7"/>
        <v>244.8528483842309</v>
      </c>
      <c r="O54" s="137"/>
      <c r="P54" s="206"/>
      <c r="Q54" s="123"/>
      <c r="R54" s="88">
        <f>N54-Q45</f>
        <v>205.48106623422947</v>
      </c>
      <c r="S54" s="92"/>
      <c r="T54" s="125"/>
      <c r="U54" s="94"/>
      <c r="V54" s="126"/>
      <c r="W54" s="127"/>
      <c r="X54" s="128"/>
      <c r="Y54" s="129"/>
      <c r="Z54" s="130"/>
      <c r="AA54" s="131"/>
      <c r="AB54" s="101"/>
      <c r="AC54" s="116"/>
      <c r="AD54" s="132"/>
      <c r="AE54" s="118"/>
      <c r="AF54" s="119"/>
      <c r="AG54" s="133"/>
      <c r="AH54" s="134"/>
      <c r="AI54" s="135"/>
      <c r="AJ54" s="164"/>
      <c r="AK54" s="167">
        <f t="shared" si="6"/>
        <v>0</v>
      </c>
      <c r="AL54" s="174"/>
    </row>
    <row r="55" spans="1:38" x14ac:dyDescent="0.3">
      <c r="A55" s="184">
        <v>51</v>
      </c>
      <c r="B55" s="208">
        <f>((B57-B49)/8)+B54</f>
        <v>18.399999999999999</v>
      </c>
      <c r="C55" s="217">
        <f>((C57-C49)/8)+C54</f>
        <v>0.22374999999999995</v>
      </c>
      <c r="D55" s="177">
        <f t="shared" si="1"/>
        <v>0.70293135624071601</v>
      </c>
      <c r="E55" s="225">
        <f t="shared" si="2"/>
        <v>0.35885208081173531</v>
      </c>
      <c r="F55" s="229">
        <f t="shared" si="3"/>
        <v>401.91433050914355</v>
      </c>
      <c r="H55" s="204"/>
      <c r="I55" s="206"/>
      <c r="J55" s="123"/>
      <c r="K55" s="88">
        <f>F55-J45</f>
        <v>340.49435035514136</v>
      </c>
      <c r="L55" s="89"/>
      <c r="M55" s="179"/>
      <c r="N55" s="90">
        <f t="shared" si="7"/>
        <v>257.63739135201507</v>
      </c>
      <c r="O55" s="137"/>
      <c r="P55" s="206"/>
      <c r="Q55" s="123"/>
      <c r="R55" s="88">
        <f>N55-Q45</f>
        <v>218.26560920201365</v>
      </c>
      <c r="S55" s="92"/>
      <c r="T55" s="125"/>
      <c r="U55" s="94"/>
      <c r="V55" s="126"/>
      <c r="W55" s="127"/>
      <c r="X55" s="128"/>
      <c r="Y55" s="129"/>
      <c r="Z55" s="130"/>
      <c r="AA55" s="131"/>
      <c r="AB55" s="101"/>
      <c r="AC55" s="116"/>
      <c r="AD55" s="132"/>
      <c r="AE55" s="118"/>
      <c r="AF55" s="119"/>
      <c r="AG55" s="133"/>
      <c r="AH55" s="134"/>
      <c r="AI55" s="135"/>
      <c r="AJ55" s="164"/>
      <c r="AK55" s="167">
        <f t="shared" si="6"/>
        <v>0</v>
      </c>
      <c r="AL55" s="174"/>
    </row>
    <row r="56" spans="1:38" x14ac:dyDescent="0.3">
      <c r="A56" s="184">
        <v>52</v>
      </c>
      <c r="B56" s="208">
        <f>((B57-B49)/8)+B55</f>
        <v>18.649999999999999</v>
      </c>
      <c r="C56" s="217">
        <f>((C57-C49)/8)+C55</f>
        <v>0.22787499999999994</v>
      </c>
      <c r="D56" s="177">
        <f t="shared" si="1"/>
        <v>0.71589042593677388</v>
      </c>
      <c r="E56" s="225">
        <f t="shared" si="2"/>
        <v>0.37726260335199763</v>
      </c>
      <c r="F56" s="229">
        <f t="shared" si="3"/>
        <v>422.53411575423735</v>
      </c>
      <c r="H56" s="204"/>
      <c r="I56" s="206"/>
      <c r="J56" s="123"/>
      <c r="K56" s="88">
        <f>F56-J45</f>
        <v>361.11413560023516</v>
      </c>
      <c r="L56" s="89"/>
      <c r="M56" s="179"/>
      <c r="N56" s="90">
        <f t="shared" si="7"/>
        <v>270.8552024065624</v>
      </c>
      <c r="O56" s="137"/>
      <c r="P56" s="206"/>
      <c r="Q56" s="123"/>
      <c r="R56" s="88">
        <f>N56-Q45</f>
        <v>231.48342025656098</v>
      </c>
      <c r="S56" s="92"/>
      <c r="T56" s="125"/>
      <c r="U56" s="94"/>
      <c r="V56" s="126"/>
      <c r="W56" s="127"/>
      <c r="X56" s="128"/>
      <c r="Y56" s="129"/>
      <c r="Z56" s="130"/>
      <c r="AA56" s="131"/>
      <c r="AB56" s="101"/>
      <c r="AC56" s="116"/>
      <c r="AD56" s="132"/>
      <c r="AE56" s="118"/>
      <c r="AF56" s="119"/>
      <c r="AG56" s="133"/>
      <c r="AH56" s="134"/>
      <c r="AI56" s="135"/>
      <c r="AJ56" s="164"/>
      <c r="AK56" s="167">
        <f t="shared" si="6"/>
        <v>0</v>
      </c>
      <c r="AL56" s="174"/>
    </row>
    <row r="57" spans="1:38" x14ac:dyDescent="0.3">
      <c r="A57" s="207">
        <v>53</v>
      </c>
      <c r="B57" s="209">
        <v>18.899999999999999</v>
      </c>
      <c r="C57" s="217">
        <v>0.23200000000000001</v>
      </c>
      <c r="D57" s="177">
        <f t="shared" si="1"/>
        <v>0.72884949563283208</v>
      </c>
      <c r="E57" s="225">
        <f t="shared" si="2"/>
        <v>0.39628654928790447</v>
      </c>
      <c r="F57" s="229">
        <f t="shared" si="3"/>
        <v>443.84093520245301</v>
      </c>
      <c r="H57" s="204"/>
      <c r="I57" s="206"/>
      <c r="J57" s="123"/>
      <c r="K57" s="88">
        <f>F57-J45</f>
        <v>382.42095504845076</v>
      </c>
      <c r="L57" s="89"/>
      <c r="M57" s="179"/>
      <c r="N57" s="90">
        <f t="shared" si="7"/>
        <v>284.51342000157246</v>
      </c>
      <c r="O57" s="137"/>
      <c r="P57" s="206"/>
      <c r="Q57" s="123"/>
      <c r="R57" s="88">
        <f>N57-Q45</f>
        <v>245.14163785157103</v>
      </c>
      <c r="S57" s="92"/>
      <c r="T57" s="125"/>
      <c r="U57" s="94"/>
      <c r="V57" s="126"/>
      <c r="W57" s="127"/>
      <c r="X57" s="128"/>
      <c r="Y57" s="129"/>
      <c r="Z57" s="130"/>
      <c r="AA57" s="131"/>
      <c r="AB57" s="101"/>
      <c r="AC57" s="116"/>
      <c r="AD57" s="132"/>
      <c r="AE57" s="118"/>
      <c r="AF57" s="119"/>
      <c r="AG57" s="133"/>
      <c r="AH57" s="134"/>
      <c r="AI57" s="135"/>
      <c r="AJ57" s="164"/>
      <c r="AK57" s="167">
        <f t="shared" si="6"/>
        <v>0</v>
      </c>
      <c r="AL57" s="174"/>
    </row>
    <row r="58" spans="1:38" x14ac:dyDescent="0.3">
      <c r="A58" s="184">
        <v>54</v>
      </c>
      <c r="B58" s="209">
        <f>((B65-B57)/8)+B57</f>
        <v>19.137499999999999</v>
      </c>
      <c r="C58" s="222">
        <f>((C65-C57)/8)+C57</f>
        <v>0.23600000000000002</v>
      </c>
      <c r="D58" s="177">
        <f t="shared" si="1"/>
        <v>0.74141586624719125</v>
      </c>
      <c r="E58" s="225">
        <f t="shared" si="2"/>
        <v>0.41522239344990375</v>
      </c>
      <c r="F58" s="229">
        <f t="shared" si="3"/>
        <v>465.0490806638922</v>
      </c>
      <c r="H58" s="204"/>
      <c r="I58" s="206"/>
      <c r="J58" s="123"/>
      <c r="K58" s="88">
        <f>F58-J45</f>
        <v>403.62910050989001</v>
      </c>
      <c r="L58" s="89"/>
      <c r="M58" s="179"/>
      <c r="N58" s="90">
        <f t="shared" si="7"/>
        <v>298.10838504095653</v>
      </c>
      <c r="O58" s="137"/>
      <c r="P58" s="206"/>
      <c r="Q58" s="123"/>
      <c r="R58" s="88">
        <f>N58-Q45</f>
        <v>258.73660289095511</v>
      </c>
      <c r="S58" s="92"/>
      <c r="T58" s="125"/>
      <c r="U58" s="94"/>
      <c r="V58" s="126"/>
      <c r="W58" s="127"/>
      <c r="X58" s="128"/>
      <c r="Y58" s="129"/>
      <c r="Z58" s="130"/>
      <c r="AA58" s="131"/>
      <c r="AB58" s="101"/>
      <c r="AC58" s="116"/>
      <c r="AD58" s="132"/>
      <c r="AE58" s="118"/>
      <c r="AF58" s="119"/>
      <c r="AG58" s="133"/>
      <c r="AH58" s="134"/>
      <c r="AI58" s="135"/>
      <c r="AJ58" s="164"/>
      <c r="AK58" s="167">
        <f t="shared" si="6"/>
        <v>0</v>
      </c>
      <c r="AL58" s="174"/>
    </row>
    <row r="59" spans="1:38" x14ac:dyDescent="0.3">
      <c r="A59" s="184">
        <v>55</v>
      </c>
      <c r="B59" s="209">
        <f>((B65-B57)/8)+B58</f>
        <v>19.375</v>
      </c>
      <c r="C59" s="222">
        <f>((C65-C57)/8)+C58</f>
        <v>0.24000000000000002</v>
      </c>
      <c r="D59" s="177">
        <f t="shared" si="1"/>
        <v>0.75398223686155041</v>
      </c>
      <c r="E59" s="225">
        <f t="shared" si="2"/>
        <v>0.43474615777436998</v>
      </c>
      <c r="F59" s="229">
        <f t="shared" si="3"/>
        <v>486.91569670729439</v>
      </c>
      <c r="H59" s="203">
        <v>0.2</v>
      </c>
      <c r="I59" s="206">
        <f>H59*(F59-J45)</f>
        <v>85.099143310658434</v>
      </c>
      <c r="J59" s="123">
        <f>I59+J45</f>
        <v>146.51912346466065</v>
      </c>
      <c r="K59" s="88">
        <f>F59-J59</f>
        <v>340.39657324263374</v>
      </c>
      <c r="L59" s="89"/>
      <c r="M59" s="179"/>
      <c r="N59" s="90">
        <f t="shared" si="7"/>
        <v>312.12544660724001</v>
      </c>
      <c r="O59" s="137">
        <v>0.2</v>
      </c>
      <c r="P59" s="206">
        <f>O59*(N59-Q45)</f>
        <v>54.550732891447723</v>
      </c>
      <c r="Q59" s="123">
        <f>P59+Q45</f>
        <v>93.922515041449145</v>
      </c>
      <c r="R59" s="88">
        <f>N59-Q59</f>
        <v>218.20293156579086</v>
      </c>
      <c r="S59" s="92"/>
      <c r="T59" s="125">
        <f>P59*25%</f>
        <v>13.637683222861931</v>
      </c>
      <c r="U59" s="94">
        <f t="shared" ref="U59" si="11">T59*0.95</f>
        <v>12.955799061718833</v>
      </c>
      <c r="V59" s="126">
        <v>8</v>
      </c>
      <c r="W59" s="127">
        <f>T59*V59</f>
        <v>109.10146578289545</v>
      </c>
      <c r="X59" s="128">
        <v>0.4</v>
      </c>
      <c r="Y59" s="129">
        <v>0.6</v>
      </c>
      <c r="Z59" s="130"/>
      <c r="AA59" s="131">
        <f>P59*25%</f>
        <v>13.637683222861931</v>
      </c>
      <c r="AB59" s="101">
        <f t="shared" si="8"/>
        <v>30.548410419210711</v>
      </c>
      <c r="AC59" s="116">
        <f t="shared" si="9"/>
        <v>73.64348940345441</v>
      </c>
      <c r="AD59" s="132">
        <v>8</v>
      </c>
      <c r="AE59" s="118">
        <f t="shared" si="10"/>
        <v>589.14791522763528</v>
      </c>
      <c r="AF59" s="119"/>
      <c r="AG59" s="133">
        <f>P59*50%</f>
        <v>27.275366445723861</v>
      </c>
      <c r="AH59" s="134">
        <v>40</v>
      </c>
      <c r="AI59" s="135">
        <f>AG59*AH59</f>
        <v>1091.0146578289546</v>
      </c>
      <c r="AJ59" s="164"/>
      <c r="AK59" s="167">
        <f t="shared" si="6"/>
        <v>1789.2640388394852</v>
      </c>
      <c r="AL59" s="174"/>
    </row>
    <row r="60" spans="1:38" x14ac:dyDescent="0.3">
      <c r="A60" s="184">
        <v>56</v>
      </c>
      <c r="B60" s="209">
        <f>((B65-B57)/8)+B59</f>
        <v>19.612500000000001</v>
      </c>
      <c r="C60" s="222">
        <f>((C65-C57)/8)+C59</f>
        <v>0.24400000000000002</v>
      </c>
      <c r="D60" s="177">
        <f t="shared" si="1"/>
        <v>0.76654860747590958</v>
      </c>
      <c r="E60" s="225">
        <f t="shared" si="2"/>
        <v>0.45486672417205337</v>
      </c>
      <c r="F60" s="229">
        <f t="shared" si="3"/>
        <v>509.4507310726998</v>
      </c>
      <c r="H60" s="204"/>
      <c r="I60" s="206"/>
      <c r="J60" s="123"/>
      <c r="K60" s="88">
        <f>F60-J59</f>
        <v>362.93160760803914</v>
      </c>
      <c r="L60" s="89"/>
      <c r="M60" s="179"/>
      <c r="N60" s="90">
        <f t="shared" si="7"/>
        <v>326.57098145685882</v>
      </c>
      <c r="O60" s="137"/>
      <c r="P60" s="206"/>
      <c r="Q60" s="123"/>
      <c r="R60" s="88">
        <f>N60-Q59</f>
        <v>232.64846641540967</v>
      </c>
      <c r="S60" s="92"/>
      <c r="T60" s="125"/>
      <c r="U60" s="94"/>
      <c r="V60" s="126"/>
      <c r="W60" s="127"/>
      <c r="X60" s="128"/>
      <c r="Y60" s="129"/>
      <c r="Z60" s="130"/>
      <c r="AA60" s="131"/>
      <c r="AB60" s="101"/>
      <c r="AC60" s="116"/>
      <c r="AD60" s="132"/>
      <c r="AE60" s="118"/>
      <c r="AF60" s="119"/>
      <c r="AG60" s="133"/>
      <c r="AH60" s="134"/>
      <c r="AI60" s="135"/>
      <c r="AJ60" s="164"/>
      <c r="AK60" s="167">
        <f t="shared" si="6"/>
        <v>0</v>
      </c>
      <c r="AL60" s="174"/>
    </row>
    <row r="61" spans="1:38" x14ac:dyDescent="0.3">
      <c r="A61" s="184">
        <v>57</v>
      </c>
      <c r="B61" s="209">
        <f>((B65-B57)/8)+B60</f>
        <v>19.850000000000001</v>
      </c>
      <c r="C61" s="222">
        <f>((C65-C57)/8)+C60</f>
        <v>0.24800000000000003</v>
      </c>
      <c r="D61" s="177">
        <f t="shared" si="1"/>
        <v>0.77911497809026875</v>
      </c>
      <c r="E61" s="225">
        <f t="shared" si="2"/>
        <v>0.4755929745537042</v>
      </c>
      <c r="F61" s="229">
        <f t="shared" si="3"/>
        <v>532.66413150014864</v>
      </c>
      <c r="H61" s="204"/>
      <c r="I61" s="206"/>
      <c r="J61" s="123"/>
      <c r="K61" s="88">
        <f>F61-J59</f>
        <v>386.14500803548799</v>
      </c>
      <c r="L61" s="89"/>
      <c r="M61" s="179"/>
      <c r="N61" s="90">
        <f t="shared" si="7"/>
        <v>341.45136634624913</v>
      </c>
      <c r="O61" s="137"/>
      <c r="P61" s="206"/>
      <c r="Q61" s="123"/>
      <c r="R61" s="88">
        <f>N61-Q59</f>
        <v>247.52885130479999</v>
      </c>
      <c r="S61" s="92"/>
      <c r="T61" s="125"/>
      <c r="U61" s="94"/>
      <c r="V61" s="126"/>
      <c r="W61" s="127"/>
      <c r="X61" s="128"/>
      <c r="Y61" s="129"/>
      <c r="Z61" s="130"/>
      <c r="AA61" s="131"/>
      <c r="AB61" s="101"/>
      <c r="AC61" s="116"/>
      <c r="AD61" s="132"/>
      <c r="AE61" s="118"/>
      <c r="AF61" s="119"/>
      <c r="AG61" s="133"/>
      <c r="AH61" s="134"/>
      <c r="AI61" s="135"/>
      <c r="AJ61" s="164"/>
      <c r="AK61" s="167">
        <f t="shared" si="6"/>
        <v>0</v>
      </c>
      <c r="AL61" s="174"/>
    </row>
    <row r="62" spans="1:38" x14ac:dyDescent="0.3">
      <c r="A62" s="184">
        <v>58</v>
      </c>
      <c r="B62" s="209">
        <f>((B65-B57)/8)+B61</f>
        <v>20.087500000000002</v>
      </c>
      <c r="C62" s="222">
        <f>((C65-C57)/8)+C61</f>
        <v>0.252</v>
      </c>
      <c r="D62" s="177">
        <f t="shared" si="1"/>
        <v>0.79168134870462792</v>
      </c>
      <c r="E62" s="225">
        <f t="shared" si="2"/>
        <v>0.4969337908300725</v>
      </c>
      <c r="F62" s="229">
        <f t="shared" si="3"/>
        <v>556.5658457296812</v>
      </c>
      <c r="H62" s="204"/>
      <c r="I62" s="206"/>
      <c r="J62" s="123"/>
      <c r="K62" s="88">
        <f>F62-J59</f>
        <v>410.04672226502055</v>
      </c>
      <c r="L62" s="89"/>
      <c r="M62" s="179"/>
      <c r="N62" s="90">
        <f t="shared" si="7"/>
        <v>356.77297803184689</v>
      </c>
      <c r="O62" s="137"/>
      <c r="P62" s="206"/>
      <c r="Q62" s="123"/>
      <c r="R62" s="88">
        <f>N62-Q59</f>
        <v>262.85046299039777</v>
      </c>
      <c r="S62" s="92"/>
      <c r="T62" s="125"/>
      <c r="U62" s="94"/>
      <c r="V62" s="126"/>
      <c r="W62" s="127"/>
      <c r="X62" s="128"/>
      <c r="Y62" s="129"/>
      <c r="Z62" s="130"/>
      <c r="AA62" s="131"/>
      <c r="AB62" s="101"/>
      <c r="AC62" s="116"/>
      <c r="AD62" s="132"/>
      <c r="AE62" s="118"/>
      <c r="AF62" s="119"/>
      <c r="AG62" s="133"/>
      <c r="AH62" s="134"/>
      <c r="AI62" s="135"/>
      <c r="AJ62" s="164"/>
      <c r="AK62" s="167">
        <f t="shared" si="6"/>
        <v>0</v>
      </c>
      <c r="AL62" s="174"/>
    </row>
    <row r="63" spans="1:38" x14ac:dyDescent="0.3">
      <c r="A63" s="184">
        <v>59</v>
      </c>
      <c r="B63" s="209">
        <f>((B65-B57)/8)+B62</f>
        <v>20.325000000000003</v>
      </c>
      <c r="C63" s="222">
        <f>((C65-C57)/8)+C62</f>
        <v>0.25600000000000001</v>
      </c>
      <c r="D63" s="177">
        <f t="shared" si="1"/>
        <v>0.80424771931898709</v>
      </c>
      <c r="E63" s="225">
        <f t="shared" si="2"/>
        <v>0.51889805491190866</v>
      </c>
      <c r="F63" s="229">
        <f t="shared" si="3"/>
        <v>581.16582150133775</v>
      </c>
      <c r="H63" s="204"/>
      <c r="I63" s="206"/>
      <c r="J63" s="123"/>
      <c r="K63" s="88">
        <f>F63-J59</f>
        <v>434.64669803667709</v>
      </c>
      <c r="L63" s="89"/>
      <c r="M63" s="179"/>
      <c r="N63" s="90">
        <f t="shared" si="7"/>
        <v>372.54219327008826</v>
      </c>
      <c r="O63" s="137"/>
      <c r="P63" s="206"/>
      <c r="Q63" s="123"/>
      <c r="R63" s="88">
        <f>N63-Q59</f>
        <v>278.61967822863915</v>
      </c>
      <c r="S63" s="92"/>
      <c r="T63" s="125"/>
      <c r="U63" s="94"/>
      <c r="V63" s="126"/>
      <c r="W63" s="127"/>
      <c r="X63" s="128"/>
      <c r="Y63" s="129"/>
      <c r="Z63" s="130"/>
      <c r="AA63" s="131"/>
      <c r="AB63" s="101"/>
      <c r="AC63" s="116"/>
      <c r="AD63" s="132"/>
      <c r="AE63" s="118"/>
      <c r="AF63" s="119"/>
      <c r="AG63" s="133"/>
      <c r="AH63" s="134"/>
      <c r="AI63" s="135"/>
      <c r="AJ63" s="164"/>
      <c r="AK63" s="167">
        <f t="shared" si="6"/>
        <v>0</v>
      </c>
      <c r="AL63" s="174"/>
    </row>
    <row r="64" spans="1:38" x14ac:dyDescent="0.3">
      <c r="A64" s="184">
        <v>60</v>
      </c>
      <c r="B64" s="209">
        <f>((B65-B57)/8)+B63</f>
        <v>20.562500000000004</v>
      </c>
      <c r="C64" s="222">
        <f>((C65-C57)/8)+C63</f>
        <v>0.26</v>
      </c>
      <c r="D64" s="177">
        <f t="shared" si="1"/>
        <v>0.81681408993334625</v>
      </c>
      <c r="E64" s="225">
        <f t="shared" si="2"/>
        <v>0.54149464870996311</v>
      </c>
      <c r="F64" s="229">
        <f t="shared" si="3"/>
        <v>606.47400655515867</v>
      </c>
      <c r="H64" s="204"/>
      <c r="I64" s="206"/>
      <c r="J64" s="123"/>
      <c r="K64" s="88">
        <f>F64-J59</f>
        <v>459.95488309049802</v>
      </c>
      <c r="L64" s="89"/>
      <c r="M64" s="179"/>
      <c r="N64" s="90">
        <f t="shared" si="7"/>
        <v>388.76538881740942</v>
      </c>
      <c r="O64" s="137"/>
      <c r="P64" s="206"/>
      <c r="Q64" s="123"/>
      <c r="R64" s="88">
        <f>N64-Q59</f>
        <v>294.84287377596024</v>
      </c>
      <c r="S64" s="92"/>
      <c r="T64" s="125"/>
      <c r="U64" s="94"/>
      <c r="V64" s="126"/>
      <c r="W64" s="127"/>
      <c r="X64" s="128"/>
      <c r="Y64" s="129"/>
      <c r="Z64" s="130"/>
      <c r="AA64" s="131"/>
      <c r="AB64" s="101"/>
      <c r="AC64" s="116"/>
      <c r="AD64" s="132"/>
      <c r="AE64" s="118"/>
      <c r="AF64" s="119"/>
      <c r="AG64" s="133"/>
      <c r="AH64" s="134"/>
      <c r="AI64" s="135"/>
      <c r="AJ64" s="164"/>
      <c r="AK64" s="167">
        <f t="shared" si="6"/>
        <v>0</v>
      </c>
      <c r="AL64" s="174"/>
    </row>
    <row r="65" spans="1:38" x14ac:dyDescent="0.3">
      <c r="A65" s="207">
        <v>61</v>
      </c>
      <c r="B65" s="209">
        <v>20.8</v>
      </c>
      <c r="C65" s="217">
        <v>0.26400000000000001</v>
      </c>
      <c r="D65" s="177">
        <f t="shared" si="1"/>
        <v>0.82938046054770542</v>
      </c>
      <c r="E65" s="225">
        <f t="shared" si="2"/>
        <v>0.56473245413498552</v>
      </c>
      <c r="F65" s="229">
        <f t="shared" si="3"/>
        <v>632.50034863118378</v>
      </c>
      <c r="H65" s="204"/>
      <c r="I65" s="206"/>
      <c r="J65" s="123"/>
      <c r="K65" s="88">
        <f>F65-J59</f>
        <v>485.98122516652313</v>
      </c>
      <c r="L65" s="89"/>
      <c r="M65" s="179"/>
      <c r="N65" s="90">
        <f t="shared" si="7"/>
        <v>405.44894143024601</v>
      </c>
      <c r="O65" s="137"/>
      <c r="P65" s="206"/>
      <c r="Q65" s="123"/>
      <c r="R65" s="88">
        <f>N65-Q59</f>
        <v>311.52642638879684</v>
      </c>
      <c r="S65" s="92"/>
      <c r="T65" s="125"/>
      <c r="U65" s="94"/>
      <c r="V65" s="126"/>
      <c r="W65" s="127"/>
      <c r="X65" s="128"/>
      <c r="Y65" s="129"/>
      <c r="Z65" s="130"/>
      <c r="AA65" s="131"/>
      <c r="AB65" s="101"/>
      <c r="AC65" s="116"/>
      <c r="AD65" s="132"/>
      <c r="AE65" s="118"/>
      <c r="AF65" s="119"/>
      <c r="AG65" s="133"/>
      <c r="AH65" s="134"/>
      <c r="AI65" s="135"/>
      <c r="AJ65" s="164"/>
      <c r="AK65" s="167">
        <f t="shared" si="6"/>
        <v>0</v>
      </c>
      <c r="AL65" s="174"/>
    </row>
    <row r="66" spans="1:38" x14ac:dyDescent="0.3">
      <c r="A66" s="184">
        <v>62</v>
      </c>
      <c r="B66" s="209">
        <f>((B73-B65)/8)+B65</f>
        <v>21</v>
      </c>
      <c r="C66" s="222">
        <f>((C73-C65)/8)+C65</f>
        <v>0.26787500000000003</v>
      </c>
      <c r="D66" s="177">
        <f t="shared" si="1"/>
        <v>0.84155413208036589</v>
      </c>
      <c r="E66" s="225">
        <f t="shared" si="2"/>
        <v>0.58702313939319695</v>
      </c>
      <c r="F66" s="229">
        <f t="shared" si="3"/>
        <v>657.4659161203806</v>
      </c>
      <c r="H66" s="204"/>
      <c r="I66" s="206"/>
      <c r="J66" s="123"/>
      <c r="K66" s="88">
        <f>F66-J59</f>
        <v>510.94679265571995</v>
      </c>
      <c r="L66" s="89"/>
      <c r="M66" s="179"/>
      <c r="N66" s="90">
        <f t="shared" si="7"/>
        <v>421.45251033357727</v>
      </c>
      <c r="O66" s="137"/>
      <c r="P66" s="206"/>
      <c r="Q66" s="123"/>
      <c r="R66" s="88">
        <f>N66-Q59</f>
        <v>327.52999529212809</v>
      </c>
      <c r="S66" s="92"/>
      <c r="T66" s="125"/>
      <c r="U66" s="94"/>
      <c r="V66" s="126"/>
      <c r="W66" s="127"/>
      <c r="X66" s="128"/>
      <c r="Y66" s="129"/>
      <c r="Z66" s="130"/>
      <c r="AA66" s="131"/>
      <c r="AB66" s="101"/>
      <c r="AC66" s="116"/>
      <c r="AD66" s="132"/>
      <c r="AE66" s="118"/>
      <c r="AF66" s="119"/>
      <c r="AG66" s="133"/>
      <c r="AH66" s="134"/>
      <c r="AI66" s="135"/>
      <c r="AJ66" s="164"/>
      <c r="AK66" s="167">
        <f t="shared" si="6"/>
        <v>0</v>
      </c>
      <c r="AL66" s="174"/>
    </row>
    <row r="67" spans="1:38" x14ac:dyDescent="0.3">
      <c r="A67" s="184">
        <v>63</v>
      </c>
      <c r="B67" s="209">
        <f>((B73-B65)/8)+B66</f>
        <v>21.2</v>
      </c>
      <c r="C67" s="222">
        <f>((C73-C65)/8)+C66</f>
        <v>0.27175000000000005</v>
      </c>
      <c r="D67" s="177">
        <f t="shared" si="1"/>
        <v>0.85372780361302647</v>
      </c>
      <c r="E67" s="225">
        <f t="shared" si="2"/>
        <v>0.60988299492498099</v>
      </c>
      <c r="F67" s="229">
        <f t="shared" si="3"/>
        <v>683.06895431597866</v>
      </c>
      <c r="H67" s="204"/>
      <c r="I67" s="206"/>
      <c r="J67" s="123"/>
      <c r="K67" s="88">
        <f>F67-J59</f>
        <v>536.54983085131801</v>
      </c>
      <c r="L67" s="89"/>
      <c r="M67" s="179"/>
      <c r="N67" s="90">
        <f t="shared" si="7"/>
        <v>437.86471430511449</v>
      </c>
      <c r="O67" s="137"/>
      <c r="P67" s="206"/>
      <c r="Q67" s="123"/>
      <c r="R67" s="88">
        <f>N67-Q59</f>
        <v>343.94219926366532</v>
      </c>
      <c r="S67" s="92"/>
      <c r="T67" s="125"/>
      <c r="U67" s="94"/>
      <c r="V67" s="126"/>
      <c r="W67" s="127"/>
      <c r="X67" s="128"/>
      <c r="Y67" s="129"/>
      <c r="Z67" s="130"/>
      <c r="AA67" s="131"/>
      <c r="AB67" s="101"/>
      <c r="AC67" s="116"/>
      <c r="AD67" s="132"/>
      <c r="AE67" s="118"/>
      <c r="AF67" s="119"/>
      <c r="AG67" s="133"/>
      <c r="AH67" s="134"/>
      <c r="AI67" s="135"/>
      <c r="AJ67" s="164"/>
      <c r="AK67" s="167">
        <f t="shared" si="6"/>
        <v>0</v>
      </c>
      <c r="AL67" s="174"/>
    </row>
    <row r="68" spans="1:38" x14ac:dyDescent="0.3">
      <c r="A68" s="184">
        <v>64</v>
      </c>
      <c r="B68" s="209">
        <f>((B73-B65)/8)+B67</f>
        <v>21.4</v>
      </c>
      <c r="C68" s="222">
        <f>((C73-C65)/8)+C67</f>
        <v>0.27562500000000006</v>
      </c>
      <c r="D68" s="177">
        <f t="shared" si="1"/>
        <v>0.86590147514568694</v>
      </c>
      <c r="E68" s="225">
        <f t="shared" si="2"/>
        <v>0.63331904006934281</v>
      </c>
      <c r="F68" s="229">
        <f t="shared" si="3"/>
        <v>709.31732487766396</v>
      </c>
      <c r="H68" s="204"/>
      <c r="I68" s="206"/>
      <c r="J68" s="123"/>
      <c r="K68" s="88">
        <f>F68-J59</f>
        <v>562.79820141300331</v>
      </c>
      <c r="L68" s="89"/>
      <c r="M68" s="179"/>
      <c r="N68" s="90">
        <f t="shared" ref="N68:N99" si="12">F68/1.56</f>
        <v>454.69059287029739</v>
      </c>
      <c r="O68" s="137"/>
      <c r="P68" s="206"/>
      <c r="Q68" s="123"/>
      <c r="R68" s="88">
        <f>N68-Q59</f>
        <v>360.76807782884828</v>
      </c>
      <c r="S68" s="92"/>
      <c r="T68" s="125"/>
      <c r="U68" s="94"/>
      <c r="V68" s="126"/>
      <c r="W68" s="127"/>
      <c r="X68" s="128"/>
      <c r="Y68" s="129"/>
      <c r="Z68" s="130"/>
      <c r="AA68" s="131"/>
      <c r="AB68" s="101"/>
      <c r="AC68" s="116"/>
      <c r="AD68" s="132"/>
      <c r="AE68" s="118"/>
      <c r="AF68" s="119"/>
      <c r="AG68" s="133"/>
      <c r="AH68" s="134"/>
      <c r="AI68" s="135"/>
      <c r="AJ68" s="164"/>
      <c r="AK68" s="167">
        <f t="shared" si="6"/>
        <v>0</v>
      </c>
      <c r="AL68" s="174"/>
    </row>
    <row r="69" spans="1:38" x14ac:dyDescent="0.3">
      <c r="A69" s="184">
        <v>65</v>
      </c>
      <c r="B69" s="209">
        <f>((B73-B65)/8)+B68</f>
        <v>21.599999999999998</v>
      </c>
      <c r="C69" s="222">
        <f>((C73-C65)/8)+C68</f>
        <v>0.27950000000000008</v>
      </c>
      <c r="D69" s="177">
        <f t="shared" ref="D69:D132" si="13">C69*PI()</f>
        <v>0.87807514667834741</v>
      </c>
      <c r="E69" s="225">
        <f t="shared" ref="E69:E132" si="14">(D69^2/(4*PI()))*B69*0.496</f>
        <v>0.65733829416528833</v>
      </c>
      <c r="F69" s="229">
        <f t="shared" ref="F69:F132" si="15">E69*1120</f>
        <v>736.21888946512297</v>
      </c>
      <c r="H69" s="204"/>
      <c r="I69" s="206"/>
      <c r="J69" s="123"/>
      <c r="K69" s="88">
        <f>F69-J59</f>
        <v>589.69976600046232</v>
      </c>
      <c r="L69" s="89"/>
      <c r="M69" s="179"/>
      <c r="N69" s="90">
        <f t="shared" si="12"/>
        <v>471.93518555456598</v>
      </c>
      <c r="O69" s="137"/>
      <c r="P69" s="206"/>
      <c r="Q69" s="123"/>
      <c r="R69" s="88">
        <f>N69-Q59</f>
        <v>378.01267051311686</v>
      </c>
      <c r="S69" s="92"/>
      <c r="T69" s="125"/>
      <c r="U69" s="94"/>
      <c r="V69" s="126"/>
      <c r="W69" s="127"/>
      <c r="X69" s="128"/>
      <c r="Y69" s="129"/>
      <c r="Z69" s="130"/>
      <c r="AA69" s="131"/>
      <c r="AB69" s="101"/>
      <c r="AC69" s="116"/>
      <c r="AD69" s="132"/>
      <c r="AE69" s="118"/>
      <c r="AF69" s="119"/>
      <c r="AG69" s="133"/>
      <c r="AH69" s="134"/>
      <c r="AI69" s="135"/>
      <c r="AJ69" s="164"/>
      <c r="AK69" s="167">
        <f t="shared" ref="AK69:AK132" si="16">W69+AE69+AI69</f>
        <v>0</v>
      </c>
      <c r="AL69" s="174"/>
    </row>
    <row r="70" spans="1:38" x14ac:dyDescent="0.3">
      <c r="A70" s="184">
        <v>66</v>
      </c>
      <c r="B70" s="209">
        <f>((B73-B65)/8)+B69</f>
        <v>21.799999999999997</v>
      </c>
      <c r="C70" s="222">
        <f>((C73-C65)/8)+C69</f>
        <v>0.2833750000000001</v>
      </c>
      <c r="D70" s="177">
        <f t="shared" si="13"/>
        <v>0.89024881821100799</v>
      </c>
      <c r="E70" s="225">
        <f t="shared" si="14"/>
        <v>0.68194777655182381</v>
      </c>
      <c r="F70" s="229">
        <f t="shared" si="15"/>
        <v>763.7815097380427</v>
      </c>
      <c r="H70" s="204"/>
      <c r="I70" s="206"/>
      <c r="J70" s="123"/>
      <c r="K70" s="88">
        <f>F70-J59</f>
        <v>617.26238627338205</v>
      </c>
      <c r="L70" s="89"/>
      <c r="M70" s="179"/>
      <c r="N70" s="90">
        <f t="shared" si="12"/>
        <v>489.60353188336069</v>
      </c>
      <c r="O70" s="137"/>
      <c r="P70" s="206"/>
      <c r="Q70" s="123"/>
      <c r="R70" s="88">
        <f>N70-Q59</f>
        <v>395.68101684191151</v>
      </c>
      <c r="S70" s="92"/>
      <c r="T70" s="125"/>
      <c r="U70" s="94"/>
      <c r="V70" s="126"/>
      <c r="W70" s="127"/>
      <c r="X70" s="128"/>
      <c r="Y70" s="129"/>
      <c r="Z70" s="130"/>
      <c r="AA70" s="131"/>
      <c r="AB70" s="101"/>
      <c r="AC70" s="116"/>
      <c r="AD70" s="132"/>
      <c r="AE70" s="118"/>
      <c r="AF70" s="119"/>
      <c r="AG70" s="133"/>
      <c r="AH70" s="134"/>
      <c r="AI70" s="135"/>
      <c r="AJ70" s="164"/>
      <c r="AK70" s="167">
        <f t="shared" si="16"/>
        <v>0</v>
      </c>
      <c r="AL70" s="174"/>
    </row>
    <row r="71" spans="1:38" x14ac:dyDescent="0.3">
      <c r="A71" s="184">
        <v>67</v>
      </c>
      <c r="B71" s="209">
        <f>((B73-B65)/8)+B70</f>
        <v>21.999999999999996</v>
      </c>
      <c r="C71" s="222">
        <f>((C73-C65)/8)+C70</f>
        <v>0.28725000000000012</v>
      </c>
      <c r="D71" s="177">
        <f t="shared" si="13"/>
        <v>0.90242248974366845</v>
      </c>
      <c r="E71" s="225">
        <f t="shared" si="14"/>
        <v>0.7071545065679542</v>
      </c>
      <c r="F71" s="229">
        <f t="shared" si="15"/>
        <v>792.0130473561087</v>
      </c>
      <c r="H71" s="204"/>
      <c r="I71" s="206"/>
      <c r="J71" s="123"/>
      <c r="K71" s="88">
        <f>F71-J59</f>
        <v>645.49392389144805</v>
      </c>
      <c r="L71" s="89"/>
      <c r="M71" s="179"/>
      <c r="N71" s="90">
        <f t="shared" si="12"/>
        <v>507.70067138212096</v>
      </c>
      <c r="O71" s="137"/>
      <c r="P71" s="206"/>
      <c r="Q71" s="123"/>
      <c r="R71" s="88">
        <f>N71-Q59</f>
        <v>413.77815634067179</v>
      </c>
      <c r="S71" s="92"/>
      <c r="T71" s="125"/>
      <c r="U71" s="94"/>
      <c r="V71" s="126"/>
      <c r="W71" s="127"/>
      <c r="X71" s="128"/>
      <c r="Y71" s="129"/>
      <c r="Z71" s="130"/>
      <c r="AA71" s="131"/>
      <c r="AB71" s="101"/>
      <c r="AC71" s="116"/>
      <c r="AD71" s="132"/>
      <c r="AE71" s="118"/>
      <c r="AF71" s="119"/>
      <c r="AG71" s="133"/>
      <c r="AH71" s="134"/>
      <c r="AI71" s="135"/>
      <c r="AJ71" s="164"/>
      <c r="AK71" s="167">
        <f t="shared" si="16"/>
        <v>0</v>
      </c>
      <c r="AL71" s="174"/>
    </row>
    <row r="72" spans="1:38" x14ac:dyDescent="0.3">
      <c r="A72" s="184">
        <v>68</v>
      </c>
      <c r="B72" s="209">
        <f>((B73-B65)/8)+B71</f>
        <v>22.199999999999996</v>
      </c>
      <c r="C72" s="222">
        <f>((C73-C65)/8)+C71</f>
        <v>0.29112500000000013</v>
      </c>
      <c r="D72" s="177">
        <f t="shared" si="13"/>
        <v>0.91459616127632892</v>
      </c>
      <c r="E72" s="225">
        <f t="shared" si="14"/>
        <v>0.73296550355268553</v>
      </c>
      <c r="F72" s="229">
        <f t="shared" si="15"/>
        <v>820.92136397900777</v>
      </c>
      <c r="H72" s="204"/>
      <c r="I72" s="206"/>
      <c r="J72" s="123"/>
      <c r="K72" s="88">
        <f>F72-J59</f>
        <v>674.40224051434711</v>
      </c>
      <c r="L72" s="89"/>
      <c r="M72" s="179"/>
      <c r="N72" s="90">
        <f t="shared" si="12"/>
        <v>526.23164357628696</v>
      </c>
      <c r="O72" s="137"/>
      <c r="P72" s="206"/>
      <c r="Q72" s="123"/>
      <c r="R72" s="88">
        <f>N72-Q59</f>
        <v>432.30912853483778</v>
      </c>
      <c r="S72" s="92"/>
      <c r="T72" s="125"/>
      <c r="U72" s="94"/>
      <c r="V72" s="126"/>
      <c r="W72" s="127"/>
      <c r="X72" s="128"/>
      <c r="Y72" s="129"/>
      <c r="Z72" s="130"/>
      <c r="AA72" s="131"/>
      <c r="AB72" s="101"/>
      <c r="AC72" s="116"/>
      <c r="AD72" s="132"/>
      <c r="AE72" s="118"/>
      <c r="AF72" s="119"/>
      <c r="AG72" s="133"/>
      <c r="AH72" s="134"/>
      <c r="AI72" s="135"/>
      <c r="AJ72" s="164"/>
      <c r="AK72" s="167">
        <f t="shared" si="16"/>
        <v>0</v>
      </c>
      <c r="AL72" s="174"/>
    </row>
    <row r="73" spans="1:38" x14ac:dyDescent="0.3">
      <c r="A73" s="207">
        <v>69</v>
      </c>
      <c r="B73" s="209">
        <v>22.4</v>
      </c>
      <c r="C73" s="217">
        <v>0.29499999999999998</v>
      </c>
      <c r="D73" s="177">
        <f t="shared" si="13"/>
        <v>0.92676983280898895</v>
      </c>
      <c r="E73" s="225">
        <f t="shared" si="14"/>
        <v>0.75938778684502306</v>
      </c>
      <c r="F73" s="229">
        <f t="shared" si="15"/>
        <v>850.51432126642578</v>
      </c>
      <c r="H73" s="203"/>
      <c r="I73" s="206"/>
      <c r="J73" s="123"/>
      <c r="K73" s="88">
        <f>F73-J59</f>
        <v>703.99519780176513</v>
      </c>
      <c r="L73" s="89"/>
      <c r="M73" s="179"/>
      <c r="N73" s="90">
        <f t="shared" si="12"/>
        <v>545.20148799129856</v>
      </c>
      <c r="O73" s="137"/>
      <c r="P73" s="206"/>
      <c r="Q73" s="123"/>
      <c r="R73" s="88">
        <f>N73-Q59</f>
        <v>451.27897294984939</v>
      </c>
      <c r="S73" s="92"/>
      <c r="T73" s="125"/>
      <c r="U73" s="94"/>
      <c r="V73" s="126"/>
      <c r="W73" s="127"/>
      <c r="X73" s="128"/>
      <c r="Y73" s="129"/>
      <c r="Z73" s="130"/>
      <c r="AA73" s="131"/>
      <c r="AB73" s="101"/>
      <c r="AC73" s="116"/>
      <c r="AD73" s="132"/>
      <c r="AE73" s="118"/>
      <c r="AF73" s="119"/>
      <c r="AG73" s="133"/>
      <c r="AH73" s="134"/>
      <c r="AI73" s="135"/>
      <c r="AJ73" s="164"/>
      <c r="AK73" s="167">
        <f t="shared" si="16"/>
        <v>0</v>
      </c>
      <c r="AL73" s="174"/>
    </row>
    <row r="74" spans="1:38" x14ac:dyDescent="0.3">
      <c r="A74" s="184">
        <v>70</v>
      </c>
      <c r="B74" s="209">
        <f>((B81-B73)/8)+B73</f>
        <v>22.587499999999999</v>
      </c>
      <c r="C74" s="222">
        <f>((C81-C73)/8)+C73</f>
        <v>0.29899999999999999</v>
      </c>
      <c r="D74" s="177">
        <f t="shared" si="13"/>
        <v>0.93933620342334812</v>
      </c>
      <c r="E74" s="225">
        <f t="shared" si="14"/>
        <v>0.78665100180212699</v>
      </c>
      <c r="F74" s="229">
        <f t="shared" si="15"/>
        <v>881.04912201838226</v>
      </c>
      <c r="H74" s="203">
        <v>0.2</v>
      </c>
      <c r="I74" s="206">
        <f>H74*(F74-J59)</f>
        <v>146.90599971074434</v>
      </c>
      <c r="J74" s="123">
        <f>I74+J59</f>
        <v>293.42512317540502</v>
      </c>
      <c r="K74" s="88">
        <f>F74-J74</f>
        <v>587.62399884297724</v>
      </c>
      <c r="L74" s="89"/>
      <c r="M74" s="179"/>
      <c r="N74" s="90">
        <f t="shared" si="12"/>
        <v>564.77507821691165</v>
      </c>
      <c r="O74" s="137">
        <v>0.2</v>
      </c>
      <c r="P74" s="206">
        <f>O74*(N74-Q59)</f>
        <v>94.170512635092507</v>
      </c>
      <c r="Q74" s="123">
        <f>P74+Q59</f>
        <v>188.09302767654165</v>
      </c>
      <c r="R74" s="88">
        <f>N74-Q74</f>
        <v>376.68205054037003</v>
      </c>
      <c r="S74" s="92"/>
      <c r="T74" s="125">
        <f>P74*25%</f>
        <v>23.542628158773127</v>
      </c>
      <c r="U74" s="94">
        <f t="shared" ref="U74:U129" si="17">T74*0.95</f>
        <v>22.36549675083447</v>
      </c>
      <c r="V74" s="126">
        <v>8</v>
      </c>
      <c r="W74" s="127">
        <f t="shared" ref="W74:W115" si="18">T74*V74</f>
        <v>188.34102527018501</v>
      </c>
      <c r="X74" s="128">
        <v>0.4</v>
      </c>
      <c r="Y74" s="129">
        <v>0.6</v>
      </c>
      <c r="Z74" s="130"/>
      <c r="AA74" s="131">
        <f>P74*25%</f>
        <v>23.542628158773127</v>
      </c>
      <c r="AB74" s="101">
        <f t="shared" si="8"/>
        <v>52.735487075651832</v>
      </c>
      <c r="AC74" s="116">
        <f t="shared" si="9"/>
        <v>127.13019205737494</v>
      </c>
      <c r="AD74" s="132">
        <v>8</v>
      </c>
      <c r="AE74" s="118">
        <f t="shared" si="10"/>
        <v>1017.0415364589995</v>
      </c>
      <c r="AF74" s="119"/>
      <c r="AG74" s="133">
        <f t="shared" ref="AG74" si="19">P74*50%</f>
        <v>47.085256317546254</v>
      </c>
      <c r="AH74" s="134">
        <v>40</v>
      </c>
      <c r="AI74" s="135">
        <f t="shared" ref="AI74:AI115" si="20">AG74*AH74</f>
        <v>1883.4102527018501</v>
      </c>
      <c r="AJ74" s="164"/>
      <c r="AK74" s="167">
        <f t="shared" si="16"/>
        <v>3088.7928144310345</v>
      </c>
      <c r="AL74" s="174"/>
    </row>
    <row r="75" spans="1:38" x14ac:dyDescent="0.3">
      <c r="A75" s="184">
        <v>71</v>
      </c>
      <c r="B75" s="209">
        <f t="shared" ref="B75:C80" si="21">((B82-B74)/8)+B74</f>
        <v>22.771874999999998</v>
      </c>
      <c r="C75" s="222">
        <f t="shared" si="21"/>
        <v>0.30298437499999997</v>
      </c>
      <c r="D75" s="177">
        <f t="shared" si="13"/>
        <v>0.95185348665249492</v>
      </c>
      <c r="E75" s="225">
        <f t="shared" si="14"/>
        <v>0.81434946203486325</v>
      </c>
      <c r="F75" s="229">
        <f t="shared" si="15"/>
        <v>912.07139747904682</v>
      </c>
      <c r="H75" s="204"/>
      <c r="I75" s="206"/>
      <c r="J75" s="123"/>
      <c r="K75" s="88">
        <f>F75-J74</f>
        <v>618.6462743036418</v>
      </c>
      <c r="L75" s="89"/>
      <c r="M75" s="179"/>
      <c r="N75" s="90">
        <f t="shared" si="12"/>
        <v>584.66115223015822</v>
      </c>
      <c r="O75" s="137"/>
      <c r="P75" s="206"/>
      <c r="Q75" s="123"/>
      <c r="R75" s="88">
        <f>N75-Q74</f>
        <v>396.5681245536166</v>
      </c>
      <c r="S75" s="92"/>
      <c r="T75" s="125"/>
      <c r="U75" s="94"/>
      <c r="V75" s="126"/>
      <c r="W75" s="127"/>
      <c r="X75" s="128"/>
      <c r="Y75" s="129"/>
      <c r="Z75" s="130"/>
      <c r="AA75" s="131"/>
      <c r="AB75" s="101"/>
      <c r="AC75" s="116"/>
      <c r="AD75" s="132"/>
      <c r="AE75" s="118"/>
      <c r="AF75" s="119"/>
      <c r="AG75" s="133"/>
      <c r="AH75" s="134"/>
      <c r="AI75" s="135"/>
      <c r="AJ75" s="164"/>
      <c r="AK75" s="167">
        <f t="shared" si="16"/>
        <v>0</v>
      </c>
      <c r="AL75" s="174"/>
    </row>
    <row r="76" spans="1:38" x14ac:dyDescent="0.3">
      <c r="A76" s="184">
        <v>72</v>
      </c>
      <c r="B76" s="209">
        <f t="shared" si="21"/>
        <v>22.953515624999998</v>
      </c>
      <c r="C76" s="222">
        <f t="shared" si="21"/>
        <v>0.306955078125</v>
      </c>
      <c r="D76" s="177">
        <f t="shared" si="13"/>
        <v>0.96432781841958104</v>
      </c>
      <c r="E76" s="225">
        <f t="shared" si="14"/>
        <v>0.84250098186913747</v>
      </c>
      <c r="F76" s="229">
        <f t="shared" si="15"/>
        <v>943.60109969343398</v>
      </c>
      <c r="H76" s="204"/>
      <c r="I76" s="206"/>
      <c r="J76" s="123"/>
      <c r="K76" s="88">
        <f>F76-J74</f>
        <v>650.17597651802896</v>
      </c>
      <c r="L76" s="89"/>
      <c r="M76" s="179"/>
      <c r="N76" s="90">
        <f t="shared" si="12"/>
        <v>604.87249980348327</v>
      </c>
      <c r="O76" s="137"/>
      <c r="P76" s="206"/>
      <c r="Q76" s="123"/>
      <c r="R76" s="88">
        <f>N76-Q74</f>
        <v>416.77947212694164</v>
      </c>
      <c r="S76" s="92"/>
      <c r="T76" s="125"/>
      <c r="U76" s="94"/>
      <c r="V76" s="126"/>
      <c r="W76" s="127"/>
      <c r="X76" s="128"/>
      <c r="Y76" s="129"/>
      <c r="Z76" s="130"/>
      <c r="AA76" s="131"/>
      <c r="AB76" s="101"/>
      <c r="AC76" s="116"/>
      <c r="AD76" s="132"/>
      <c r="AE76" s="118"/>
      <c r="AF76" s="119"/>
      <c r="AG76" s="133"/>
      <c r="AH76" s="134"/>
      <c r="AI76" s="135"/>
      <c r="AJ76" s="164"/>
      <c r="AK76" s="167">
        <f t="shared" si="16"/>
        <v>0</v>
      </c>
      <c r="AL76" s="174"/>
    </row>
    <row r="77" spans="1:38" x14ac:dyDescent="0.3">
      <c r="A77" s="184">
        <v>73</v>
      </c>
      <c r="B77" s="209">
        <f t="shared" si="21"/>
        <v>23.132763671874997</v>
      </c>
      <c r="C77" s="222">
        <f t="shared" si="21"/>
        <v>0.31091381835937504</v>
      </c>
      <c r="D77" s="177">
        <f t="shared" si="13"/>
        <v>0.97676456765736397</v>
      </c>
      <c r="E77" s="225">
        <f t="shared" si="14"/>
        <v>0.87112229247985218</v>
      </c>
      <c r="F77" s="229">
        <f t="shared" si="15"/>
        <v>975.65696757743444</v>
      </c>
      <c r="H77" s="204"/>
      <c r="I77" s="206"/>
      <c r="J77" s="123"/>
      <c r="K77" s="88">
        <f>F77-J74</f>
        <v>682.23184440202942</v>
      </c>
      <c r="L77" s="89"/>
      <c r="M77" s="179"/>
      <c r="N77" s="90">
        <f t="shared" si="12"/>
        <v>625.42113306245801</v>
      </c>
      <c r="O77" s="137"/>
      <c r="P77" s="206"/>
      <c r="Q77" s="123"/>
      <c r="R77" s="88">
        <f>N77-Q74</f>
        <v>437.32810538591639</v>
      </c>
      <c r="S77" s="92"/>
      <c r="T77" s="125"/>
      <c r="U77" s="94"/>
      <c r="V77" s="126"/>
      <c r="W77" s="127"/>
      <c r="X77" s="128"/>
      <c r="Y77" s="129"/>
      <c r="Z77" s="130"/>
      <c r="AA77" s="131"/>
      <c r="AB77" s="101"/>
      <c r="AC77" s="116"/>
      <c r="AD77" s="132"/>
      <c r="AE77" s="118"/>
      <c r="AF77" s="119"/>
      <c r="AG77" s="133"/>
      <c r="AH77" s="134"/>
      <c r="AI77" s="135"/>
      <c r="AJ77" s="164"/>
      <c r="AK77" s="167">
        <f t="shared" si="16"/>
        <v>0</v>
      </c>
      <c r="AL77" s="174"/>
    </row>
    <row r="78" spans="1:38" x14ac:dyDescent="0.3">
      <c r="A78" s="184">
        <v>74</v>
      </c>
      <c r="B78" s="209">
        <f t="shared" si="21"/>
        <v>23.309918212890622</v>
      </c>
      <c r="C78" s="222">
        <f t="shared" si="21"/>
        <v>0.31486209106445318</v>
      </c>
      <c r="D78" s="177">
        <f t="shared" si="13"/>
        <v>0.98916843218200656</v>
      </c>
      <c r="E78" s="225">
        <f t="shared" si="14"/>
        <v>0.9002291225120036</v>
      </c>
      <c r="F78" s="229">
        <f t="shared" si="15"/>
        <v>1008.2566172134441</v>
      </c>
      <c r="H78" s="204"/>
      <c r="I78" s="206"/>
      <c r="J78" s="123"/>
      <c r="K78" s="88">
        <f>F78-J74</f>
        <v>714.83149403803907</v>
      </c>
      <c r="L78" s="89"/>
      <c r="M78" s="179"/>
      <c r="N78" s="90">
        <f t="shared" si="12"/>
        <v>646.31834436759232</v>
      </c>
      <c r="O78" s="137"/>
      <c r="P78" s="206"/>
      <c r="Q78" s="123"/>
      <c r="R78" s="88">
        <f>N78-Q74</f>
        <v>458.22531669105069</v>
      </c>
      <c r="S78" s="92"/>
      <c r="T78" s="125"/>
      <c r="U78" s="94"/>
      <c r="V78" s="126"/>
      <c r="W78" s="127"/>
      <c r="X78" s="128"/>
      <c r="Y78" s="129"/>
      <c r="Z78" s="130"/>
      <c r="AA78" s="131"/>
      <c r="AB78" s="101"/>
      <c r="AC78" s="116"/>
      <c r="AD78" s="132"/>
      <c r="AE78" s="118"/>
      <c r="AF78" s="119"/>
      <c r="AG78" s="133"/>
      <c r="AH78" s="134"/>
      <c r="AI78" s="135"/>
      <c r="AJ78" s="164"/>
      <c r="AK78" s="167">
        <f t="shared" si="16"/>
        <v>0</v>
      </c>
      <c r="AL78" s="174"/>
    </row>
    <row r="79" spans="1:38" x14ac:dyDescent="0.3">
      <c r="A79" s="184">
        <v>75</v>
      </c>
      <c r="B79" s="209">
        <f t="shared" si="21"/>
        <v>23.485240936279297</v>
      </c>
      <c r="C79" s="222">
        <f t="shared" si="21"/>
        <v>0.31880120468139655</v>
      </c>
      <c r="D79" s="177">
        <f t="shared" si="13"/>
        <v>1.0015435225826514</v>
      </c>
      <c r="E79" s="225">
        <f t="shared" si="14"/>
        <v>0.92983627614204656</v>
      </c>
      <c r="F79" s="229">
        <f t="shared" si="15"/>
        <v>1041.4166292790921</v>
      </c>
      <c r="H79" s="204"/>
      <c r="I79" s="206"/>
      <c r="J79" s="123"/>
      <c r="K79" s="88">
        <f>F79-J74</f>
        <v>747.99150610368713</v>
      </c>
      <c r="L79" s="89"/>
      <c r="M79" s="179"/>
      <c r="N79" s="90">
        <f t="shared" si="12"/>
        <v>667.57476235839238</v>
      </c>
      <c r="O79" s="137"/>
      <c r="P79" s="206"/>
      <c r="Q79" s="123"/>
      <c r="R79" s="88">
        <f>N79-Q74</f>
        <v>479.48173468185075</v>
      </c>
      <c r="S79" s="92"/>
      <c r="T79" s="125"/>
      <c r="U79" s="94"/>
      <c r="V79" s="126"/>
      <c r="W79" s="127"/>
      <c r="X79" s="128"/>
      <c r="Y79" s="129"/>
      <c r="Z79" s="130"/>
      <c r="AA79" s="131"/>
      <c r="AB79" s="101"/>
      <c r="AC79" s="116"/>
      <c r="AD79" s="132"/>
      <c r="AE79" s="118"/>
      <c r="AF79" s="119"/>
      <c r="AG79" s="133"/>
      <c r="AH79" s="134"/>
      <c r="AI79" s="135"/>
      <c r="AJ79" s="164"/>
      <c r="AK79" s="167">
        <f t="shared" si="16"/>
        <v>0</v>
      </c>
      <c r="AL79" s="174"/>
    </row>
    <row r="80" spans="1:38" x14ac:dyDescent="0.3">
      <c r="A80" s="184">
        <v>76</v>
      </c>
      <c r="B80" s="209">
        <f t="shared" si="21"/>
        <v>23.658960819244385</v>
      </c>
      <c r="C80" s="222">
        <f t="shared" si="21"/>
        <v>0.322732304096222</v>
      </c>
      <c r="D80" s="177">
        <f t="shared" si="13"/>
        <v>1.0138934356247982</v>
      </c>
      <c r="E80" s="225">
        <f t="shared" si="14"/>
        <v>0.95995770775668166</v>
      </c>
      <c r="F80" s="229">
        <f t="shared" si="15"/>
        <v>1075.1526326874834</v>
      </c>
      <c r="H80" s="204"/>
      <c r="I80" s="206"/>
      <c r="J80" s="123"/>
      <c r="K80" s="88">
        <f>F80-J74</f>
        <v>781.72750951207843</v>
      </c>
      <c r="L80" s="89"/>
      <c r="M80" s="179"/>
      <c r="N80" s="90">
        <f t="shared" si="12"/>
        <v>689.20040556889967</v>
      </c>
      <c r="O80" s="137"/>
      <c r="P80" s="206"/>
      <c r="Q80" s="123"/>
      <c r="R80" s="88">
        <f>N80-Q74</f>
        <v>501.10737789235804</v>
      </c>
      <c r="S80" s="92"/>
      <c r="T80" s="125"/>
      <c r="U80" s="94"/>
      <c r="V80" s="126"/>
      <c r="W80" s="127"/>
      <c r="X80" s="128"/>
      <c r="Y80" s="129"/>
      <c r="Z80" s="130"/>
      <c r="AA80" s="131"/>
      <c r="AB80" s="101"/>
      <c r="AC80" s="116"/>
      <c r="AD80" s="132"/>
      <c r="AE80" s="118"/>
      <c r="AF80" s="119"/>
      <c r="AG80" s="133"/>
      <c r="AH80" s="134"/>
      <c r="AI80" s="135"/>
      <c r="AJ80" s="164"/>
      <c r="AK80" s="167">
        <f t="shared" si="16"/>
        <v>0</v>
      </c>
      <c r="AL80" s="174"/>
    </row>
    <row r="81" spans="1:38" x14ac:dyDescent="0.3">
      <c r="A81" s="207">
        <v>77</v>
      </c>
      <c r="B81" s="209">
        <v>23.9</v>
      </c>
      <c r="C81" s="217">
        <v>0.32700000000000001</v>
      </c>
      <c r="D81" s="177">
        <f t="shared" si="13"/>
        <v>1.0273007977238624</v>
      </c>
      <c r="E81" s="225">
        <f t="shared" si="14"/>
        <v>0.99555432663196131</v>
      </c>
      <c r="F81" s="229">
        <f t="shared" si="15"/>
        <v>1115.0208458277966</v>
      </c>
      <c r="H81" s="204"/>
      <c r="I81" s="206"/>
      <c r="J81" s="123"/>
      <c r="K81" s="88">
        <f>F81-J74</f>
        <v>821.5957226523916</v>
      </c>
      <c r="L81" s="89"/>
      <c r="M81" s="179"/>
      <c r="N81" s="90">
        <f t="shared" si="12"/>
        <v>714.75695245371571</v>
      </c>
      <c r="O81" s="137"/>
      <c r="P81" s="206"/>
      <c r="Q81" s="123"/>
      <c r="R81" s="88">
        <f>N81-Q74</f>
        <v>526.66392477717409</v>
      </c>
      <c r="S81" s="92"/>
      <c r="T81" s="125"/>
      <c r="U81" s="94"/>
      <c r="V81" s="126"/>
      <c r="W81" s="127"/>
      <c r="X81" s="128"/>
      <c r="Y81" s="129"/>
      <c r="Z81" s="130"/>
      <c r="AA81" s="131"/>
      <c r="AB81" s="101"/>
      <c r="AC81" s="116"/>
      <c r="AD81" s="132"/>
      <c r="AE81" s="118"/>
      <c r="AF81" s="119"/>
      <c r="AG81" s="133"/>
      <c r="AH81" s="134"/>
      <c r="AI81" s="135"/>
      <c r="AJ81" s="164"/>
      <c r="AK81" s="167">
        <f t="shared" si="16"/>
        <v>0</v>
      </c>
      <c r="AL81" s="174"/>
    </row>
    <row r="82" spans="1:38" x14ac:dyDescent="0.3">
      <c r="A82" s="184">
        <v>78</v>
      </c>
      <c r="B82" s="209">
        <f>((B89-B81)/8)+B81</f>
        <v>24.0625</v>
      </c>
      <c r="C82" s="222">
        <f>((C89-C81)/8)+C81</f>
        <v>0.33087500000000003</v>
      </c>
      <c r="D82" s="177">
        <f t="shared" si="13"/>
        <v>1.039474469256523</v>
      </c>
      <c r="E82" s="225">
        <f t="shared" si="14"/>
        <v>1.0262193831767583</v>
      </c>
      <c r="F82" s="229">
        <f t="shared" si="15"/>
        <v>1149.3657091579694</v>
      </c>
      <c r="H82" s="204"/>
      <c r="I82" s="206"/>
      <c r="J82" s="123"/>
      <c r="K82" s="88">
        <f>F82-J74</f>
        <v>855.94058598256436</v>
      </c>
      <c r="L82" s="89"/>
      <c r="M82" s="179"/>
      <c r="N82" s="90">
        <f t="shared" si="12"/>
        <v>736.77289048587772</v>
      </c>
      <c r="O82" s="137"/>
      <c r="P82" s="206"/>
      <c r="Q82" s="123"/>
      <c r="R82" s="88">
        <f>N82-Q74</f>
        <v>548.6798628093361</v>
      </c>
      <c r="S82" s="92"/>
      <c r="T82" s="125"/>
      <c r="U82" s="94"/>
      <c r="V82" s="126"/>
      <c r="W82" s="127"/>
      <c r="X82" s="128"/>
      <c r="Y82" s="129"/>
      <c r="Z82" s="130"/>
      <c r="AA82" s="131"/>
      <c r="AB82" s="101"/>
      <c r="AC82" s="116"/>
      <c r="AD82" s="132"/>
      <c r="AE82" s="118"/>
      <c r="AF82" s="119"/>
      <c r="AG82" s="133"/>
      <c r="AH82" s="134"/>
      <c r="AI82" s="135"/>
      <c r="AJ82" s="164"/>
      <c r="AK82" s="167">
        <f t="shared" si="16"/>
        <v>0</v>
      </c>
      <c r="AL82" s="174"/>
    </row>
    <row r="83" spans="1:38" x14ac:dyDescent="0.3">
      <c r="A83" s="184">
        <v>79</v>
      </c>
      <c r="B83" s="209">
        <f>((B89-B81)/8)+B82</f>
        <v>24.225000000000001</v>
      </c>
      <c r="C83" s="222">
        <f>((C89-C81)/8)+C82</f>
        <v>0.33475000000000005</v>
      </c>
      <c r="D83" s="177">
        <f t="shared" si="13"/>
        <v>1.0516481407891833</v>
      </c>
      <c r="E83" s="225">
        <f t="shared" si="14"/>
        <v>1.0574905983265412</v>
      </c>
      <c r="F83" s="229">
        <f t="shared" si="15"/>
        <v>1184.3894701257261</v>
      </c>
      <c r="H83" s="204"/>
      <c r="I83" s="206"/>
      <c r="J83" s="123"/>
      <c r="K83" s="88">
        <f>F83-J74</f>
        <v>890.9643469503211</v>
      </c>
      <c r="L83" s="89"/>
      <c r="M83" s="179"/>
      <c r="N83" s="90">
        <f t="shared" si="12"/>
        <v>759.22401931136289</v>
      </c>
      <c r="O83" s="137"/>
      <c r="P83" s="206"/>
      <c r="Q83" s="123"/>
      <c r="R83" s="88">
        <f>N83-Q74</f>
        <v>571.13099163482127</v>
      </c>
      <c r="S83" s="92"/>
      <c r="T83" s="125"/>
      <c r="U83" s="94"/>
      <c r="V83" s="126"/>
      <c r="W83" s="127"/>
      <c r="X83" s="128"/>
      <c r="Y83" s="129"/>
      <c r="Z83" s="130"/>
      <c r="AA83" s="131"/>
      <c r="AB83" s="101"/>
      <c r="AC83" s="116"/>
      <c r="AD83" s="132"/>
      <c r="AE83" s="118"/>
      <c r="AF83" s="119"/>
      <c r="AG83" s="133"/>
      <c r="AH83" s="134"/>
      <c r="AI83" s="135"/>
      <c r="AJ83" s="164"/>
      <c r="AK83" s="167">
        <f t="shared" si="16"/>
        <v>0</v>
      </c>
      <c r="AL83" s="174"/>
    </row>
    <row r="84" spans="1:38" x14ac:dyDescent="0.3">
      <c r="A84" s="184">
        <v>80</v>
      </c>
      <c r="B84" s="209">
        <f>((B89-B81)/8)+B83</f>
        <v>24.387500000000003</v>
      </c>
      <c r="C84" s="222">
        <f>((C89-C81)/8)+C83</f>
        <v>0.33862500000000006</v>
      </c>
      <c r="D84" s="177">
        <f t="shared" si="13"/>
        <v>1.0638218123218439</v>
      </c>
      <c r="E84" s="225">
        <f t="shared" si="14"/>
        <v>1.0893736752942531</v>
      </c>
      <c r="F84" s="229">
        <f t="shared" si="15"/>
        <v>1220.0985163295634</v>
      </c>
      <c r="H84" s="204"/>
      <c r="I84" s="206"/>
      <c r="J84" s="123"/>
      <c r="K84" s="88">
        <f>F84-J74</f>
        <v>926.67339315415836</v>
      </c>
      <c r="L84" s="89"/>
      <c r="M84" s="179"/>
      <c r="N84" s="90">
        <f t="shared" si="12"/>
        <v>782.11443354459186</v>
      </c>
      <c r="O84" s="137"/>
      <c r="P84" s="206"/>
      <c r="Q84" s="123"/>
      <c r="R84" s="88">
        <f>N84-Q74</f>
        <v>594.02140586805024</v>
      </c>
      <c r="S84" s="92"/>
      <c r="T84" s="125"/>
      <c r="U84" s="94"/>
      <c r="V84" s="126"/>
      <c r="W84" s="127"/>
      <c r="X84" s="128"/>
      <c r="Y84" s="129"/>
      <c r="Z84" s="130"/>
      <c r="AA84" s="131"/>
      <c r="AB84" s="101"/>
      <c r="AC84" s="116"/>
      <c r="AD84" s="132"/>
      <c r="AE84" s="118"/>
      <c r="AF84" s="119"/>
      <c r="AG84" s="133"/>
      <c r="AH84" s="134"/>
      <c r="AI84" s="135"/>
      <c r="AJ84" s="164"/>
      <c r="AK84" s="167">
        <f t="shared" si="16"/>
        <v>0</v>
      </c>
      <c r="AL84" s="174"/>
    </row>
    <row r="85" spans="1:38" x14ac:dyDescent="0.3">
      <c r="A85" s="184">
        <v>81</v>
      </c>
      <c r="B85" s="209">
        <f>((B89-B81)/8)+B84</f>
        <v>24.550000000000004</v>
      </c>
      <c r="C85" s="222">
        <f>((C89-C81)/8)+C84</f>
        <v>0.34250000000000008</v>
      </c>
      <c r="D85" s="177">
        <f t="shared" si="13"/>
        <v>1.0759954838545045</v>
      </c>
      <c r="E85" s="225">
        <f t="shared" si="14"/>
        <v>1.1218743172928356</v>
      </c>
      <c r="F85" s="229">
        <f t="shared" si="15"/>
        <v>1256.4992353679759</v>
      </c>
      <c r="H85" s="204"/>
      <c r="I85" s="206"/>
      <c r="J85" s="123"/>
      <c r="K85" s="88">
        <f>F85-J74</f>
        <v>963.07411219257085</v>
      </c>
      <c r="L85" s="89"/>
      <c r="M85" s="179"/>
      <c r="N85" s="90">
        <f t="shared" si="12"/>
        <v>805.44822779998447</v>
      </c>
      <c r="O85" s="137"/>
      <c r="P85" s="206"/>
      <c r="Q85" s="123"/>
      <c r="R85" s="88">
        <f>N85-Q74</f>
        <v>617.35520012344284</v>
      </c>
      <c r="S85" s="92"/>
      <c r="T85" s="125"/>
      <c r="U85" s="94"/>
      <c r="V85" s="126"/>
      <c r="W85" s="127"/>
      <c r="X85" s="128"/>
      <c r="Y85" s="129"/>
      <c r="Z85" s="130"/>
      <c r="AA85" s="131"/>
      <c r="AB85" s="101"/>
      <c r="AC85" s="116"/>
      <c r="AD85" s="132"/>
      <c r="AE85" s="118"/>
      <c r="AF85" s="119"/>
      <c r="AG85" s="133"/>
      <c r="AH85" s="134"/>
      <c r="AI85" s="135"/>
      <c r="AJ85" s="164"/>
      <c r="AK85" s="167">
        <f t="shared" si="16"/>
        <v>0</v>
      </c>
      <c r="AL85" s="174"/>
    </row>
    <row r="86" spans="1:38" x14ac:dyDescent="0.3">
      <c r="A86" s="184">
        <v>82</v>
      </c>
      <c r="B86" s="209">
        <f>((B89-B81)/8)+B85</f>
        <v>24.712500000000006</v>
      </c>
      <c r="C86" s="222">
        <f>((C89-C81)/8)+C85</f>
        <v>0.3463750000000001</v>
      </c>
      <c r="D86" s="177">
        <f t="shared" si="13"/>
        <v>1.0881691553871649</v>
      </c>
      <c r="E86" s="225">
        <f t="shared" si="14"/>
        <v>1.1549982275352297</v>
      </c>
      <c r="F86" s="229">
        <f t="shared" si="15"/>
        <v>1293.5980148394574</v>
      </c>
      <c r="H86" s="204"/>
      <c r="I86" s="206"/>
      <c r="J86" s="123"/>
      <c r="K86" s="88">
        <f>F86-J74</f>
        <v>1000.1728916640524</v>
      </c>
      <c r="L86" s="89"/>
      <c r="M86" s="179"/>
      <c r="N86" s="90">
        <f t="shared" si="12"/>
        <v>829.22949669195987</v>
      </c>
      <c r="O86" s="137"/>
      <c r="P86" s="206"/>
      <c r="Q86" s="123"/>
      <c r="R86" s="88">
        <f>N86-Q74</f>
        <v>641.13646901541824</v>
      </c>
      <c r="S86" s="92"/>
      <c r="T86" s="125"/>
      <c r="U86" s="94"/>
      <c r="V86" s="126"/>
      <c r="W86" s="127"/>
      <c r="X86" s="128"/>
      <c r="Y86" s="129"/>
      <c r="Z86" s="130"/>
      <c r="AA86" s="131"/>
      <c r="AB86" s="101"/>
      <c r="AC86" s="116"/>
      <c r="AD86" s="132"/>
      <c r="AE86" s="118"/>
      <c r="AF86" s="119"/>
      <c r="AG86" s="133"/>
      <c r="AH86" s="134"/>
      <c r="AI86" s="135"/>
      <c r="AJ86" s="164"/>
      <c r="AK86" s="167">
        <f t="shared" si="16"/>
        <v>0</v>
      </c>
      <c r="AL86" s="174"/>
    </row>
    <row r="87" spans="1:38" x14ac:dyDescent="0.3">
      <c r="A87" s="184">
        <v>83</v>
      </c>
      <c r="B87" s="209">
        <f>((B89-B81)/8)+B86</f>
        <v>24.875000000000007</v>
      </c>
      <c r="C87" s="222">
        <f>((C89-C81)/8)+C86</f>
        <v>0.35025000000000012</v>
      </c>
      <c r="D87" s="177">
        <f t="shared" si="13"/>
        <v>1.1003428269198254</v>
      </c>
      <c r="E87" s="225">
        <f t="shared" si="14"/>
        <v>1.1887511092343799</v>
      </c>
      <c r="F87" s="229">
        <f t="shared" si="15"/>
        <v>1331.4012423425054</v>
      </c>
      <c r="H87" s="203">
        <v>0.2</v>
      </c>
      <c r="I87" s="206">
        <f>H87*(F87-J74)</f>
        <v>207.59522383342011</v>
      </c>
      <c r="J87" s="123">
        <f>I87+J74</f>
        <v>501.02034700882513</v>
      </c>
      <c r="K87" s="88">
        <f>F87-J87</f>
        <v>830.3808953336802</v>
      </c>
      <c r="L87" s="89"/>
      <c r="M87" s="179"/>
      <c r="N87" s="90">
        <f t="shared" si="12"/>
        <v>853.46233483493927</v>
      </c>
      <c r="O87" s="137">
        <v>0.2</v>
      </c>
      <c r="P87" s="206">
        <f>O87*(N87-Q74)</f>
        <v>133.07386143167955</v>
      </c>
      <c r="Q87" s="123">
        <f>P87+Q74</f>
        <v>321.1668891082212</v>
      </c>
      <c r="R87" s="88">
        <f>N87-Q87</f>
        <v>532.29544572671807</v>
      </c>
      <c r="S87" s="92"/>
      <c r="T87" s="125">
        <f>P87*20%</f>
        <v>26.61477228633591</v>
      </c>
      <c r="U87" s="94">
        <f t="shared" si="17"/>
        <v>25.284033672019113</v>
      </c>
      <c r="V87" s="126">
        <v>8</v>
      </c>
      <c r="W87" s="127">
        <f t="shared" si="18"/>
        <v>212.91817829068728</v>
      </c>
      <c r="X87" s="128">
        <v>0.4</v>
      </c>
      <c r="Y87" s="129">
        <v>0.6</v>
      </c>
      <c r="Z87" s="130"/>
      <c r="AA87" s="131">
        <f>P87*20%</f>
        <v>26.61477228633591</v>
      </c>
      <c r="AB87" s="101">
        <f t="shared" si="8"/>
        <v>74.521362401740561</v>
      </c>
      <c r="AC87" s="116">
        <f t="shared" si="9"/>
        <v>168.56022448012746</v>
      </c>
      <c r="AD87" s="132">
        <v>8</v>
      </c>
      <c r="AE87" s="118">
        <f t="shared" si="10"/>
        <v>1348.4817958410197</v>
      </c>
      <c r="AF87" s="119"/>
      <c r="AG87" s="133">
        <f>P87*60%</f>
        <v>79.844316859007719</v>
      </c>
      <c r="AH87" s="134">
        <v>90</v>
      </c>
      <c r="AI87" s="135">
        <f t="shared" si="20"/>
        <v>7185.988517310695</v>
      </c>
      <c r="AJ87" s="164"/>
      <c r="AK87" s="167">
        <f t="shared" si="16"/>
        <v>8747.3884914424016</v>
      </c>
      <c r="AL87" s="174"/>
    </row>
    <row r="88" spans="1:38" x14ac:dyDescent="0.3">
      <c r="A88" s="184">
        <v>84</v>
      </c>
      <c r="B88" s="209">
        <f>((B89-B81)/8)+B87</f>
        <v>25.037500000000009</v>
      </c>
      <c r="C88" s="222">
        <f>((C89-C81)/8)+C87</f>
        <v>0.35412500000000013</v>
      </c>
      <c r="D88" s="177">
        <f t="shared" si="13"/>
        <v>1.112516498452486</v>
      </c>
      <c r="E88" s="225">
        <f t="shared" si="14"/>
        <v>1.2231386656032268</v>
      </c>
      <c r="F88" s="229">
        <f t="shared" si="15"/>
        <v>1369.9153054756141</v>
      </c>
      <c r="H88" s="204"/>
      <c r="I88" s="206"/>
      <c r="J88" s="123"/>
      <c r="K88" s="88">
        <f>F88-J87</f>
        <v>868.89495846678892</v>
      </c>
      <c r="L88" s="89"/>
      <c r="M88" s="179"/>
      <c r="N88" s="90">
        <f t="shared" si="12"/>
        <v>878.15083684334229</v>
      </c>
      <c r="O88" s="137"/>
      <c r="P88" s="206"/>
      <c r="Q88" s="123"/>
      <c r="R88" s="88">
        <f>N88-Q87</f>
        <v>556.98394773512109</v>
      </c>
      <c r="S88" s="92"/>
      <c r="T88" s="125"/>
      <c r="U88" s="94"/>
      <c r="V88" s="126"/>
      <c r="W88" s="127"/>
      <c r="X88" s="128"/>
      <c r="Y88" s="129"/>
      <c r="Z88" s="130"/>
      <c r="AA88" s="131"/>
      <c r="AB88" s="101"/>
      <c r="AC88" s="116"/>
      <c r="AD88" s="132"/>
      <c r="AE88" s="118"/>
      <c r="AF88" s="119"/>
      <c r="AG88" s="133"/>
      <c r="AH88" s="134"/>
      <c r="AI88" s="135"/>
      <c r="AJ88" s="164"/>
      <c r="AK88" s="167">
        <f t="shared" si="16"/>
        <v>0</v>
      </c>
      <c r="AL88" s="174"/>
    </row>
    <row r="89" spans="1:38" x14ac:dyDescent="0.3">
      <c r="A89" s="207">
        <v>85</v>
      </c>
      <c r="B89" s="209">
        <v>25.2</v>
      </c>
      <c r="C89" s="217">
        <v>0.35799999999999998</v>
      </c>
      <c r="D89" s="177">
        <f t="shared" si="13"/>
        <v>1.1246901699851459</v>
      </c>
      <c r="E89" s="225">
        <f t="shared" si="14"/>
        <v>1.2581665998547111</v>
      </c>
      <c r="F89" s="229">
        <f t="shared" si="15"/>
        <v>1409.1465918372764</v>
      </c>
      <c r="H89" s="204"/>
      <c r="I89" s="206"/>
      <c r="J89" s="123"/>
      <c r="K89" s="88">
        <f>F89-J87</f>
        <v>908.12624482845126</v>
      </c>
      <c r="L89" s="89"/>
      <c r="M89" s="179"/>
      <c r="N89" s="90">
        <f t="shared" si="12"/>
        <v>903.2990973315874</v>
      </c>
      <c r="O89" s="137"/>
      <c r="P89" s="206"/>
      <c r="Q89" s="123"/>
      <c r="R89" s="88">
        <f>N89-Q87</f>
        <v>582.13220822336621</v>
      </c>
      <c r="S89" s="92"/>
      <c r="T89" s="125"/>
      <c r="U89" s="94"/>
      <c r="V89" s="126"/>
      <c r="W89" s="127"/>
      <c r="X89" s="128"/>
      <c r="Y89" s="129"/>
      <c r="Z89" s="130"/>
      <c r="AA89" s="131"/>
      <c r="AB89" s="101"/>
      <c r="AC89" s="116"/>
      <c r="AD89" s="132"/>
      <c r="AE89" s="118"/>
      <c r="AF89" s="119"/>
      <c r="AG89" s="133"/>
      <c r="AH89" s="134"/>
      <c r="AI89" s="135"/>
      <c r="AJ89" s="164"/>
      <c r="AK89" s="167">
        <f t="shared" si="16"/>
        <v>0</v>
      </c>
      <c r="AL89" s="174"/>
    </row>
    <row r="90" spans="1:38" x14ac:dyDescent="0.3">
      <c r="A90" s="184">
        <v>86</v>
      </c>
      <c r="B90" s="209">
        <f>((B99-B89)/10)+B89</f>
        <v>25.36</v>
      </c>
      <c r="C90" s="222">
        <f>((C99-C89)/10)+C89</f>
        <v>0.36180000000000001</v>
      </c>
      <c r="D90" s="177">
        <f t="shared" si="13"/>
        <v>1.1366282220687871</v>
      </c>
      <c r="E90" s="225">
        <f t="shared" si="14"/>
        <v>1.2931768818387441</v>
      </c>
      <c r="F90" s="229">
        <f t="shared" si="15"/>
        <v>1448.3581076593935</v>
      </c>
      <c r="H90" s="204"/>
      <c r="I90" s="206"/>
      <c r="J90" s="123"/>
      <c r="K90" s="88">
        <f>F90-J87</f>
        <v>947.33776065056827</v>
      </c>
      <c r="L90" s="89"/>
      <c r="M90" s="179"/>
      <c r="N90" s="90">
        <f t="shared" si="12"/>
        <v>928.43468439704702</v>
      </c>
      <c r="O90" s="137"/>
      <c r="P90" s="206"/>
      <c r="Q90" s="123"/>
      <c r="R90" s="88">
        <f>N90-Q87</f>
        <v>607.26779528882582</v>
      </c>
      <c r="S90" s="92"/>
      <c r="T90" s="125"/>
      <c r="U90" s="94"/>
      <c r="V90" s="126"/>
      <c r="W90" s="127"/>
      <c r="X90" s="128"/>
      <c r="Y90" s="129"/>
      <c r="Z90" s="130"/>
      <c r="AA90" s="131"/>
      <c r="AB90" s="101"/>
      <c r="AC90" s="116"/>
      <c r="AD90" s="132"/>
      <c r="AE90" s="118"/>
      <c r="AF90" s="119"/>
      <c r="AG90" s="133"/>
      <c r="AH90" s="134"/>
      <c r="AI90" s="135"/>
      <c r="AJ90" s="164"/>
      <c r="AK90" s="167">
        <f t="shared" si="16"/>
        <v>0</v>
      </c>
      <c r="AL90" s="174"/>
    </row>
    <row r="91" spans="1:38" x14ac:dyDescent="0.3">
      <c r="A91" s="184">
        <v>87</v>
      </c>
      <c r="B91" s="209">
        <f>((B99-B89)/10)+B90</f>
        <v>25.52</v>
      </c>
      <c r="C91" s="222">
        <f>((C99-C89)/10)+C90</f>
        <v>0.36560000000000004</v>
      </c>
      <c r="D91" s="177">
        <f t="shared" si="13"/>
        <v>1.1485662741524285</v>
      </c>
      <c r="E91" s="225">
        <f t="shared" si="14"/>
        <v>1.3288152451808433</v>
      </c>
      <c r="F91" s="229">
        <f t="shared" si="15"/>
        <v>1488.2730746025445</v>
      </c>
      <c r="H91" s="204"/>
      <c r="I91" s="206"/>
      <c r="J91" s="123"/>
      <c r="K91" s="88">
        <f>F91-J87</f>
        <v>987.25272759371933</v>
      </c>
      <c r="L91" s="89"/>
      <c r="M91" s="179"/>
      <c r="N91" s="90">
        <f t="shared" si="12"/>
        <v>954.02120166829775</v>
      </c>
      <c r="O91" s="137"/>
      <c r="P91" s="206"/>
      <c r="Q91" s="123"/>
      <c r="R91" s="88">
        <f>N91-Q87</f>
        <v>632.85431256007655</v>
      </c>
      <c r="S91" s="92"/>
      <c r="T91" s="125"/>
      <c r="U91" s="94"/>
      <c r="V91" s="126"/>
      <c r="W91" s="127"/>
      <c r="X91" s="128"/>
      <c r="Y91" s="129"/>
      <c r="Z91" s="130"/>
      <c r="AA91" s="131"/>
      <c r="AB91" s="101"/>
      <c r="AC91" s="116"/>
      <c r="AD91" s="132"/>
      <c r="AE91" s="118"/>
      <c r="AF91" s="119"/>
      <c r="AG91" s="133"/>
      <c r="AH91" s="134"/>
      <c r="AI91" s="135"/>
      <c r="AJ91" s="164"/>
      <c r="AK91" s="167">
        <f t="shared" si="16"/>
        <v>0</v>
      </c>
      <c r="AL91" s="174"/>
    </row>
    <row r="92" spans="1:38" x14ac:dyDescent="0.3">
      <c r="A92" s="184">
        <v>88</v>
      </c>
      <c r="B92" s="209">
        <f>((B99-B89)/10)+B91</f>
        <v>25.68</v>
      </c>
      <c r="C92" s="222">
        <f>((C99-C89)/10)+C91</f>
        <v>0.36940000000000006</v>
      </c>
      <c r="D92" s="177">
        <f t="shared" si="13"/>
        <v>1.1605043262360697</v>
      </c>
      <c r="E92" s="225">
        <f t="shared" si="14"/>
        <v>1.3650870900827434</v>
      </c>
      <c r="F92" s="229">
        <f t="shared" si="15"/>
        <v>1528.8975408926726</v>
      </c>
      <c r="H92" s="204"/>
      <c r="I92" s="206"/>
      <c r="J92" s="123"/>
      <c r="K92" s="88">
        <f>F92-J87</f>
        <v>1027.8771938838474</v>
      </c>
      <c r="L92" s="89"/>
      <c r="M92" s="179"/>
      <c r="N92" s="90">
        <f t="shared" si="12"/>
        <v>980.06252621325166</v>
      </c>
      <c r="O92" s="137"/>
      <c r="P92" s="206"/>
      <c r="Q92" s="123"/>
      <c r="R92" s="88">
        <f>N92-Q87</f>
        <v>658.89563710503046</v>
      </c>
      <c r="S92" s="92"/>
      <c r="T92" s="125"/>
      <c r="U92" s="94"/>
      <c r="V92" s="126"/>
      <c r="W92" s="127"/>
      <c r="X92" s="128"/>
      <c r="Y92" s="129"/>
      <c r="Z92" s="130"/>
      <c r="AA92" s="131"/>
      <c r="AB92" s="101"/>
      <c r="AC92" s="116"/>
      <c r="AD92" s="132"/>
      <c r="AE92" s="118"/>
      <c r="AF92" s="119"/>
      <c r="AG92" s="133"/>
      <c r="AH92" s="134"/>
      <c r="AI92" s="135"/>
      <c r="AJ92" s="164"/>
      <c r="AK92" s="167">
        <f t="shared" si="16"/>
        <v>0</v>
      </c>
      <c r="AL92" s="174"/>
    </row>
    <row r="93" spans="1:38" x14ac:dyDescent="0.3">
      <c r="A93" s="184">
        <v>89</v>
      </c>
      <c r="B93" s="209">
        <f>((B99-B89)/10)+B92</f>
        <v>25.84</v>
      </c>
      <c r="C93" s="222">
        <f>((C99-C89)/10)+C92</f>
        <v>0.37320000000000009</v>
      </c>
      <c r="D93" s="177">
        <f t="shared" si="13"/>
        <v>1.1724423783197111</v>
      </c>
      <c r="E93" s="225">
        <f t="shared" si="14"/>
        <v>1.401997816746182</v>
      </c>
      <c r="F93" s="229">
        <f t="shared" si="15"/>
        <v>1570.2375547557237</v>
      </c>
      <c r="H93" s="204"/>
      <c r="I93" s="206"/>
      <c r="J93" s="123"/>
      <c r="K93" s="88">
        <f>F93-J87</f>
        <v>1069.2172077468986</v>
      </c>
      <c r="L93" s="89"/>
      <c r="M93" s="179"/>
      <c r="N93" s="90">
        <f t="shared" si="12"/>
        <v>1006.5625350998229</v>
      </c>
      <c r="O93" s="137"/>
      <c r="P93" s="206"/>
      <c r="Q93" s="123"/>
      <c r="R93" s="88">
        <f>N93-Q87</f>
        <v>685.39564599160167</v>
      </c>
      <c r="S93" s="92"/>
      <c r="T93" s="125"/>
      <c r="U93" s="94"/>
      <c r="V93" s="126"/>
      <c r="W93" s="127"/>
      <c r="X93" s="128"/>
      <c r="Y93" s="129"/>
      <c r="Z93" s="130"/>
      <c r="AA93" s="131"/>
      <c r="AB93" s="101"/>
      <c r="AC93" s="116"/>
      <c r="AD93" s="132"/>
      <c r="AE93" s="118"/>
      <c r="AF93" s="119"/>
      <c r="AG93" s="133"/>
      <c r="AH93" s="134"/>
      <c r="AI93" s="135"/>
      <c r="AJ93" s="164"/>
      <c r="AK93" s="167">
        <f t="shared" si="16"/>
        <v>0</v>
      </c>
      <c r="AL93" s="174"/>
    </row>
    <row r="94" spans="1:38" x14ac:dyDescent="0.3">
      <c r="A94" s="184">
        <v>90</v>
      </c>
      <c r="B94" s="209">
        <f>((B99-B89)/10)+B93</f>
        <v>26</v>
      </c>
      <c r="C94" s="222">
        <f>((C99-C89)/10)+C93</f>
        <v>0.37700000000000011</v>
      </c>
      <c r="D94" s="177">
        <f t="shared" si="13"/>
        <v>1.1843804304033523</v>
      </c>
      <c r="E94" s="225">
        <f t="shared" si="14"/>
        <v>1.439552825372894</v>
      </c>
      <c r="F94" s="229">
        <f t="shared" si="15"/>
        <v>1612.2991644176414</v>
      </c>
      <c r="H94" s="204"/>
      <c r="I94" s="206"/>
      <c r="J94" s="123"/>
      <c r="K94" s="88">
        <f>F94-J87</f>
        <v>1111.2788174088162</v>
      </c>
      <c r="L94" s="89"/>
      <c r="M94" s="179"/>
      <c r="N94" s="90">
        <f t="shared" si="12"/>
        <v>1033.5251053959239</v>
      </c>
      <c r="O94" s="137"/>
      <c r="P94" s="206"/>
      <c r="Q94" s="123"/>
      <c r="R94" s="88">
        <f>N94-Q87</f>
        <v>712.3582162877027</v>
      </c>
      <c r="S94" s="92"/>
      <c r="T94" s="125"/>
      <c r="U94" s="94"/>
      <c r="V94" s="126"/>
      <c r="W94" s="127"/>
      <c r="X94" s="128"/>
      <c r="Y94" s="129"/>
      <c r="Z94" s="130"/>
      <c r="AA94" s="131"/>
      <c r="AB94" s="101"/>
      <c r="AC94" s="116"/>
      <c r="AD94" s="132"/>
      <c r="AE94" s="118"/>
      <c r="AF94" s="119"/>
      <c r="AG94" s="133"/>
      <c r="AH94" s="134"/>
      <c r="AI94" s="135"/>
      <c r="AJ94" s="164"/>
      <c r="AK94" s="167">
        <f t="shared" si="16"/>
        <v>0</v>
      </c>
      <c r="AL94" s="174"/>
    </row>
    <row r="95" spans="1:38" x14ac:dyDescent="0.3">
      <c r="A95" s="184">
        <v>91</v>
      </c>
      <c r="B95" s="209">
        <f>((B99-B89)/10)+B94</f>
        <v>26.16</v>
      </c>
      <c r="C95" s="222">
        <f>((C99-C89)/10)+C94</f>
        <v>0.38080000000000014</v>
      </c>
      <c r="D95" s="177">
        <f t="shared" si="13"/>
        <v>1.1963184824869937</v>
      </c>
      <c r="E95" s="225">
        <f t="shared" si="14"/>
        <v>1.4777575161646168</v>
      </c>
      <c r="F95" s="229">
        <f t="shared" si="15"/>
        <v>1655.0884181043709</v>
      </c>
      <c r="H95" s="204"/>
      <c r="I95" s="206"/>
      <c r="J95" s="123"/>
      <c r="K95" s="88">
        <f>F95-J87</f>
        <v>1154.0680710955457</v>
      </c>
      <c r="L95" s="89"/>
      <c r="M95" s="179"/>
      <c r="N95" s="90">
        <f t="shared" si="12"/>
        <v>1060.9541141694685</v>
      </c>
      <c r="O95" s="137"/>
      <c r="P95" s="206"/>
      <c r="Q95" s="123"/>
      <c r="R95" s="88">
        <f>N95-Q87</f>
        <v>739.78722506124734</v>
      </c>
      <c r="S95" s="92"/>
      <c r="T95" s="125"/>
      <c r="U95" s="94"/>
      <c r="V95" s="126"/>
      <c r="W95" s="127"/>
      <c r="X95" s="128"/>
      <c r="Y95" s="129"/>
      <c r="Z95" s="130"/>
      <c r="AA95" s="131"/>
      <c r="AB95" s="101"/>
      <c r="AC95" s="116"/>
      <c r="AD95" s="132"/>
      <c r="AE95" s="118"/>
      <c r="AF95" s="119"/>
      <c r="AG95" s="133"/>
      <c r="AH95" s="134"/>
      <c r="AI95" s="135"/>
      <c r="AJ95" s="164"/>
      <c r="AK95" s="167">
        <f t="shared" si="16"/>
        <v>0</v>
      </c>
      <c r="AL95" s="174"/>
    </row>
    <row r="96" spans="1:38" x14ac:dyDescent="0.3">
      <c r="A96" s="184">
        <v>92</v>
      </c>
      <c r="B96" s="209">
        <f>((B99-B89)/10)+B95</f>
        <v>26.32</v>
      </c>
      <c r="C96" s="222">
        <f>((C99-C89)/10)+C95</f>
        <v>0.38460000000000016</v>
      </c>
      <c r="D96" s="177">
        <f t="shared" si="13"/>
        <v>1.2082565345706349</v>
      </c>
      <c r="E96" s="225">
        <f t="shared" si="14"/>
        <v>1.5166172893230849</v>
      </c>
      <c r="F96" s="229">
        <f t="shared" si="15"/>
        <v>1698.611364041855</v>
      </c>
      <c r="H96" s="204"/>
      <c r="I96" s="206"/>
      <c r="J96" s="123"/>
      <c r="K96" s="88">
        <f>F96-J87</f>
        <v>1197.5910170330299</v>
      </c>
      <c r="L96" s="89"/>
      <c r="M96" s="179"/>
      <c r="N96" s="90">
        <f t="shared" si="12"/>
        <v>1088.8534384883685</v>
      </c>
      <c r="O96" s="137"/>
      <c r="P96" s="206"/>
      <c r="Q96" s="123"/>
      <c r="R96" s="88">
        <f>N96-Q87</f>
        <v>767.68654938014731</v>
      </c>
      <c r="S96" s="92"/>
      <c r="T96" s="125"/>
      <c r="U96" s="94"/>
      <c r="V96" s="126"/>
      <c r="W96" s="127"/>
      <c r="X96" s="128"/>
      <c r="Y96" s="129"/>
      <c r="Z96" s="130"/>
      <c r="AA96" s="131"/>
      <c r="AB96" s="101"/>
      <c r="AC96" s="116"/>
      <c r="AD96" s="132"/>
      <c r="AE96" s="118"/>
      <c r="AF96" s="119"/>
      <c r="AG96" s="133"/>
      <c r="AH96" s="134"/>
      <c r="AI96" s="135"/>
      <c r="AJ96" s="164"/>
      <c r="AK96" s="167">
        <f t="shared" si="16"/>
        <v>0</v>
      </c>
      <c r="AL96" s="174"/>
    </row>
    <row r="97" spans="1:38" x14ac:dyDescent="0.3">
      <c r="A97" s="184">
        <v>93</v>
      </c>
      <c r="B97" s="209">
        <f>((B99-B89)/10)+B96</f>
        <v>26.48</v>
      </c>
      <c r="C97" s="222">
        <f>((C99-C89)/10)+C96</f>
        <v>0.38840000000000019</v>
      </c>
      <c r="D97" s="177">
        <f t="shared" si="13"/>
        <v>1.2201945866542763</v>
      </c>
      <c r="E97" s="225">
        <f t="shared" si="14"/>
        <v>1.5561375450500363</v>
      </c>
      <c r="F97" s="229">
        <f t="shared" si="15"/>
        <v>1742.8740504560408</v>
      </c>
      <c r="H97" s="204"/>
      <c r="I97" s="206"/>
      <c r="J97" s="123"/>
      <c r="K97" s="88">
        <f>F97-J87</f>
        <v>1241.8537034472156</v>
      </c>
      <c r="L97" s="89"/>
      <c r="M97" s="179"/>
      <c r="N97" s="90">
        <f t="shared" si="12"/>
        <v>1117.2269554205388</v>
      </c>
      <c r="O97" s="137"/>
      <c r="P97" s="206"/>
      <c r="Q97" s="123"/>
      <c r="R97" s="88">
        <f>N97-Q87</f>
        <v>796.06006631231764</v>
      </c>
      <c r="S97" s="92"/>
      <c r="T97" s="125"/>
      <c r="U97" s="94"/>
      <c r="V97" s="126"/>
      <c r="W97" s="127"/>
      <c r="X97" s="128"/>
      <c r="Y97" s="129"/>
      <c r="Z97" s="130"/>
      <c r="AA97" s="131"/>
      <c r="AB97" s="101"/>
      <c r="AC97" s="116"/>
      <c r="AD97" s="132"/>
      <c r="AE97" s="118"/>
      <c r="AF97" s="119"/>
      <c r="AG97" s="133"/>
      <c r="AH97" s="134"/>
      <c r="AI97" s="135"/>
      <c r="AJ97" s="164"/>
      <c r="AK97" s="167">
        <f t="shared" si="16"/>
        <v>0</v>
      </c>
      <c r="AL97" s="174"/>
    </row>
    <row r="98" spans="1:38" x14ac:dyDescent="0.3">
      <c r="A98" s="184">
        <v>94</v>
      </c>
      <c r="B98" s="209">
        <f>((B99-B89)/10)+B97</f>
        <v>26.64</v>
      </c>
      <c r="C98" s="222">
        <f>((C99-C89)/10)+C97</f>
        <v>0.39220000000000022</v>
      </c>
      <c r="D98" s="177">
        <f t="shared" si="13"/>
        <v>1.2321326387379175</v>
      </c>
      <c r="E98" s="225">
        <f t="shared" si="14"/>
        <v>1.5963236835472054</v>
      </c>
      <c r="F98" s="229">
        <f t="shared" si="15"/>
        <v>1787.88252557287</v>
      </c>
      <c r="H98" s="204"/>
      <c r="I98" s="206"/>
      <c r="J98" s="123"/>
      <c r="K98" s="88">
        <f>F98-J87</f>
        <v>1286.8621785640448</v>
      </c>
      <c r="L98" s="89"/>
      <c r="M98" s="179"/>
      <c r="N98" s="90">
        <f t="shared" si="12"/>
        <v>1146.0785420338909</v>
      </c>
      <c r="O98" s="137"/>
      <c r="P98" s="206"/>
      <c r="Q98" s="123"/>
      <c r="R98" s="88">
        <f>N98-Q87</f>
        <v>824.91165292566973</v>
      </c>
      <c r="S98" s="92"/>
      <c r="T98" s="125"/>
      <c r="U98" s="94"/>
      <c r="V98" s="126"/>
      <c r="W98" s="127"/>
      <c r="X98" s="128"/>
      <c r="Y98" s="129"/>
      <c r="Z98" s="130"/>
      <c r="AA98" s="131"/>
      <c r="AB98" s="101"/>
      <c r="AC98" s="116"/>
      <c r="AD98" s="132"/>
      <c r="AE98" s="118"/>
      <c r="AF98" s="119"/>
      <c r="AG98" s="133"/>
      <c r="AH98" s="134"/>
      <c r="AI98" s="135"/>
      <c r="AJ98" s="164"/>
      <c r="AK98" s="167">
        <f t="shared" si="16"/>
        <v>0</v>
      </c>
      <c r="AL98" s="174"/>
    </row>
    <row r="99" spans="1:38" x14ac:dyDescent="0.3">
      <c r="A99" s="207">
        <v>95</v>
      </c>
      <c r="B99" s="209">
        <v>26.8</v>
      </c>
      <c r="C99" s="217">
        <v>0.39600000000000002</v>
      </c>
      <c r="D99" s="177">
        <f t="shared" si="13"/>
        <v>1.2440706908215582</v>
      </c>
      <c r="E99" s="225">
        <f t="shared" si="14"/>
        <v>1.6371811050163283</v>
      </c>
      <c r="F99" s="229">
        <f t="shared" si="15"/>
        <v>1833.6428376182878</v>
      </c>
      <c r="H99" s="204"/>
      <c r="I99" s="206"/>
      <c r="J99" s="123"/>
      <c r="K99" s="88">
        <f>F99-J87</f>
        <v>1332.6224906094626</v>
      </c>
      <c r="L99" s="89"/>
      <c r="M99" s="179"/>
      <c r="N99" s="90">
        <f t="shared" si="12"/>
        <v>1175.4120753963382</v>
      </c>
      <c r="O99" s="137"/>
      <c r="P99" s="206"/>
      <c r="Q99" s="123"/>
      <c r="R99" s="88">
        <f>N99-Q87</f>
        <v>854.245186288117</v>
      </c>
      <c r="S99" s="92"/>
      <c r="T99" s="125"/>
      <c r="U99" s="94"/>
      <c r="V99" s="126"/>
      <c r="W99" s="127"/>
      <c r="X99" s="128"/>
      <c r="Y99" s="129"/>
      <c r="Z99" s="130"/>
      <c r="AA99" s="131"/>
      <c r="AB99" s="101"/>
      <c r="AC99" s="116"/>
      <c r="AD99" s="132"/>
      <c r="AE99" s="118"/>
      <c r="AF99" s="119"/>
      <c r="AG99" s="133"/>
      <c r="AH99" s="134"/>
      <c r="AI99" s="135"/>
      <c r="AJ99" s="164"/>
      <c r="AK99" s="167">
        <f t="shared" si="16"/>
        <v>0</v>
      </c>
      <c r="AL99" s="174"/>
    </row>
    <row r="100" spans="1:38" x14ac:dyDescent="0.3">
      <c r="A100" s="184">
        <v>96</v>
      </c>
      <c r="B100" s="209">
        <f>((B109-B99)/10)+B99</f>
        <v>26.94</v>
      </c>
      <c r="C100" s="222">
        <f>((C109-C99)/10)+C99</f>
        <v>0.4</v>
      </c>
      <c r="D100" s="177">
        <f t="shared" si="13"/>
        <v>1.2566370614359172</v>
      </c>
      <c r="E100" s="225">
        <f t="shared" si="14"/>
        <v>1.6791486007801468</v>
      </c>
      <c r="F100" s="229">
        <f t="shared" si="15"/>
        <v>1880.6464328737645</v>
      </c>
      <c r="H100" s="204"/>
      <c r="I100" s="206"/>
      <c r="J100" s="123"/>
      <c r="K100" s="88">
        <f>F100-J87</f>
        <v>1379.6260858649393</v>
      </c>
      <c r="L100" s="89"/>
      <c r="M100" s="179"/>
      <c r="N100" s="90">
        <f t="shared" ref="N100:N131" si="22">F100/1.56</f>
        <v>1205.5425851754901</v>
      </c>
      <c r="O100" s="137"/>
      <c r="P100" s="206"/>
      <c r="Q100" s="123"/>
      <c r="R100" s="88">
        <f>N100-Q87</f>
        <v>884.3756960672689</v>
      </c>
      <c r="S100" s="92"/>
      <c r="T100" s="125"/>
      <c r="U100" s="94"/>
      <c r="V100" s="126"/>
      <c r="W100" s="127"/>
      <c r="X100" s="128"/>
      <c r="Y100" s="129"/>
      <c r="Z100" s="130"/>
      <c r="AA100" s="131"/>
      <c r="AB100" s="101"/>
      <c r="AC100" s="116"/>
      <c r="AD100" s="132"/>
      <c r="AE100" s="118"/>
      <c r="AF100" s="119"/>
      <c r="AG100" s="133"/>
      <c r="AH100" s="134"/>
      <c r="AI100" s="135"/>
      <c r="AJ100" s="164"/>
      <c r="AK100" s="167">
        <f t="shared" si="16"/>
        <v>0</v>
      </c>
      <c r="AL100" s="174"/>
    </row>
    <row r="101" spans="1:38" x14ac:dyDescent="0.3">
      <c r="A101" s="184">
        <v>97</v>
      </c>
      <c r="B101" s="209">
        <f>((B109-B99)/10)+B100</f>
        <v>27.080000000000002</v>
      </c>
      <c r="C101" s="222">
        <f>((C109-C99)/10)+C100</f>
        <v>0.40400000000000003</v>
      </c>
      <c r="D101" s="177">
        <f t="shared" si="13"/>
        <v>1.2692034320502765</v>
      </c>
      <c r="E101" s="225">
        <f t="shared" si="14"/>
        <v>1.7218009697743071</v>
      </c>
      <c r="F101" s="229">
        <f t="shared" si="15"/>
        <v>1928.4170861472239</v>
      </c>
      <c r="H101" s="203">
        <v>0.2</v>
      </c>
      <c r="I101" s="206">
        <f>H101*(F101-J87)</f>
        <v>285.47934782767976</v>
      </c>
      <c r="J101" s="123">
        <f>I101+J87</f>
        <v>786.49969483650489</v>
      </c>
      <c r="K101" s="88">
        <f>F101-J101</f>
        <v>1141.917391310719</v>
      </c>
      <c r="L101" s="89"/>
      <c r="M101" s="179"/>
      <c r="N101" s="90">
        <f t="shared" si="22"/>
        <v>1236.1647988123229</v>
      </c>
      <c r="O101" s="137">
        <v>0.2</v>
      </c>
      <c r="P101" s="206">
        <f>O101*(N101-Q87)</f>
        <v>182.99958194082035</v>
      </c>
      <c r="Q101" s="123">
        <f>P101+Q87</f>
        <v>504.16647104904155</v>
      </c>
      <c r="R101" s="88">
        <f>N101-Q101</f>
        <v>731.9983277632814</v>
      </c>
      <c r="S101" s="92"/>
      <c r="T101" s="125">
        <f>P101*15%</f>
        <v>27.449937291123053</v>
      </c>
      <c r="U101" s="94">
        <f t="shared" si="17"/>
        <v>26.077440426566898</v>
      </c>
      <c r="V101" s="126">
        <v>8</v>
      </c>
      <c r="W101" s="127">
        <f t="shared" si="18"/>
        <v>219.59949832898442</v>
      </c>
      <c r="X101" s="128">
        <v>0.4</v>
      </c>
      <c r="Y101" s="129">
        <v>0.6</v>
      </c>
      <c r="Z101" s="130"/>
      <c r="AA101" s="131">
        <f>P101*15%</f>
        <v>27.449937291123053</v>
      </c>
      <c r="AB101" s="101">
        <f t="shared" ref="AB101:AB144" si="23">I101-P101</f>
        <v>102.47976588685941</v>
      </c>
      <c r="AC101" s="116">
        <f t="shared" ref="AC101:AC144" si="24">(AA101+AB101)/0.6</f>
        <v>216.54950529663748</v>
      </c>
      <c r="AD101" s="132">
        <v>8</v>
      </c>
      <c r="AE101" s="118">
        <f t="shared" ref="AE101:AE144" si="25">AC101*AD101</f>
        <v>1732.3960423730998</v>
      </c>
      <c r="AF101" s="119"/>
      <c r="AG101" s="133">
        <f>P101*70%</f>
        <v>128.09970735857425</v>
      </c>
      <c r="AH101" s="134">
        <v>90</v>
      </c>
      <c r="AI101" s="135">
        <f t="shared" si="20"/>
        <v>11528.973662271683</v>
      </c>
      <c r="AJ101" s="164"/>
      <c r="AK101" s="167">
        <f t="shared" si="16"/>
        <v>13480.969202973767</v>
      </c>
      <c r="AL101" s="174"/>
    </row>
    <row r="102" spans="1:38" x14ac:dyDescent="0.3">
      <c r="A102" s="184">
        <v>98</v>
      </c>
      <c r="B102" s="209">
        <f>((B109-B99)/10)+B101</f>
        <v>27.220000000000002</v>
      </c>
      <c r="C102" s="222">
        <f>((C109-C99)/10)+C101</f>
        <v>0.40800000000000003</v>
      </c>
      <c r="D102" s="177">
        <f t="shared" si="13"/>
        <v>1.2817698026646356</v>
      </c>
      <c r="E102" s="225">
        <f t="shared" si="14"/>
        <v>1.7651434476514598</v>
      </c>
      <c r="F102" s="229">
        <f t="shared" si="15"/>
        <v>1976.9606613696351</v>
      </c>
      <c r="H102" s="204"/>
      <c r="I102" s="206"/>
      <c r="J102" s="123"/>
      <c r="K102" s="88">
        <f>F102-J101</f>
        <v>1190.4609665331302</v>
      </c>
      <c r="L102" s="89"/>
      <c r="M102" s="179"/>
      <c r="N102" s="90">
        <f t="shared" si="22"/>
        <v>1267.2824752369456</v>
      </c>
      <c r="O102" s="137"/>
      <c r="P102" s="206"/>
      <c r="Q102" s="123"/>
      <c r="R102" s="88">
        <f>N102-Q101</f>
        <v>763.11600418790408</v>
      </c>
      <c r="S102" s="92"/>
      <c r="T102" s="125"/>
      <c r="U102" s="94"/>
      <c r="V102" s="126"/>
      <c r="W102" s="127"/>
      <c r="X102" s="128"/>
      <c r="Y102" s="129"/>
      <c r="Z102" s="130"/>
      <c r="AA102" s="131"/>
      <c r="AB102" s="101"/>
      <c r="AC102" s="116"/>
      <c r="AD102" s="132"/>
      <c r="AE102" s="118"/>
      <c r="AF102" s="119"/>
      <c r="AG102" s="133"/>
      <c r="AH102" s="134"/>
      <c r="AI102" s="135"/>
      <c r="AJ102" s="164"/>
      <c r="AK102" s="167">
        <f t="shared" si="16"/>
        <v>0</v>
      </c>
      <c r="AL102" s="174"/>
    </row>
    <row r="103" spans="1:38" x14ac:dyDescent="0.3">
      <c r="A103" s="184">
        <v>99</v>
      </c>
      <c r="B103" s="209">
        <f>((B109-B99)/10)+B102</f>
        <v>27.360000000000003</v>
      </c>
      <c r="C103" s="222">
        <f>((C109-C99)/10)+C102</f>
        <v>0.41200000000000003</v>
      </c>
      <c r="D103" s="177">
        <f t="shared" si="13"/>
        <v>1.2943361732789949</v>
      </c>
      <c r="E103" s="225">
        <f t="shared" si="14"/>
        <v>1.8091812700642591</v>
      </c>
      <c r="F103" s="229">
        <f t="shared" si="15"/>
        <v>2026.2830224719703</v>
      </c>
      <c r="H103" s="204"/>
      <c r="I103" s="206"/>
      <c r="J103" s="123"/>
      <c r="K103" s="88">
        <f>F103-J101</f>
        <v>1239.7833276354654</v>
      </c>
      <c r="L103" s="89"/>
      <c r="M103" s="179"/>
      <c r="N103" s="90">
        <f t="shared" si="22"/>
        <v>1298.899373379468</v>
      </c>
      <c r="O103" s="137"/>
      <c r="P103" s="206"/>
      <c r="Q103" s="123"/>
      <c r="R103" s="88">
        <f>N103-Q101</f>
        <v>794.73290233042644</v>
      </c>
      <c r="S103" s="92"/>
      <c r="T103" s="125"/>
      <c r="U103" s="94"/>
      <c r="V103" s="126"/>
      <c r="W103" s="127"/>
      <c r="X103" s="128"/>
      <c r="Y103" s="129"/>
      <c r="Z103" s="130"/>
      <c r="AA103" s="131"/>
      <c r="AB103" s="101"/>
      <c r="AC103" s="116"/>
      <c r="AD103" s="132"/>
      <c r="AE103" s="118"/>
      <c r="AF103" s="119"/>
      <c r="AG103" s="133"/>
      <c r="AH103" s="134"/>
      <c r="AI103" s="135"/>
      <c r="AJ103" s="164"/>
      <c r="AK103" s="167">
        <f t="shared" si="16"/>
        <v>0</v>
      </c>
      <c r="AL103" s="174"/>
    </row>
    <row r="104" spans="1:38" x14ac:dyDescent="0.3">
      <c r="A104" s="184">
        <v>100</v>
      </c>
      <c r="B104" s="209">
        <f>((B109-B99)/10)+B103</f>
        <v>27.500000000000004</v>
      </c>
      <c r="C104" s="222">
        <f>((C109-C99)/10)+C103</f>
        <v>0.41600000000000004</v>
      </c>
      <c r="D104" s="177">
        <f t="shared" si="13"/>
        <v>1.3069025438933541</v>
      </c>
      <c r="E104" s="225">
        <f t="shared" si="14"/>
        <v>1.8539196726653568</v>
      </c>
      <c r="F104" s="229">
        <f t="shared" si="15"/>
        <v>2076.3900333851998</v>
      </c>
      <c r="H104" s="204"/>
      <c r="I104" s="206"/>
      <c r="J104" s="123"/>
      <c r="K104" s="88">
        <f>F104-J101</f>
        <v>1289.8903385486949</v>
      </c>
      <c r="L104" s="89"/>
      <c r="M104" s="179"/>
      <c r="N104" s="90">
        <f t="shared" si="22"/>
        <v>1331.0192521699998</v>
      </c>
      <c r="O104" s="137"/>
      <c r="P104" s="206"/>
      <c r="Q104" s="123"/>
      <c r="R104" s="88">
        <f>N104-Q101</f>
        <v>826.8527811209583</v>
      </c>
      <c r="S104" s="92"/>
      <c r="T104" s="125"/>
      <c r="U104" s="94"/>
      <c r="V104" s="126"/>
      <c r="W104" s="127"/>
      <c r="X104" s="128"/>
      <c r="Y104" s="129"/>
      <c r="Z104" s="130"/>
      <c r="AA104" s="131"/>
      <c r="AB104" s="101"/>
      <c r="AC104" s="116"/>
      <c r="AD104" s="132"/>
      <c r="AE104" s="118"/>
      <c r="AF104" s="119"/>
      <c r="AG104" s="133"/>
      <c r="AH104" s="134"/>
      <c r="AI104" s="135"/>
      <c r="AJ104" s="164"/>
      <c r="AK104" s="167">
        <f t="shared" si="16"/>
        <v>0</v>
      </c>
      <c r="AL104" s="174"/>
    </row>
    <row r="105" spans="1:38" x14ac:dyDescent="0.3">
      <c r="A105" s="184">
        <v>101</v>
      </c>
      <c r="B105" s="209">
        <f>((B109-B99)/10)+B104</f>
        <v>27.640000000000004</v>
      </c>
      <c r="C105" s="222">
        <f>((C109-C99)/10)+C104</f>
        <v>0.42000000000000004</v>
      </c>
      <c r="D105" s="177">
        <f t="shared" si="13"/>
        <v>1.3194689145077132</v>
      </c>
      <c r="E105" s="225">
        <f t="shared" si="14"/>
        <v>1.899363891107406</v>
      </c>
      <c r="F105" s="229">
        <f t="shared" si="15"/>
        <v>2127.2875580402947</v>
      </c>
      <c r="H105" s="204"/>
      <c r="I105" s="206"/>
      <c r="J105" s="123"/>
      <c r="K105" s="88">
        <f>F105-J101</f>
        <v>1340.7878632037898</v>
      </c>
      <c r="L105" s="89"/>
      <c r="M105" s="179"/>
      <c r="N105" s="90">
        <f t="shared" si="22"/>
        <v>1363.6458705386503</v>
      </c>
      <c r="O105" s="137"/>
      <c r="P105" s="206"/>
      <c r="Q105" s="123"/>
      <c r="R105" s="88">
        <f>N105-Q101</f>
        <v>859.4793994896088</v>
      </c>
      <c r="S105" s="92"/>
      <c r="T105" s="125"/>
      <c r="U105" s="94"/>
      <c r="V105" s="126"/>
      <c r="W105" s="127"/>
      <c r="X105" s="128"/>
      <c r="Y105" s="129"/>
      <c r="Z105" s="130"/>
      <c r="AA105" s="131"/>
      <c r="AB105" s="101"/>
      <c r="AC105" s="116"/>
      <c r="AD105" s="132"/>
      <c r="AE105" s="118"/>
      <c r="AF105" s="119"/>
      <c r="AG105" s="133"/>
      <c r="AH105" s="134"/>
      <c r="AI105" s="135"/>
      <c r="AJ105" s="164"/>
      <c r="AK105" s="167">
        <f t="shared" si="16"/>
        <v>0</v>
      </c>
      <c r="AL105" s="174"/>
    </row>
    <row r="106" spans="1:38" x14ac:dyDescent="0.3">
      <c r="A106" s="184">
        <v>102</v>
      </c>
      <c r="B106" s="209">
        <f>((B109-B99)/10)+B105</f>
        <v>27.780000000000005</v>
      </c>
      <c r="C106" s="222">
        <f>((C109-C99)/10)+C105</f>
        <v>0.42400000000000004</v>
      </c>
      <c r="D106" s="177">
        <f t="shared" si="13"/>
        <v>1.3320352851220725</v>
      </c>
      <c r="E106" s="225">
        <f t="shared" si="14"/>
        <v>1.9455191610430598</v>
      </c>
      <c r="F106" s="229">
        <f t="shared" si="15"/>
        <v>2178.9814603682271</v>
      </c>
      <c r="H106" s="204"/>
      <c r="I106" s="206"/>
      <c r="J106" s="123"/>
      <c r="K106" s="88">
        <f>F106-J101</f>
        <v>1392.4817655317222</v>
      </c>
      <c r="L106" s="89"/>
      <c r="M106" s="179"/>
      <c r="N106" s="90">
        <f t="shared" si="22"/>
        <v>1396.7829874155302</v>
      </c>
      <c r="O106" s="137"/>
      <c r="P106" s="206"/>
      <c r="Q106" s="123"/>
      <c r="R106" s="88">
        <f>N106-Q101</f>
        <v>892.61651636648867</v>
      </c>
      <c r="S106" s="92"/>
      <c r="T106" s="125"/>
      <c r="U106" s="94"/>
      <c r="V106" s="126"/>
      <c r="W106" s="127"/>
      <c r="X106" s="128"/>
      <c r="Y106" s="129"/>
      <c r="Z106" s="130"/>
      <c r="AA106" s="131"/>
      <c r="AB106" s="101"/>
      <c r="AC106" s="116"/>
      <c r="AD106" s="132"/>
      <c r="AE106" s="118"/>
      <c r="AF106" s="119"/>
      <c r="AG106" s="133"/>
      <c r="AH106" s="134"/>
      <c r="AI106" s="135"/>
      <c r="AJ106" s="164"/>
      <c r="AK106" s="167">
        <f t="shared" si="16"/>
        <v>0</v>
      </c>
      <c r="AL106" s="174"/>
    </row>
    <row r="107" spans="1:38" x14ac:dyDescent="0.3">
      <c r="A107" s="184">
        <v>103</v>
      </c>
      <c r="B107" s="209">
        <f>((B109-B99)/10)+B106</f>
        <v>27.920000000000005</v>
      </c>
      <c r="C107" s="222">
        <f>((C109-C99)/10)+C106</f>
        <v>0.42800000000000005</v>
      </c>
      <c r="D107" s="177">
        <f t="shared" si="13"/>
        <v>1.3446016557364315</v>
      </c>
      <c r="E107" s="225">
        <f t="shared" si="14"/>
        <v>1.99239071812497</v>
      </c>
      <c r="F107" s="229">
        <f t="shared" si="15"/>
        <v>2231.4776042999665</v>
      </c>
      <c r="H107" s="204"/>
      <c r="I107" s="206"/>
      <c r="J107" s="123"/>
      <c r="K107" s="88">
        <f>F107-J101</f>
        <v>1444.9779094634616</v>
      </c>
      <c r="L107" s="89"/>
      <c r="M107" s="179"/>
      <c r="N107" s="90">
        <f t="shared" si="22"/>
        <v>1430.4343617307477</v>
      </c>
      <c r="O107" s="137"/>
      <c r="P107" s="206"/>
      <c r="Q107" s="123"/>
      <c r="R107" s="88">
        <f>N107-Q101</f>
        <v>926.26789068170615</v>
      </c>
      <c r="S107" s="92"/>
      <c r="T107" s="125"/>
      <c r="U107" s="94"/>
      <c r="V107" s="126"/>
      <c r="W107" s="127"/>
      <c r="X107" s="128"/>
      <c r="Y107" s="129"/>
      <c r="Z107" s="130"/>
      <c r="AA107" s="131"/>
      <c r="AB107" s="101"/>
      <c r="AC107" s="116"/>
      <c r="AD107" s="132"/>
      <c r="AE107" s="118"/>
      <c r="AF107" s="119"/>
      <c r="AG107" s="133"/>
      <c r="AH107" s="134"/>
      <c r="AI107" s="135"/>
      <c r="AJ107" s="164"/>
      <c r="AK107" s="167">
        <f t="shared" si="16"/>
        <v>0</v>
      </c>
      <c r="AL107" s="174"/>
    </row>
    <row r="108" spans="1:38" x14ac:dyDescent="0.3">
      <c r="A108" s="184">
        <v>104</v>
      </c>
      <c r="B108" s="209">
        <f>((B109-B99)/10)+B107</f>
        <v>28.060000000000006</v>
      </c>
      <c r="C108" s="222">
        <f>((C109-C99)/10)+C107</f>
        <v>0.43200000000000005</v>
      </c>
      <c r="D108" s="177">
        <f t="shared" si="13"/>
        <v>1.3571680263507908</v>
      </c>
      <c r="E108" s="225">
        <f t="shared" si="14"/>
        <v>2.0399837980057907</v>
      </c>
      <c r="F108" s="229">
        <f t="shared" si="15"/>
        <v>2284.7818537664857</v>
      </c>
      <c r="H108" s="204"/>
      <c r="I108" s="206"/>
      <c r="J108" s="123"/>
      <c r="K108" s="88">
        <f>F108-J101</f>
        <v>1498.2821589299808</v>
      </c>
      <c r="L108" s="89"/>
      <c r="M108" s="179"/>
      <c r="N108" s="90">
        <f t="shared" si="22"/>
        <v>1464.603752414414</v>
      </c>
      <c r="O108" s="137"/>
      <c r="P108" s="206"/>
      <c r="Q108" s="123"/>
      <c r="R108" s="88">
        <f>N108-Q101</f>
        <v>960.43728136537243</v>
      </c>
      <c r="S108" s="92"/>
      <c r="T108" s="125"/>
      <c r="U108" s="94"/>
      <c r="V108" s="126"/>
      <c r="W108" s="127"/>
      <c r="X108" s="128"/>
      <c r="Y108" s="129"/>
      <c r="Z108" s="130"/>
      <c r="AA108" s="131"/>
      <c r="AB108" s="101"/>
      <c r="AC108" s="116"/>
      <c r="AD108" s="132"/>
      <c r="AE108" s="118"/>
      <c r="AF108" s="119"/>
      <c r="AG108" s="133"/>
      <c r="AH108" s="134"/>
      <c r="AI108" s="135"/>
      <c r="AJ108" s="164"/>
      <c r="AK108" s="167">
        <f t="shared" si="16"/>
        <v>0</v>
      </c>
      <c r="AL108" s="174"/>
    </row>
    <row r="109" spans="1:38" x14ac:dyDescent="0.3">
      <c r="A109" s="207">
        <v>105</v>
      </c>
      <c r="B109" s="209">
        <v>28.2</v>
      </c>
      <c r="C109" s="217">
        <v>0.436</v>
      </c>
      <c r="D109" s="177">
        <f t="shared" si="13"/>
        <v>1.3697343969651499</v>
      </c>
      <c r="E109" s="225">
        <f t="shared" si="14"/>
        <v>2.0883036363381731</v>
      </c>
      <c r="F109" s="229">
        <f t="shared" si="15"/>
        <v>2338.9000726987538</v>
      </c>
      <c r="H109" s="204"/>
      <c r="I109" s="206"/>
      <c r="J109" s="123"/>
      <c r="K109" s="88">
        <f>F109-J101</f>
        <v>1552.4003778622489</v>
      </c>
      <c r="L109" s="89"/>
      <c r="M109" s="179"/>
      <c r="N109" s="90">
        <f t="shared" si="22"/>
        <v>1499.2949183966371</v>
      </c>
      <c r="O109" s="137"/>
      <c r="P109" s="206"/>
      <c r="Q109" s="123"/>
      <c r="R109" s="88">
        <f>N109-Q101</f>
        <v>995.12844734759551</v>
      </c>
      <c r="S109" s="92"/>
      <c r="T109" s="125"/>
      <c r="U109" s="94"/>
      <c r="V109" s="126"/>
      <c r="W109" s="127"/>
      <c r="X109" s="128"/>
      <c r="Y109" s="129"/>
      <c r="Z109" s="130"/>
      <c r="AA109" s="131"/>
      <c r="AB109" s="101"/>
      <c r="AC109" s="116"/>
      <c r="AD109" s="132"/>
      <c r="AE109" s="118"/>
      <c r="AF109" s="119"/>
      <c r="AG109" s="133"/>
      <c r="AH109" s="134"/>
      <c r="AI109" s="135"/>
      <c r="AJ109" s="164"/>
      <c r="AK109" s="167">
        <f t="shared" si="16"/>
        <v>0</v>
      </c>
      <c r="AL109" s="174"/>
    </row>
    <row r="110" spans="1:38" x14ac:dyDescent="0.3">
      <c r="A110" s="184">
        <v>106</v>
      </c>
      <c r="B110" s="209">
        <f>((B119-B109)/10)+B109</f>
        <v>28.34</v>
      </c>
      <c r="C110" s="222">
        <f>((C119-C109)/10)+C109</f>
        <v>0.43959999999999999</v>
      </c>
      <c r="D110" s="177">
        <f t="shared" si="13"/>
        <v>1.381044130518073</v>
      </c>
      <c r="E110" s="225">
        <f t="shared" si="14"/>
        <v>2.133471134331931</v>
      </c>
      <c r="F110" s="229">
        <f t="shared" si="15"/>
        <v>2389.4876704517628</v>
      </c>
      <c r="H110" s="204"/>
      <c r="I110" s="206"/>
      <c r="J110" s="123"/>
      <c r="K110" s="88">
        <f>F110-J101</f>
        <v>1602.9879756152579</v>
      </c>
      <c r="L110" s="89"/>
      <c r="M110" s="179"/>
      <c r="N110" s="90">
        <f t="shared" si="22"/>
        <v>1531.7228656742068</v>
      </c>
      <c r="O110" s="137"/>
      <c r="P110" s="206"/>
      <c r="Q110" s="123"/>
      <c r="R110" s="88">
        <f>N110-Q101</f>
        <v>1027.5563946251652</v>
      </c>
      <c r="S110" s="92"/>
      <c r="T110" s="125"/>
      <c r="U110" s="94"/>
      <c r="V110" s="126"/>
      <c r="W110" s="127"/>
      <c r="X110" s="128"/>
      <c r="Y110" s="129"/>
      <c r="Z110" s="130"/>
      <c r="AA110" s="131"/>
      <c r="AB110" s="101"/>
      <c r="AC110" s="116"/>
      <c r="AD110" s="132"/>
      <c r="AE110" s="118"/>
      <c r="AF110" s="119"/>
      <c r="AG110" s="133"/>
      <c r="AH110" s="134"/>
      <c r="AI110" s="135"/>
      <c r="AJ110" s="164"/>
      <c r="AK110" s="167">
        <f t="shared" si="16"/>
        <v>0</v>
      </c>
      <c r="AL110" s="174"/>
    </row>
    <row r="111" spans="1:38" x14ac:dyDescent="0.3">
      <c r="A111" s="184">
        <v>107</v>
      </c>
      <c r="B111" s="209">
        <f>((B119-B109)/10)+B110</f>
        <v>28.48</v>
      </c>
      <c r="C111" s="222">
        <f>((C119-C109)/10)+C110</f>
        <v>0.44319999999999998</v>
      </c>
      <c r="D111" s="177">
        <f t="shared" si="13"/>
        <v>1.3923538640709963</v>
      </c>
      <c r="E111" s="225">
        <f t="shared" si="14"/>
        <v>2.1792700295971028</v>
      </c>
      <c r="F111" s="229">
        <f t="shared" si="15"/>
        <v>2440.782433148755</v>
      </c>
      <c r="H111" s="204"/>
      <c r="I111" s="206"/>
      <c r="J111" s="123"/>
      <c r="K111" s="88">
        <f>F111-J101</f>
        <v>1654.2827383122501</v>
      </c>
      <c r="L111" s="89"/>
      <c r="M111" s="179"/>
      <c r="N111" s="90">
        <f t="shared" si="22"/>
        <v>1564.6041238133043</v>
      </c>
      <c r="O111" s="137"/>
      <c r="P111" s="206"/>
      <c r="Q111" s="123"/>
      <c r="R111" s="88">
        <f>N111-Q101</f>
        <v>1060.4376527642628</v>
      </c>
      <c r="S111" s="92"/>
      <c r="T111" s="125"/>
      <c r="U111" s="94"/>
      <c r="V111" s="126"/>
      <c r="W111" s="127"/>
      <c r="X111" s="128"/>
      <c r="Y111" s="129"/>
      <c r="Z111" s="130"/>
      <c r="AA111" s="131"/>
      <c r="AB111" s="101"/>
      <c r="AC111" s="116"/>
      <c r="AD111" s="132"/>
      <c r="AE111" s="118"/>
      <c r="AF111" s="119"/>
      <c r="AG111" s="133"/>
      <c r="AH111" s="134"/>
      <c r="AI111" s="135"/>
      <c r="AJ111" s="164"/>
      <c r="AK111" s="167">
        <f t="shared" si="16"/>
        <v>0</v>
      </c>
      <c r="AL111" s="174"/>
    </row>
    <row r="112" spans="1:38" x14ac:dyDescent="0.3">
      <c r="A112" s="184">
        <v>108</v>
      </c>
      <c r="B112" s="209">
        <f>((B119-B109)/10)+B111</f>
        <v>28.62</v>
      </c>
      <c r="C112" s="222">
        <f>((C119-C109)/10)+C111</f>
        <v>0.44679999999999997</v>
      </c>
      <c r="D112" s="177">
        <f t="shared" si="13"/>
        <v>1.4036635976239196</v>
      </c>
      <c r="E112" s="225">
        <f t="shared" si="14"/>
        <v>2.2257045630123353</v>
      </c>
      <c r="F112" s="229">
        <f t="shared" si="15"/>
        <v>2492.7891105738154</v>
      </c>
      <c r="H112" s="204"/>
      <c r="I112" s="206"/>
      <c r="J112" s="123"/>
      <c r="K112" s="88">
        <f>F112-J101</f>
        <v>1706.2894157373105</v>
      </c>
      <c r="L112" s="89"/>
      <c r="M112" s="179"/>
      <c r="N112" s="90">
        <f t="shared" si="22"/>
        <v>1597.9417375473174</v>
      </c>
      <c r="O112" s="137"/>
      <c r="P112" s="206"/>
      <c r="Q112" s="123"/>
      <c r="R112" s="88">
        <f>N112-Q101</f>
        <v>1093.7752664982759</v>
      </c>
      <c r="S112" s="92"/>
      <c r="T112" s="125"/>
      <c r="U112" s="94"/>
      <c r="V112" s="126"/>
      <c r="W112" s="127"/>
      <c r="X112" s="128"/>
      <c r="Y112" s="129"/>
      <c r="Z112" s="130"/>
      <c r="AA112" s="131"/>
      <c r="AB112" s="101"/>
      <c r="AC112" s="116"/>
      <c r="AD112" s="132"/>
      <c r="AE112" s="118"/>
      <c r="AF112" s="119"/>
      <c r="AG112" s="133"/>
      <c r="AH112" s="134"/>
      <c r="AI112" s="135"/>
      <c r="AJ112" s="164"/>
      <c r="AK112" s="167">
        <f t="shared" si="16"/>
        <v>0</v>
      </c>
      <c r="AL112" s="174"/>
    </row>
    <row r="113" spans="1:38" x14ac:dyDescent="0.3">
      <c r="A113" s="184">
        <v>109</v>
      </c>
      <c r="B113" s="209">
        <f>((B119-B109)/10)+B112</f>
        <v>28.76</v>
      </c>
      <c r="C113" s="222">
        <f>((C119-C109)/10)+C112</f>
        <v>0.45039999999999997</v>
      </c>
      <c r="D113" s="177">
        <f t="shared" si="13"/>
        <v>1.4149733311768427</v>
      </c>
      <c r="E113" s="225">
        <f t="shared" si="14"/>
        <v>2.2727789754562773</v>
      </c>
      <c r="F113" s="229">
        <f t="shared" si="15"/>
        <v>2545.5124525110305</v>
      </c>
      <c r="H113" s="204"/>
      <c r="I113" s="206"/>
      <c r="J113" s="123"/>
      <c r="K113" s="88">
        <f>F113-J101</f>
        <v>1759.0127576745256</v>
      </c>
      <c r="L113" s="89"/>
      <c r="M113" s="179"/>
      <c r="N113" s="90">
        <f t="shared" si="22"/>
        <v>1631.7387516096348</v>
      </c>
      <c r="O113" s="137"/>
      <c r="P113" s="206"/>
      <c r="Q113" s="123"/>
      <c r="R113" s="88">
        <f>N113-Q101</f>
        <v>1127.5722805605933</v>
      </c>
      <c r="S113" s="92"/>
      <c r="T113" s="125"/>
      <c r="U113" s="94"/>
      <c r="V113" s="126"/>
      <c r="W113" s="127"/>
      <c r="X113" s="128"/>
      <c r="Y113" s="129"/>
      <c r="Z113" s="130"/>
      <c r="AA113" s="131"/>
      <c r="AB113" s="101"/>
      <c r="AC113" s="116"/>
      <c r="AD113" s="132"/>
      <c r="AE113" s="118"/>
      <c r="AF113" s="119"/>
      <c r="AG113" s="133"/>
      <c r="AH113" s="134"/>
      <c r="AI113" s="135"/>
      <c r="AJ113" s="164"/>
      <c r="AK113" s="167">
        <f t="shared" si="16"/>
        <v>0</v>
      </c>
      <c r="AL113" s="174"/>
    </row>
    <row r="114" spans="1:38" x14ac:dyDescent="0.3">
      <c r="A114" s="184">
        <v>110</v>
      </c>
      <c r="B114" s="209">
        <f>((B119-B109)/10)+B113</f>
        <v>28.900000000000002</v>
      </c>
      <c r="C114" s="222">
        <f>((C119-C109)/10)+C113</f>
        <v>0.45399999999999996</v>
      </c>
      <c r="D114" s="177">
        <f t="shared" si="13"/>
        <v>1.426283064729766</v>
      </c>
      <c r="E114" s="225">
        <f t="shared" si="14"/>
        <v>2.3204975078075774</v>
      </c>
      <c r="F114" s="229">
        <f t="shared" si="15"/>
        <v>2598.9572087444867</v>
      </c>
      <c r="H114" s="204"/>
      <c r="I114" s="206"/>
      <c r="J114" s="123"/>
      <c r="K114" s="88">
        <f>F114-J101</f>
        <v>1812.4575139079818</v>
      </c>
      <c r="L114" s="89"/>
      <c r="M114" s="179"/>
      <c r="N114" s="90">
        <f t="shared" si="22"/>
        <v>1665.9982107336452</v>
      </c>
      <c r="O114" s="137"/>
      <c r="P114" s="206"/>
      <c r="Q114" s="123"/>
      <c r="R114" s="88">
        <f>N114-Q101</f>
        <v>1161.8317396846037</v>
      </c>
      <c r="S114" s="92"/>
      <c r="T114" s="125"/>
      <c r="U114" s="94"/>
      <c r="V114" s="126"/>
      <c r="W114" s="127"/>
      <c r="X114" s="128"/>
      <c r="Y114" s="129"/>
      <c r="Z114" s="130"/>
      <c r="AA114" s="131"/>
      <c r="AB114" s="101"/>
      <c r="AC114" s="116"/>
      <c r="AD114" s="132"/>
      <c r="AE114" s="118"/>
      <c r="AF114" s="119"/>
      <c r="AG114" s="133"/>
      <c r="AH114" s="134"/>
      <c r="AI114" s="135"/>
      <c r="AJ114" s="164"/>
      <c r="AK114" s="167">
        <f t="shared" si="16"/>
        <v>0</v>
      </c>
      <c r="AL114" s="174"/>
    </row>
    <row r="115" spans="1:38" x14ac:dyDescent="0.3">
      <c r="A115" s="184">
        <v>111</v>
      </c>
      <c r="B115" s="209">
        <f>((B119-B109)/10)+B114</f>
        <v>29.040000000000003</v>
      </c>
      <c r="C115" s="222">
        <f>((C119-C109)/10)+C114</f>
        <v>0.45759999999999995</v>
      </c>
      <c r="D115" s="177">
        <f t="shared" si="13"/>
        <v>1.4375927982826893</v>
      </c>
      <c r="E115" s="225">
        <f t="shared" si="14"/>
        <v>2.3688644009448852</v>
      </c>
      <c r="F115" s="229">
        <f t="shared" si="15"/>
        <v>2653.1281290582715</v>
      </c>
      <c r="H115" s="203">
        <v>0.2</v>
      </c>
      <c r="I115" s="206">
        <f>H115*(F115-J101)</f>
        <v>373.32568684435336</v>
      </c>
      <c r="J115" s="123">
        <f>I115+J101</f>
        <v>1159.8253816808583</v>
      </c>
      <c r="K115" s="88">
        <f>F115-J115</f>
        <v>1493.3027473774132</v>
      </c>
      <c r="L115" s="89"/>
      <c r="M115" s="179"/>
      <c r="N115" s="90">
        <f t="shared" si="22"/>
        <v>1700.7231596527381</v>
      </c>
      <c r="O115" s="137">
        <v>0.2</v>
      </c>
      <c r="P115" s="206">
        <f>O115*(N115-Q101)</f>
        <v>239.31133772073932</v>
      </c>
      <c r="Q115" s="123">
        <f>P115+Q101</f>
        <v>743.47780876978084</v>
      </c>
      <c r="R115" s="88">
        <f>N115-Q115</f>
        <v>957.24535088295727</v>
      </c>
      <c r="S115" s="92"/>
      <c r="T115" s="125">
        <f>P115*10%</f>
        <v>23.931133772073935</v>
      </c>
      <c r="U115" s="94">
        <f t="shared" si="17"/>
        <v>22.734577083470239</v>
      </c>
      <c r="V115" s="126">
        <v>8</v>
      </c>
      <c r="W115" s="127">
        <f t="shared" si="18"/>
        <v>191.44907017659148</v>
      </c>
      <c r="X115" s="128">
        <v>0.4</v>
      </c>
      <c r="Y115" s="129">
        <v>0.6</v>
      </c>
      <c r="Z115" s="130"/>
      <c r="AA115" s="131">
        <f>P115*10%</f>
        <v>23.931133772073935</v>
      </c>
      <c r="AB115" s="101">
        <f t="shared" si="23"/>
        <v>134.01434912361404</v>
      </c>
      <c r="AC115" s="116">
        <f t="shared" si="24"/>
        <v>263.24247149281331</v>
      </c>
      <c r="AD115" s="132">
        <v>8</v>
      </c>
      <c r="AE115" s="118">
        <f t="shared" si="25"/>
        <v>2105.9397719425065</v>
      </c>
      <c r="AF115" s="119"/>
      <c r="AG115" s="133">
        <f>P115*80%</f>
        <v>191.44907017659148</v>
      </c>
      <c r="AH115" s="134">
        <v>90</v>
      </c>
      <c r="AI115" s="135">
        <f t="shared" si="20"/>
        <v>17230.416315893232</v>
      </c>
      <c r="AJ115" s="164"/>
      <c r="AK115" s="167">
        <f t="shared" si="16"/>
        <v>19527.805158012328</v>
      </c>
      <c r="AL115" s="174"/>
    </row>
    <row r="116" spans="1:38" x14ac:dyDescent="0.3">
      <c r="A116" s="184">
        <v>112</v>
      </c>
      <c r="B116" s="209">
        <f>((B119-B109)/10)+B115</f>
        <v>29.180000000000003</v>
      </c>
      <c r="C116" s="222">
        <f>((C119-C109)/10)+C115</f>
        <v>0.46119999999999994</v>
      </c>
      <c r="D116" s="177">
        <f t="shared" si="13"/>
        <v>1.4489025318356124</v>
      </c>
      <c r="E116" s="225">
        <f t="shared" si="14"/>
        <v>2.4178838957468485</v>
      </c>
      <c r="F116" s="229">
        <f t="shared" si="15"/>
        <v>2708.0299632364704</v>
      </c>
      <c r="H116" s="204"/>
      <c r="I116" s="206"/>
      <c r="J116" s="123"/>
      <c r="K116" s="88">
        <f>F116-J115</f>
        <v>1548.2045815556121</v>
      </c>
      <c r="L116" s="89"/>
      <c r="M116" s="179"/>
      <c r="N116" s="90">
        <f t="shared" si="22"/>
        <v>1735.9166431003014</v>
      </c>
      <c r="O116" s="137"/>
      <c r="P116" s="206"/>
      <c r="Q116" s="123"/>
      <c r="R116" s="88">
        <f>N116-Q115</f>
        <v>992.43883433052054</v>
      </c>
      <c r="S116" s="92"/>
      <c r="T116" s="125"/>
      <c r="U116" s="94"/>
      <c r="V116" s="126"/>
      <c r="W116" s="127"/>
      <c r="X116" s="128"/>
      <c r="Y116" s="129"/>
      <c r="Z116" s="130"/>
      <c r="AA116" s="131"/>
      <c r="AB116" s="101"/>
      <c r="AC116" s="116"/>
      <c r="AD116" s="132"/>
      <c r="AE116" s="118"/>
      <c r="AF116" s="119"/>
      <c r="AG116" s="133"/>
      <c r="AH116" s="134"/>
      <c r="AI116" s="135"/>
      <c r="AJ116" s="164"/>
      <c r="AK116" s="167">
        <f t="shared" si="16"/>
        <v>0</v>
      </c>
      <c r="AL116" s="174"/>
    </row>
    <row r="117" spans="1:38" x14ac:dyDescent="0.3">
      <c r="A117" s="184">
        <v>113</v>
      </c>
      <c r="B117" s="209">
        <f>((B119-B109)/10)+B116</f>
        <v>29.320000000000004</v>
      </c>
      <c r="C117" s="222">
        <f>((C119-C109)/10)+C116</f>
        <v>0.46479999999999994</v>
      </c>
      <c r="D117" s="177">
        <f t="shared" si="13"/>
        <v>1.4602122653885357</v>
      </c>
      <c r="E117" s="225">
        <f t="shared" si="14"/>
        <v>2.4675602330921174</v>
      </c>
      <c r="F117" s="229">
        <f t="shared" si="15"/>
        <v>2763.6674610631712</v>
      </c>
      <c r="H117" s="204"/>
      <c r="I117" s="206"/>
      <c r="J117" s="123"/>
      <c r="K117" s="88">
        <f>F117-J115</f>
        <v>1603.8420793823129</v>
      </c>
      <c r="L117" s="89"/>
      <c r="M117" s="179"/>
      <c r="N117" s="90">
        <f t="shared" si="22"/>
        <v>1771.581705809725</v>
      </c>
      <c r="O117" s="137"/>
      <c r="P117" s="206"/>
      <c r="Q117" s="123"/>
      <c r="R117" s="88">
        <f>N117-Q115</f>
        <v>1028.1038970399441</v>
      </c>
      <c r="S117" s="92"/>
      <c r="T117" s="125"/>
      <c r="U117" s="94"/>
      <c r="V117" s="126"/>
      <c r="W117" s="127"/>
      <c r="X117" s="128"/>
      <c r="Y117" s="129"/>
      <c r="Z117" s="130"/>
      <c r="AA117" s="131"/>
      <c r="AB117" s="101"/>
      <c r="AC117" s="116"/>
      <c r="AD117" s="132"/>
      <c r="AE117" s="118"/>
      <c r="AF117" s="119"/>
      <c r="AG117" s="133"/>
      <c r="AH117" s="134"/>
      <c r="AI117" s="135"/>
      <c r="AJ117" s="164"/>
      <c r="AK117" s="167">
        <f t="shared" si="16"/>
        <v>0</v>
      </c>
      <c r="AL117" s="174"/>
    </row>
    <row r="118" spans="1:38" x14ac:dyDescent="0.3">
      <c r="A118" s="184">
        <v>114</v>
      </c>
      <c r="B118" s="209">
        <f>((B119-B109)/10)+B117</f>
        <v>29.460000000000004</v>
      </c>
      <c r="C118" s="222">
        <f>((C119-C109)/10)+C117</f>
        <v>0.46839999999999993</v>
      </c>
      <c r="D118" s="177">
        <f t="shared" si="13"/>
        <v>1.471521998941459</v>
      </c>
      <c r="E118" s="225">
        <f t="shared" si="14"/>
        <v>2.5178976538593396</v>
      </c>
      <c r="F118" s="229">
        <f t="shared" si="15"/>
        <v>2820.0453723224605</v>
      </c>
      <c r="H118" s="204"/>
      <c r="I118" s="206"/>
      <c r="J118" s="123"/>
      <c r="K118" s="88">
        <f>F118-J115</f>
        <v>1660.2199906416022</v>
      </c>
      <c r="L118" s="89"/>
      <c r="M118" s="179"/>
      <c r="N118" s="90">
        <f t="shared" si="22"/>
        <v>1807.7213925143976</v>
      </c>
      <c r="O118" s="137"/>
      <c r="P118" s="206"/>
      <c r="Q118" s="123"/>
      <c r="R118" s="88">
        <f>N118-Q115</f>
        <v>1064.2435837446169</v>
      </c>
      <c r="S118" s="92"/>
      <c r="T118" s="125"/>
      <c r="U118" s="94"/>
      <c r="V118" s="126"/>
      <c r="W118" s="127"/>
      <c r="X118" s="128"/>
      <c r="Y118" s="129"/>
      <c r="Z118" s="130"/>
      <c r="AA118" s="131"/>
      <c r="AB118" s="101"/>
      <c r="AC118" s="116"/>
      <c r="AD118" s="132"/>
      <c r="AE118" s="118"/>
      <c r="AF118" s="119"/>
      <c r="AG118" s="133"/>
      <c r="AH118" s="134"/>
      <c r="AI118" s="135"/>
      <c r="AJ118" s="164"/>
      <c r="AK118" s="167">
        <f t="shared" si="16"/>
        <v>0</v>
      </c>
      <c r="AL118" s="174"/>
    </row>
    <row r="119" spans="1:38" x14ac:dyDescent="0.3">
      <c r="A119" s="207">
        <v>115</v>
      </c>
      <c r="B119" s="209">
        <v>29.6</v>
      </c>
      <c r="C119" s="217">
        <v>0.47199999999999998</v>
      </c>
      <c r="D119" s="177">
        <f t="shared" si="13"/>
        <v>1.4828317324943823</v>
      </c>
      <c r="E119" s="225">
        <f t="shared" si="14"/>
        <v>2.5689003989271635</v>
      </c>
      <c r="F119" s="229">
        <f t="shared" si="15"/>
        <v>2877.1684467984232</v>
      </c>
      <c r="H119" s="204"/>
      <c r="I119" s="206"/>
      <c r="J119" s="123"/>
      <c r="K119" s="88">
        <f>F119-J115</f>
        <v>1717.3430651175649</v>
      </c>
      <c r="L119" s="89"/>
      <c r="M119" s="179"/>
      <c r="N119" s="90">
        <f t="shared" si="22"/>
        <v>1844.3387479477071</v>
      </c>
      <c r="O119" s="137"/>
      <c r="P119" s="206"/>
      <c r="Q119" s="123"/>
      <c r="R119" s="88">
        <f>N119-Q115</f>
        <v>1100.8609391779264</v>
      </c>
      <c r="S119" s="92"/>
      <c r="T119" s="125"/>
      <c r="U119" s="94"/>
      <c r="V119" s="126"/>
      <c r="W119" s="127"/>
      <c r="X119" s="128"/>
      <c r="Y119" s="129"/>
      <c r="Z119" s="130"/>
      <c r="AA119" s="131"/>
      <c r="AB119" s="101"/>
      <c r="AC119" s="116"/>
      <c r="AD119" s="132"/>
      <c r="AE119" s="118"/>
      <c r="AF119" s="119"/>
      <c r="AG119" s="133"/>
      <c r="AH119" s="134"/>
      <c r="AI119" s="135"/>
      <c r="AJ119" s="164"/>
      <c r="AK119" s="167">
        <f t="shared" si="16"/>
        <v>0</v>
      </c>
      <c r="AL119" s="174"/>
    </row>
    <row r="120" spans="1:38" x14ac:dyDescent="0.3">
      <c r="A120" s="184">
        <v>116</v>
      </c>
      <c r="B120" s="209">
        <f>((B129-B119)/10)+B119</f>
        <v>29.740000000000002</v>
      </c>
      <c r="C120" s="222">
        <f>((C129-C119)/10)+C119</f>
        <v>0.47599999999999998</v>
      </c>
      <c r="D120" s="177">
        <f t="shared" si="13"/>
        <v>1.4953981031087415</v>
      </c>
      <c r="E120" s="225">
        <f t="shared" si="14"/>
        <v>2.62498259095086</v>
      </c>
      <c r="F120" s="229">
        <f t="shared" si="15"/>
        <v>2939.9805018649631</v>
      </c>
      <c r="H120" s="204"/>
      <c r="I120" s="206"/>
      <c r="J120" s="123"/>
      <c r="K120" s="88">
        <f>F120-J115</f>
        <v>1780.1551201841048</v>
      </c>
      <c r="L120" s="89"/>
      <c r="M120" s="179"/>
      <c r="N120" s="90">
        <f t="shared" si="22"/>
        <v>1884.6028858108737</v>
      </c>
      <c r="O120" s="137"/>
      <c r="P120" s="206"/>
      <c r="Q120" s="123"/>
      <c r="R120" s="88">
        <f>N120-Q115</f>
        <v>1141.1250770410929</v>
      </c>
      <c r="S120" s="92"/>
      <c r="T120" s="125"/>
      <c r="U120" s="94"/>
      <c r="V120" s="126"/>
      <c r="W120" s="127"/>
      <c r="X120" s="128"/>
      <c r="Y120" s="129"/>
      <c r="Z120" s="130"/>
      <c r="AA120" s="131"/>
      <c r="AB120" s="101"/>
      <c r="AC120" s="116"/>
      <c r="AD120" s="132"/>
      <c r="AE120" s="118"/>
      <c r="AF120" s="119"/>
      <c r="AG120" s="133"/>
      <c r="AH120" s="134"/>
      <c r="AI120" s="135"/>
      <c r="AJ120" s="164"/>
      <c r="AK120" s="167">
        <f t="shared" si="16"/>
        <v>0</v>
      </c>
      <c r="AL120" s="174"/>
    </row>
    <row r="121" spans="1:38" x14ac:dyDescent="0.3">
      <c r="A121" s="184">
        <v>117</v>
      </c>
      <c r="B121" s="209">
        <f>((B129-B119)/10)+B120</f>
        <v>29.880000000000003</v>
      </c>
      <c r="C121" s="222">
        <f>((C129-C119)/10)+C120</f>
        <v>0.48</v>
      </c>
      <c r="D121" s="177">
        <f t="shared" si="13"/>
        <v>1.5079644737231006</v>
      </c>
      <c r="E121" s="225">
        <f t="shared" si="14"/>
        <v>2.6818508788228486</v>
      </c>
      <c r="F121" s="229">
        <f t="shared" si="15"/>
        <v>3003.6729842815903</v>
      </c>
      <c r="H121" s="204"/>
      <c r="I121" s="206"/>
      <c r="J121" s="123"/>
      <c r="K121" s="88">
        <f>F121-J115</f>
        <v>1843.847602600732</v>
      </c>
      <c r="L121" s="89"/>
      <c r="M121" s="179"/>
      <c r="N121" s="90">
        <f t="shared" si="22"/>
        <v>1925.4314001805064</v>
      </c>
      <c r="O121" s="137"/>
      <c r="P121" s="206"/>
      <c r="Q121" s="123"/>
      <c r="R121" s="88">
        <f>N121-Q115</f>
        <v>1181.9535914107255</v>
      </c>
      <c r="S121" s="92"/>
      <c r="T121" s="125"/>
      <c r="U121" s="94"/>
      <c r="V121" s="126"/>
      <c r="W121" s="127"/>
      <c r="X121" s="128"/>
      <c r="Y121" s="129"/>
      <c r="Z121" s="130"/>
      <c r="AA121" s="131"/>
      <c r="AB121" s="101"/>
      <c r="AC121" s="116"/>
      <c r="AD121" s="132"/>
      <c r="AE121" s="118"/>
      <c r="AF121" s="119"/>
      <c r="AG121" s="133"/>
      <c r="AH121" s="134"/>
      <c r="AI121" s="135"/>
      <c r="AJ121" s="164"/>
      <c r="AK121" s="167">
        <f t="shared" si="16"/>
        <v>0</v>
      </c>
      <c r="AL121" s="174"/>
    </row>
    <row r="122" spans="1:38" x14ac:dyDescent="0.3">
      <c r="A122" s="184">
        <v>118</v>
      </c>
      <c r="B122" s="209">
        <f>((B129-B119)/10)+B121</f>
        <v>30.020000000000003</v>
      </c>
      <c r="C122" s="222">
        <f>((C129-C119)/10)+C121</f>
        <v>0.48399999999999999</v>
      </c>
      <c r="D122" s="177">
        <f t="shared" si="13"/>
        <v>1.5205308443374599</v>
      </c>
      <c r="E122" s="225">
        <f t="shared" si="14"/>
        <v>2.7395104981957852</v>
      </c>
      <c r="F122" s="229">
        <f t="shared" si="15"/>
        <v>3068.2517579792793</v>
      </c>
      <c r="H122" s="204"/>
      <c r="I122" s="206"/>
      <c r="J122" s="123"/>
      <c r="K122" s="88">
        <f>F122-J115</f>
        <v>1908.426376298421</v>
      </c>
      <c r="L122" s="89"/>
      <c r="M122" s="179"/>
      <c r="N122" s="90">
        <f t="shared" si="22"/>
        <v>1966.8280499867174</v>
      </c>
      <c r="O122" s="137"/>
      <c r="P122" s="206"/>
      <c r="Q122" s="123"/>
      <c r="R122" s="88">
        <f>N122-Q115</f>
        <v>1223.3502412169364</v>
      </c>
      <c r="S122" s="92"/>
      <c r="T122" s="125"/>
      <c r="U122" s="94"/>
      <c r="V122" s="126"/>
      <c r="W122" s="127"/>
      <c r="X122" s="128"/>
      <c r="Y122" s="129"/>
      <c r="Z122" s="130"/>
      <c r="AA122" s="131"/>
      <c r="AB122" s="101"/>
      <c r="AC122" s="116"/>
      <c r="AD122" s="132"/>
      <c r="AE122" s="118"/>
      <c r="AF122" s="119"/>
      <c r="AG122" s="133"/>
      <c r="AH122" s="134"/>
      <c r="AI122" s="135"/>
      <c r="AJ122" s="164"/>
      <c r="AK122" s="167">
        <f t="shared" si="16"/>
        <v>0</v>
      </c>
      <c r="AL122" s="174"/>
    </row>
    <row r="123" spans="1:38" x14ac:dyDescent="0.3">
      <c r="A123" s="184">
        <v>119</v>
      </c>
      <c r="B123" s="209">
        <f>((B129-B119)/10)+B122</f>
        <v>30.160000000000004</v>
      </c>
      <c r="C123" s="222">
        <f>((C129-C119)/10)+C122</f>
        <v>0.48799999999999999</v>
      </c>
      <c r="D123" s="177">
        <f t="shared" si="13"/>
        <v>1.5330972149518189</v>
      </c>
      <c r="E123" s="225">
        <f t="shared" si="14"/>
        <v>2.7979666847223208</v>
      </c>
      <c r="F123" s="229">
        <f t="shared" si="15"/>
        <v>3133.7226868889993</v>
      </c>
      <c r="H123" s="204"/>
      <c r="I123" s="206"/>
      <c r="J123" s="123"/>
      <c r="K123" s="88">
        <f>F123-J115</f>
        <v>1973.897305208141</v>
      </c>
      <c r="L123" s="89"/>
      <c r="M123" s="179"/>
      <c r="N123" s="90">
        <f t="shared" si="22"/>
        <v>2008.7965941596149</v>
      </c>
      <c r="O123" s="137"/>
      <c r="P123" s="206"/>
      <c r="Q123" s="123"/>
      <c r="R123" s="88">
        <f>N123-Q115</f>
        <v>1265.3187853898339</v>
      </c>
      <c r="S123" s="92"/>
      <c r="T123" s="125"/>
      <c r="U123" s="94"/>
      <c r="V123" s="126"/>
      <c r="W123" s="127"/>
      <c r="X123" s="128"/>
      <c r="Y123" s="129"/>
      <c r="Z123" s="130"/>
      <c r="AA123" s="131"/>
      <c r="AB123" s="101"/>
      <c r="AC123" s="116"/>
      <c r="AD123" s="132"/>
      <c r="AE123" s="118"/>
      <c r="AF123" s="119"/>
      <c r="AG123" s="133"/>
      <c r="AH123" s="134"/>
      <c r="AI123" s="135"/>
      <c r="AJ123" s="164"/>
      <c r="AK123" s="167">
        <f t="shared" si="16"/>
        <v>0</v>
      </c>
      <c r="AL123" s="174"/>
    </row>
    <row r="124" spans="1:38" x14ac:dyDescent="0.3">
      <c r="A124" s="184">
        <v>120</v>
      </c>
      <c r="B124" s="209">
        <f>((B129-B119)/10)+B123</f>
        <v>30.300000000000004</v>
      </c>
      <c r="C124" s="222">
        <f>((C129-C119)/10)+C123</f>
        <v>0.49199999999999999</v>
      </c>
      <c r="D124" s="177">
        <f t="shared" si="13"/>
        <v>1.5456635855661782</v>
      </c>
      <c r="E124" s="225">
        <f t="shared" si="14"/>
        <v>2.8572246740551086</v>
      </c>
      <c r="F124" s="229">
        <f t="shared" si="15"/>
        <v>3200.0916349417216</v>
      </c>
      <c r="H124" s="204"/>
      <c r="I124" s="206"/>
      <c r="J124" s="123"/>
      <c r="K124" s="88">
        <f>F124-J115</f>
        <v>2040.2662532608633</v>
      </c>
      <c r="L124" s="89"/>
      <c r="M124" s="179"/>
      <c r="N124" s="90">
        <f t="shared" si="22"/>
        <v>2051.3407916293086</v>
      </c>
      <c r="O124" s="137"/>
      <c r="P124" s="206"/>
      <c r="Q124" s="123"/>
      <c r="R124" s="88">
        <f>N124-Q115</f>
        <v>1307.8629828595276</v>
      </c>
      <c r="S124" s="92"/>
      <c r="T124" s="125"/>
      <c r="U124" s="94"/>
      <c r="V124" s="126"/>
      <c r="W124" s="127"/>
      <c r="X124" s="128"/>
      <c r="Y124" s="129"/>
      <c r="Z124" s="130"/>
      <c r="AA124" s="131"/>
      <c r="AB124" s="101"/>
      <c r="AC124" s="116"/>
      <c r="AD124" s="132"/>
      <c r="AE124" s="118"/>
      <c r="AF124" s="119"/>
      <c r="AG124" s="133"/>
      <c r="AH124" s="134"/>
      <c r="AI124" s="135"/>
      <c r="AJ124" s="164"/>
      <c r="AK124" s="167">
        <f t="shared" si="16"/>
        <v>0</v>
      </c>
      <c r="AL124" s="174"/>
    </row>
    <row r="125" spans="1:38" x14ac:dyDescent="0.3">
      <c r="A125" s="184">
        <v>121</v>
      </c>
      <c r="B125" s="209">
        <f>((B129-B119)/10)+B124</f>
        <v>30.440000000000005</v>
      </c>
      <c r="C125" s="222">
        <f>((C129-C119)/10)+C124</f>
        <v>0.496</v>
      </c>
      <c r="D125" s="177">
        <f t="shared" si="13"/>
        <v>1.5582299561805373</v>
      </c>
      <c r="E125" s="225">
        <f t="shared" si="14"/>
        <v>2.9172897018468014</v>
      </c>
      <c r="F125" s="229">
        <f t="shared" si="15"/>
        <v>3267.3644660684176</v>
      </c>
      <c r="H125" s="204"/>
      <c r="I125" s="206"/>
      <c r="J125" s="123"/>
      <c r="K125" s="88">
        <f>F125-J115</f>
        <v>2107.5390843875593</v>
      </c>
      <c r="L125" s="89"/>
      <c r="M125" s="179"/>
      <c r="N125" s="90">
        <f t="shared" si="22"/>
        <v>2094.4644013259085</v>
      </c>
      <c r="O125" s="137"/>
      <c r="P125" s="206"/>
      <c r="Q125" s="123"/>
      <c r="R125" s="88">
        <f>N125-Q115</f>
        <v>1350.9865925561276</v>
      </c>
      <c r="S125" s="92"/>
      <c r="T125" s="125"/>
      <c r="U125" s="94"/>
      <c r="V125" s="126"/>
      <c r="W125" s="127"/>
      <c r="X125" s="128"/>
      <c r="Y125" s="129"/>
      <c r="Z125" s="130"/>
      <c r="AA125" s="131"/>
      <c r="AB125" s="101"/>
      <c r="AC125" s="116"/>
      <c r="AD125" s="132"/>
      <c r="AE125" s="118"/>
      <c r="AF125" s="119"/>
      <c r="AG125" s="133"/>
      <c r="AH125" s="134"/>
      <c r="AI125" s="135"/>
      <c r="AJ125" s="164"/>
      <c r="AK125" s="167">
        <f t="shared" si="16"/>
        <v>0</v>
      </c>
      <c r="AL125" s="174"/>
    </row>
    <row r="126" spans="1:38" x14ac:dyDescent="0.3">
      <c r="A126" s="184">
        <v>122</v>
      </c>
      <c r="B126" s="209">
        <f>((B129-B119)/10)+B125</f>
        <v>30.580000000000005</v>
      </c>
      <c r="C126" s="222">
        <f>((C129-C119)/10)+C125</f>
        <v>0.5</v>
      </c>
      <c r="D126" s="177">
        <f t="shared" si="13"/>
        <v>1.5707963267948966</v>
      </c>
      <c r="E126" s="225">
        <f t="shared" si="14"/>
        <v>2.9781670037500527</v>
      </c>
      <c r="F126" s="229">
        <f t="shared" si="15"/>
        <v>3335.5470442000592</v>
      </c>
      <c r="H126" s="204"/>
      <c r="I126" s="206"/>
      <c r="J126" s="123"/>
      <c r="K126" s="88">
        <f>F126-J115</f>
        <v>2175.7216625192009</v>
      </c>
      <c r="L126" s="89"/>
      <c r="M126" s="179"/>
      <c r="N126" s="90">
        <f t="shared" si="22"/>
        <v>2138.1711821795252</v>
      </c>
      <c r="O126" s="137"/>
      <c r="P126" s="206"/>
      <c r="Q126" s="123"/>
      <c r="R126" s="88">
        <f>N126-Q115</f>
        <v>1394.6933734097443</v>
      </c>
      <c r="S126" s="92"/>
      <c r="T126" s="125"/>
      <c r="U126" s="94"/>
      <c r="V126" s="126"/>
      <c r="W126" s="127"/>
      <c r="X126" s="128"/>
      <c r="Y126" s="129"/>
      <c r="Z126" s="130"/>
      <c r="AA126" s="131"/>
      <c r="AB126" s="101"/>
      <c r="AC126" s="116"/>
      <c r="AD126" s="132"/>
      <c r="AE126" s="118"/>
      <c r="AF126" s="119"/>
      <c r="AG126" s="133"/>
      <c r="AH126" s="134"/>
      <c r="AI126" s="135"/>
      <c r="AJ126" s="164"/>
      <c r="AK126" s="167">
        <f t="shared" si="16"/>
        <v>0</v>
      </c>
      <c r="AL126" s="174"/>
    </row>
    <row r="127" spans="1:38" x14ac:dyDescent="0.3">
      <c r="A127" s="184">
        <v>123</v>
      </c>
      <c r="B127" s="209">
        <f>((B129-B119)/10)+B126</f>
        <v>30.720000000000006</v>
      </c>
      <c r="C127" s="222">
        <f>((C129-C119)/10)+C126</f>
        <v>0.504</v>
      </c>
      <c r="D127" s="177">
        <f t="shared" si="13"/>
        <v>1.5833626974092558</v>
      </c>
      <c r="E127" s="225">
        <f t="shared" si="14"/>
        <v>3.0398618154175137</v>
      </c>
      <c r="F127" s="229">
        <f t="shared" si="15"/>
        <v>3404.6452332676154</v>
      </c>
      <c r="H127" s="204"/>
      <c r="I127" s="206"/>
      <c r="J127" s="123"/>
      <c r="K127" s="88">
        <f>F127-J115</f>
        <v>2244.8198515867571</v>
      </c>
      <c r="L127" s="89"/>
      <c r="M127" s="179"/>
      <c r="N127" s="90">
        <f t="shared" si="22"/>
        <v>2182.464893120266</v>
      </c>
      <c r="O127" s="137"/>
      <c r="P127" s="206"/>
      <c r="Q127" s="123"/>
      <c r="R127" s="88">
        <f>N127-Q115</f>
        <v>1438.987084350485</v>
      </c>
      <c r="S127" s="92"/>
      <c r="T127" s="125"/>
      <c r="U127" s="94"/>
      <c r="V127" s="126"/>
      <c r="W127" s="127"/>
      <c r="X127" s="128"/>
      <c r="Y127" s="129"/>
      <c r="Z127" s="130"/>
      <c r="AA127" s="131"/>
      <c r="AB127" s="101"/>
      <c r="AC127" s="116"/>
      <c r="AD127" s="132"/>
      <c r="AE127" s="118"/>
      <c r="AF127" s="119"/>
      <c r="AG127" s="133"/>
      <c r="AH127" s="134"/>
      <c r="AI127" s="135"/>
      <c r="AJ127" s="164"/>
      <c r="AK127" s="167">
        <f t="shared" si="16"/>
        <v>0</v>
      </c>
      <c r="AL127" s="174"/>
    </row>
    <row r="128" spans="1:38" x14ac:dyDescent="0.3">
      <c r="A128" s="184">
        <v>124</v>
      </c>
      <c r="B128" s="209">
        <f>((B129-B119)/10)+B127</f>
        <v>30.860000000000007</v>
      </c>
      <c r="C128" s="222">
        <f>((C129-C119)/10)+C127</f>
        <v>0.50800000000000001</v>
      </c>
      <c r="D128" s="177">
        <f t="shared" si="13"/>
        <v>1.5959290680236149</v>
      </c>
      <c r="E128" s="225">
        <f t="shared" si="14"/>
        <v>3.1023793725018383</v>
      </c>
      <c r="F128" s="229">
        <f t="shared" si="15"/>
        <v>3474.6648972020589</v>
      </c>
      <c r="H128" s="204"/>
      <c r="I128" s="206"/>
      <c r="J128" s="123"/>
      <c r="K128" s="88">
        <f>F128-J115</f>
        <v>2314.8395155212006</v>
      </c>
      <c r="L128" s="89"/>
      <c r="M128" s="179"/>
      <c r="N128" s="90">
        <f t="shared" si="22"/>
        <v>2227.3492930782427</v>
      </c>
      <c r="O128" s="137"/>
      <c r="P128" s="206"/>
      <c r="Q128" s="123"/>
      <c r="R128" s="88">
        <f>N128-Q115</f>
        <v>1483.8714843084617</v>
      </c>
      <c r="S128" s="92"/>
      <c r="T128" s="125"/>
      <c r="U128" s="94"/>
      <c r="V128" s="126"/>
      <c r="W128" s="127"/>
      <c r="X128" s="128"/>
      <c r="Y128" s="129"/>
      <c r="Z128" s="130"/>
      <c r="AA128" s="131"/>
      <c r="AB128" s="101"/>
      <c r="AC128" s="116"/>
      <c r="AD128" s="132"/>
      <c r="AE128" s="118"/>
      <c r="AF128" s="119"/>
      <c r="AG128" s="133"/>
      <c r="AH128" s="134"/>
      <c r="AI128" s="135"/>
      <c r="AJ128" s="164"/>
      <c r="AK128" s="167">
        <f t="shared" si="16"/>
        <v>0</v>
      </c>
      <c r="AL128" s="174"/>
    </row>
    <row r="129" spans="1:38" x14ac:dyDescent="0.3">
      <c r="A129" s="207">
        <v>125</v>
      </c>
      <c r="B129" s="209">
        <v>31</v>
      </c>
      <c r="C129" s="217">
        <v>0.51200000000000001</v>
      </c>
      <c r="D129" s="177">
        <f t="shared" si="13"/>
        <v>1.6084954386379742</v>
      </c>
      <c r="E129" s="225">
        <f t="shared" si="14"/>
        <v>3.1657249106556788</v>
      </c>
      <c r="F129" s="229">
        <f t="shared" si="15"/>
        <v>3545.6118999343603</v>
      </c>
      <c r="H129" s="203">
        <v>0.2</v>
      </c>
      <c r="I129" s="206">
        <f>H129*(F129-J115)</f>
        <v>477.15730365070044</v>
      </c>
      <c r="J129" s="123">
        <f>I129+J115</f>
        <v>1636.9826853315587</v>
      </c>
      <c r="K129" s="88">
        <f>F129-J129</f>
        <v>1908.6292146028015</v>
      </c>
      <c r="L129" s="89"/>
      <c r="M129" s="179"/>
      <c r="N129" s="90">
        <f t="shared" si="22"/>
        <v>2272.828140983564</v>
      </c>
      <c r="O129" s="137">
        <v>0.2</v>
      </c>
      <c r="P129" s="206">
        <f>O129*(N129-Q115)</f>
        <v>305.87006644275664</v>
      </c>
      <c r="Q129" s="123">
        <f>P129+Q115</f>
        <v>1049.3478752125375</v>
      </c>
      <c r="R129" s="88">
        <f>N129-Q129</f>
        <v>1223.4802657710266</v>
      </c>
      <c r="S129" s="92"/>
      <c r="T129" s="125">
        <f>P129*10%</f>
        <v>30.587006644275665</v>
      </c>
      <c r="U129" s="94">
        <f t="shared" si="17"/>
        <v>29.05765631206188</v>
      </c>
      <c r="V129" s="126">
        <v>8</v>
      </c>
      <c r="W129" s="127">
        <f t="shared" ref="W129:W144" si="26">T129*V129</f>
        <v>244.69605315420532</v>
      </c>
      <c r="X129" s="128">
        <v>0.4</v>
      </c>
      <c r="Y129" s="129">
        <v>0.6</v>
      </c>
      <c r="Z129" s="130"/>
      <c r="AA129" s="131">
        <f>P129*10%</f>
        <v>30.587006644275665</v>
      </c>
      <c r="AB129" s="101">
        <f t="shared" si="23"/>
        <v>171.2872372079438</v>
      </c>
      <c r="AC129" s="116">
        <f t="shared" si="24"/>
        <v>336.45707308703248</v>
      </c>
      <c r="AD129" s="132">
        <v>8</v>
      </c>
      <c r="AE129" s="118">
        <f t="shared" si="25"/>
        <v>2691.6565846962599</v>
      </c>
      <c r="AF129" s="119"/>
      <c r="AG129" s="133">
        <f>P129*80%</f>
        <v>244.69605315420532</v>
      </c>
      <c r="AH129" s="134">
        <v>150</v>
      </c>
      <c r="AI129" s="135">
        <f t="shared" ref="AI129:AI144" si="27">AG129*AH129</f>
        <v>36704.407973130794</v>
      </c>
      <c r="AJ129" s="164"/>
      <c r="AK129" s="167">
        <f t="shared" si="16"/>
        <v>39640.760610981262</v>
      </c>
      <c r="AL129" s="174"/>
    </row>
    <row r="130" spans="1:38" x14ac:dyDescent="0.3">
      <c r="A130" s="184">
        <v>126</v>
      </c>
      <c r="B130" s="209">
        <f>((B139-B129)/10)+B129</f>
        <v>31.13</v>
      </c>
      <c r="C130" s="222">
        <f>((C139-C129)/10)+C129</f>
        <v>0.51590000000000003</v>
      </c>
      <c r="D130" s="177">
        <f t="shared" si="13"/>
        <v>1.6207476499869744</v>
      </c>
      <c r="E130" s="225">
        <f t="shared" si="14"/>
        <v>3.2276150679906772</v>
      </c>
      <c r="F130" s="229">
        <f t="shared" si="15"/>
        <v>3614.9288761495586</v>
      </c>
      <c r="H130" s="204"/>
      <c r="I130" s="206"/>
      <c r="J130" s="123"/>
      <c r="K130" s="88">
        <f>F130-J129</f>
        <v>1977.9461908179999</v>
      </c>
      <c r="L130" s="89"/>
      <c r="M130" s="179"/>
      <c r="N130" s="90">
        <f t="shared" si="22"/>
        <v>2317.2621000958707</v>
      </c>
      <c r="O130" s="137"/>
      <c r="P130" s="206"/>
      <c r="Q130" s="123"/>
      <c r="R130" s="88">
        <f>N130-Q129</f>
        <v>1267.9142248833332</v>
      </c>
      <c r="S130" s="92"/>
      <c r="T130" s="125"/>
      <c r="U130" s="94"/>
      <c r="V130" s="126"/>
      <c r="W130" s="127"/>
      <c r="X130" s="128"/>
      <c r="Y130" s="129"/>
      <c r="Z130" s="130"/>
      <c r="AA130" s="131"/>
      <c r="AB130" s="101"/>
      <c r="AC130" s="116"/>
      <c r="AD130" s="132"/>
      <c r="AE130" s="118"/>
      <c r="AF130" s="119"/>
      <c r="AG130" s="133"/>
      <c r="AH130" s="134"/>
      <c r="AI130" s="135"/>
      <c r="AJ130" s="164"/>
      <c r="AK130" s="167">
        <f t="shared" si="16"/>
        <v>0</v>
      </c>
      <c r="AL130" s="174"/>
    </row>
    <row r="131" spans="1:38" x14ac:dyDescent="0.3">
      <c r="A131" s="184">
        <v>127</v>
      </c>
      <c r="B131" s="209">
        <f>((B139-B129)/10)+B130</f>
        <v>31.259999999999998</v>
      </c>
      <c r="C131" s="222">
        <f>((C139-C129)/10)+C130</f>
        <v>0.51980000000000004</v>
      </c>
      <c r="D131" s="177">
        <f t="shared" si="13"/>
        <v>1.6329998613359746</v>
      </c>
      <c r="E131" s="225">
        <f t="shared" si="14"/>
        <v>3.2902816990260777</v>
      </c>
      <c r="F131" s="229">
        <f t="shared" si="15"/>
        <v>3685.115502909207</v>
      </c>
      <c r="H131" s="204"/>
      <c r="I131" s="206"/>
      <c r="J131" s="123"/>
      <c r="K131" s="88">
        <f>F131-J129</f>
        <v>2048.132817577648</v>
      </c>
      <c r="L131" s="89"/>
      <c r="M131" s="179"/>
      <c r="N131" s="90">
        <f t="shared" si="22"/>
        <v>2362.2535275059017</v>
      </c>
      <c r="O131" s="137"/>
      <c r="P131" s="206"/>
      <c r="Q131" s="123"/>
      <c r="R131" s="88">
        <f>N131-Q129</f>
        <v>1312.9056522933643</v>
      </c>
      <c r="S131" s="92"/>
      <c r="T131" s="125"/>
      <c r="U131" s="94"/>
      <c r="V131" s="126"/>
      <c r="W131" s="127"/>
      <c r="X131" s="128"/>
      <c r="Y131" s="129"/>
      <c r="Z131" s="130"/>
      <c r="AA131" s="131"/>
      <c r="AB131" s="101"/>
      <c r="AC131" s="116"/>
      <c r="AD131" s="132"/>
      <c r="AE131" s="118"/>
      <c r="AF131" s="119"/>
      <c r="AG131" s="133"/>
      <c r="AH131" s="134"/>
      <c r="AI131" s="135"/>
      <c r="AJ131" s="164"/>
      <c r="AK131" s="167">
        <f t="shared" si="16"/>
        <v>0</v>
      </c>
      <c r="AL131" s="174"/>
    </row>
    <row r="132" spans="1:38" x14ac:dyDescent="0.3">
      <c r="A132" s="184">
        <v>128</v>
      </c>
      <c r="B132" s="209">
        <f>((B139-B129)/10)+B131</f>
        <v>31.389999999999997</v>
      </c>
      <c r="C132" s="222">
        <f>((C139-C129)/10)+C131</f>
        <v>0.52370000000000005</v>
      </c>
      <c r="D132" s="177">
        <f t="shared" si="13"/>
        <v>1.6452520726849749</v>
      </c>
      <c r="E132" s="225">
        <f t="shared" si="14"/>
        <v>3.35372942539402</v>
      </c>
      <c r="F132" s="229">
        <f t="shared" si="15"/>
        <v>3756.1769564413025</v>
      </c>
      <c r="H132" s="204"/>
      <c r="I132" s="206"/>
      <c r="J132" s="123"/>
      <c r="K132" s="88">
        <f>F132-J129</f>
        <v>2119.1942711097436</v>
      </c>
      <c r="L132" s="89"/>
      <c r="M132" s="179"/>
      <c r="N132" s="90">
        <f t="shared" ref="N132:N144" si="28">F132/1.56</f>
        <v>2407.8057413085271</v>
      </c>
      <c r="O132" s="137"/>
      <c r="P132" s="206"/>
      <c r="Q132" s="123"/>
      <c r="R132" s="88">
        <f>N132-Q129</f>
        <v>1358.4578660959896</v>
      </c>
      <c r="S132" s="92"/>
      <c r="T132" s="125"/>
      <c r="U132" s="94"/>
      <c r="V132" s="126"/>
      <c r="W132" s="127"/>
      <c r="X132" s="128"/>
      <c r="Y132" s="129"/>
      <c r="Z132" s="130"/>
      <c r="AA132" s="131"/>
      <c r="AB132" s="101"/>
      <c r="AC132" s="116"/>
      <c r="AD132" s="132"/>
      <c r="AE132" s="118"/>
      <c r="AF132" s="119"/>
      <c r="AG132" s="133"/>
      <c r="AH132" s="134"/>
      <c r="AI132" s="135"/>
      <c r="AJ132" s="164"/>
      <c r="AK132" s="167">
        <f t="shared" si="16"/>
        <v>0</v>
      </c>
      <c r="AL132" s="174"/>
    </row>
    <row r="133" spans="1:38" x14ac:dyDescent="0.3">
      <c r="A133" s="184">
        <v>129</v>
      </c>
      <c r="B133" s="209">
        <f>((B139-B129)/10)+B132</f>
        <v>31.519999999999996</v>
      </c>
      <c r="C133" s="222">
        <f>((C139-C129)/10)+C132</f>
        <v>0.52760000000000007</v>
      </c>
      <c r="D133" s="177">
        <f t="shared" ref="D133:D144" si="29">C133*PI()</f>
        <v>1.6575042840339751</v>
      </c>
      <c r="E133" s="225">
        <f t="shared" ref="E133:E144" si="30">(D133^2/(4*PI()))*B133*0.496</f>
        <v>3.4179628687266423</v>
      </c>
      <c r="F133" s="229">
        <f t="shared" ref="F133:F144" si="31">E133*1120</f>
        <v>3828.1184129738394</v>
      </c>
      <c r="H133" s="204"/>
      <c r="I133" s="206"/>
      <c r="J133" s="123"/>
      <c r="K133" s="88">
        <f>F133-J129</f>
        <v>2191.1357276422805</v>
      </c>
      <c r="L133" s="89"/>
      <c r="M133" s="179"/>
      <c r="N133" s="90">
        <f t="shared" si="28"/>
        <v>2453.9220595986149</v>
      </c>
      <c r="O133" s="137"/>
      <c r="P133" s="206"/>
      <c r="Q133" s="123"/>
      <c r="R133" s="88">
        <f>N133-Q129</f>
        <v>1404.5741843860774</v>
      </c>
      <c r="S133" s="92"/>
      <c r="T133" s="125"/>
      <c r="U133" s="94"/>
      <c r="V133" s="126"/>
      <c r="W133" s="127"/>
      <c r="X133" s="128"/>
      <c r="Y133" s="129"/>
      <c r="Z133" s="130"/>
      <c r="AA133" s="131"/>
      <c r="AB133" s="101"/>
      <c r="AC133" s="116"/>
      <c r="AD133" s="132"/>
      <c r="AE133" s="118"/>
      <c r="AF133" s="119"/>
      <c r="AG133" s="133"/>
      <c r="AH133" s="134"/>
      <c r="AI133" s="135"/>
      <c r="AJ133" s="164"/>
      <c r="AK133" s="167">
        <f t="shared" ref="AK133:AK144" si="32">W133+AE133+AI133</f>
        <v>0</v>
      </c>
      <c r="AL133" s="174"/>
    </row>
    <row r="134" spans="1:38" x14ac:dyDescent="0.3">
      <c r="A134" s="184">
        <v>130</v>
      </c>
      <c r="B134" s="209">
        <f>((B139-B129)/10)+B133</f>
        <v>31.649999999999995</v>
      </c>
      <c r="C134" s="222">
        <f>((C139-C129)/10)+C133</f>
        <v>0.53150000000000008</v>
      </c>
      <c r="D134" s="177">
        <f t="shared" si="29"/>
        <v>1.6697564953829753</v>
      </c>
      <c r="E134" s="225">
        <f t="shared" si="30"/>
        <v>3.4829866506560831</v>
      </c>
      <c r="F134" s="229">
        <f t="shared" si="31"/>
        <v>3900.9450487348131</v>
      </c>
      <c r="H134" s="204"/>
      <c r="I134" s="206"/>
      <c r="J134" s="123"/>
      <c r="K134" s="88">
        <f>F134-J129</f>
        <v>2263.9623634032541</v>
      </c>
      <c r="L134" s="89"/>
      <c r="M134" s="179"/>
      <c r="N134" s="90">
        <f t="shared" si="28"/>
        <v>2500.6058004710339</v>
      </c>
      <c r="O134" s="137"/>
      <c r="P134" s="206"/>
      <c r="Q134" s="123"/>
      <c r="R134" s="88">
        <f>N134-Q129</f>
        <v>1451.2579252584965</v>
      </c>
      <c r="S134" s="92"/>
      <c r="T134" s="125"/>
      <c r="U134" s="94"/>
      <c r="V134" s="126"/>
      <c r="W134" s="127"/>
      <c r="X134" s="128"/>
      <c r="Y134" s="129"/>
      <c r="Z134" s="130"/>
      <c r="AA134" s="131"/>
      <c r="AB134" s="101"/>
      <c r="AC134" s="116"/>
      <c r="AD134" s="132"/>
      <c r="AE134" s="118"/>
      <c r="AF134" s="119"/>
      <c r="AG134" s="133"/>
      <c r="AH134" s="134"/>
      <c r="AI134" s="135"/>
      <c r="AJ134" s="164"/>
      <c r="AK134" s="167">
        <f t="shared" si="32"/>
        <v>0</v>
      </c>
      <c r="AL134" s="174"/>
    </row>
    <row r="135" spans="1:38" x14ac:dyDescent="0.3">
      <c r="A135" s="184">
        <v>131</v>
      </c>
      <c r="B135" s="209">
        <f>((B139-B129)/10)+B134</f>
        <v>31.779999999999994</v>
      </c>
      <c r="C135" s="222">
        <f>((C139-C129)/10)+C134</f>
        <v>0.5354000000000001</v>
      </c>
      <c r="D135" s="177">
        <f t="shared" si="29"/>
        <v>1.6820087067319756</v>
      </c>
      <c r="E135" s="225">
        <f t="shared" si="30"/>
        <v>3.548805392814482</v>
      </c>
      <c r="F135" s="229">
        <f t="shared" si="31"/>
        <v>3974.6620399522199</v>
      </c>
      <c r="H135" s="204"/>
      <c r="I135" s="206"/>
      <c r="J135" s="123"/>
      <c r="K135" s="88">
        <f>F135-J129</f>
        <v>2337.6793546206609</v>
      </c>
      <c r="L135" s="89"/>
      <c r="M135" s="179"/>
      <c r="N135" s="90">
        <f t="shared" si="28"/>
        <v>2547.8602820206538</v>
      </c>
      <c r="O135" s="137"/>
      <c r="P135" s="206"/>
      <c r="Q135" s="123"/>
      <c r="R135" s="88">
        <f>N135-Q129</f>
        <v>1498.5124068081163</v>
      </c>
      <c r="S135" s="92"/>
      <c r="T135" s="125"/>
      <c r="U135" s="94"/>
      <c r="V135" s="126"/>
      <c r="W135" s="127"/>
      <c r="X135" s="128"/>
      <c r="Y135" s="129"/>
      <c r="Z135" s="130"/>
      <c r="AA135" s="131"/>
      <c r="AB135" s="101"/>
      <c r="AC135" s="116"/>
      <c r="AD135" s="132"/>
      <c r="AE135" s="118"/>
      <c r="AF135" s="119"/>
      <c r="AG135" s="133"/>
      <c r="AH135" s="134"/>
      <c r="AI135" s="135"/>
      <c r="AJ135" s="164"/>
      <c r="AK135" s="167">
        <f t="shared" si="32"/>
        <v>0</v>
      </c>
      <c r="AL135" s="174"/>
    </row>
    <row r="136" spans="1:38" x14ac:dyDescent="0.3">
      <c r="A136" s="184">
        <v>132</v>
      </c>
      <c r="B136" s="209">
        <f>((B139-B129)/10)+B135</f>
        <v>31.909999999999993</v>
      </c>
      <c r="C136" s="222">
        <f>((C139-C129)/10)+C135</f>
        <v>0.53930000000000011</v>
      </c>
      <c r="D136" s="177">
        <f t="shared" si="29"/>
        <v>1.6942609180809758</v>
      </c>
      <c r="E136" s="225">
        <f t="shared" si="30"/>
        <v>3.6154237168339756</v>
      </c>
      <c r="F136" s="229">
        <f t="shared" si="31"/>
        <v>4049.2745628540524</v>
      </c>
      <c r="H136" s="204"/>
      <c r="I136" s="206"/>
      <c r="J136" s="123"/>
      <c r="K136" s="88">
        <f>F136-J129</f>
        <v>2412.2918775224935</v>
      </c>
      <c r="L136" s="89"/>
      <c r="M136" s="179"/>
      <c r="N136" s="90">
        <f t="shared" si="28"/>
        <v>2595.6888223423412</v>
      </c>
      <c r="O136" s="137"/>
      <c r="P136" s="206"/>
      <c r="Q136" s="123"/>
      <c r="R136" s="88">
        <f>N136-Q129</f>
        <v>1546.3409471298037</v>
      </c>
      <c r="S136" s="92"/>
      <c r="T136" s="125"/>
      <c r="U136" s="94"/>
      <c r="V136" s="126"/>
      <c r="W136" s="127"/>
      <c r="X136" s="128"/>
      <c r="Y136" s="129"/>
      <c r="Z136" s="130"/>
      <c r="AA136" s="131"/>
      <c r="AB136" s="101"/>
      <c r="AC136" s="116"/>
      <c r="AD136" s="132"/>
      <c r="AE136" s="118"/>
      <c r="AF136" s="119"/>
      <c r="AG136" s="133"/>
      <c r="AH136" s="134"/>
      <c r="AI136" s="135"/>
      <c r="AJ136" s="164"/>
      <c r="AK136" s="167">
        <f t="shared" si="32"/>
        <v>0</v>
      </c>
      <c r="AL136" s="174"/>
    </row>
    <row r="137" spans="1:38" x14ac:dyDescent="0.3">
      <c r="A137" s="184">
        <v>133</v>
      </c>
      <c r="B137" s="209">
        <f>((B139-B129)/10)+B136</f>
        <v>32.039999999999992</v>
      </c>
      <c r="C137" s="222">
        <f>((C139-C129)/10)+C136</f>
        <v>0.54320000000000013</v>
      </c>
      <c r="D137" s="177">
        <f t="shared" si="29"/>
        <v>1.706513129429976</v>
      </c>
      <c r="E137" s="225">
        <f t="shared" si="30"/>
        <v>3.6828462443467034</v>
      </c>
      <c r="F137" s="229">
        <f t="shared" si="31"/>
        <v>4124.787793668308</v>
      </c>
      <c r="H137" s="204"/>
      <c r="I137" s="206"/>
      <c r="J137" s="123"/>
      <c r="K137" s="88">
        <f>F137-J129</f>
        <v>2487.8051083367491</v>
      </c>
      <c r="L137" s="89"/>
      <c r="M137" s="179"/>
      <c r="N137" s="90">
        <f t="shared" si="28"/>
        <v>2644.0947395309668</v>
      </c>
      <c r="O137" s="137"/>
      <c r="P137" s="206"/>
      <c r="Q137" s="123"/>
      <c r="R137" s="88">
        <f>N137-Q129</f>
        <v>1594.7468643184293</v>
      </c>
      <c r="S137" s="92"/>
      <c r="T137" s="125"/>
      <c r="U137" s="94"/>
      <c r="V137" s="126"/>
      <c r="W137" s="127"/>
      <c r="X137" s="128"/>
      <c r="Y137" s="129"/>
      <c r="Z137" s="130"/>
      <c r="AA137" s="131"/>
      <c r="AB137" s="101"/>
      <c r="AC137" s="116"/>
      <c r="AD137" s="132"/>
      <c r="AE137" s="118"/>
      <c r="AF137" s="119"/>
      <c r="AG137" s="133"/>
      <c r="AH137" s="134"/>
      <c r="AI137" s="135"/>
      <c r="AJ137" s="164"/>
      <c r="AK137" s="167">
        <f t="shared" si="32"/>
        <v>0</v>
      </c>
      <c r="AL137" s="174"/>
    </row>
    <row r="138" spans="1:38" x14ac:dyDescent="0.3">
      <c r="A138" s="184">
        <v>134</v>
      </c>
      <c r="B138" s="209">
        <f>((B139-B129)/10)+B137</f>
        <v>32.169999999999995</v>
      </c>
      <c r="C138" s="222">
        <f>((C139-C129)/10)+C137</f>
        <v>0.54710000000000014</v>
      </c>
      <c r="D138" s="177">
        <f t="shared" si="29"/>
        <v>1.7187653407789762</v>
      </c>
      <c r="E138" s="225">
        <f t="shared" si="30"/>
        <v>3.7510775969848051</v>
      </c>
      <c r="F138" s="229">
        <f t="shared" si="31"/>
        <v>4201.2069086229822</v>
      </c>
      <c r="H138" s="204"/>
      <c r="I138" s="206"/>
      <c r="J138" s="123"/>
      <c r="K138" s="88">
        <f>F138-J129</f>
        <v>2564.2242232914232</v>
      </c>
      <c r="L138" s="89"/>
      <c r="M138" s="179"/>
      <c r="N138" s="90">
        <f t="shared" si="28"/>
        <v>2693.0813516813987</v>
      </c>
      <c r="O138" s="137"/>
      <c r="P138" s="206"/>
      <c r="Q138" s="123"/>
      <c r="R138" s="88">
        <f>N138-Q129</f>
        <v>1643.7334764688612</v>
      </c>
      <c r="S138" s="92"/>
      <c r="T138" s="125"/>
      <c r="U138" s="94"/>
      <c r="V138" s="126"/>
      <c r="W138" s="127"/>
      <c r="X138" s="128"/>
      <c r="Y138" s="129"/>
      <c r="Z138" s="130"/>
      <c r="AA138" s="131"/>
      <c r="AB138" s="101"/>
      <c r="AC138" s="116"/>
      <c r="AD138" s="132"/>
      <c r="AE138" s="118"/>
      <c r="AF138" s="119"/>
      <c r="AG138" s="133"/>
      <c r="AH138" s="134"/>
      <c r="AI138" s="135"/>
      <c r="AJ138" s="164"/>
      <c r="AK138" s="167">
        <f t="shared" si="32"/>
        <v>0</v>
      </c>
      <c r="AL138" s="174"/>
    </row>
    <row r="139" spans="1:38" x14ac:dyDescent="0.3">
      <c r="A139" s="207">
        <v>135</v>
      </c>
      <c r="B139" s="209">
        <v>32.299999999999997</v>
      </c>
      <c r="C139" s="217">
        <v>0.55100000000000005</v>
      </c>
      <c r="D139" s="177">
        <f t="shared" si="29"/>
        <v>1.7310175521279763</v>
      </c>
      <c r="E139" s="225">
        <f t="shared" si="30"/>
        <v>3.820122396380417</v>
      </c>
      <c r="F139" s="229">
        <f t="shared" si="31"/>
        <v>4278.5370839460666</v>
      </c>
      <c r="H139" s="204"/>
      <c r="I139" s="206"/>
      <c r="J139" s="123"/>
      <c r="K139" s="88">
        <f>F139-J129</f>
        <v>2641.5543986145076</v>
      </c>
      <c r="L139" s="89"/>
      <c r="M139" s="179"/>
      <c r="N139" s="90">
        <f t="shared" si="28"/>
        <v>2742.6519768885041</v>
      </c>
      <c r="O139" s="137"/>
      <c r="P139" s="206"/>
      <c r="Q139" s="123"/>
      <c r="R139" s="88">
        <f>N139-Q129</f>
        <v>1693.3041016759666</v>
      </c>
      <c r="S139" s="92"/>
      <c r="T139" s="125"/>
      <c r="U139" s="94"/>
      <c r="V139" s="126"/>
      <c r="W139" s="127"/>
      <c r="X139" s="128"/>
      <c r="Y139" s="129"/>
      <c r="Z139" s="130"/>
      <c r="AA139" s="131"/>
      <c r="AB139" s="101"/>
      <c r="AC139" s="116"/>
      <c r="AD139" s="132"/>
      <c r="AE139" s="118"/>
      <c r="AF139" s="119"/>
      <c r="AG139" s="133"/>
      <c r="AH139" s="134"/>
      <c r="AI139" s="135"/>
      <c r="AJ139" s="164"/>
      <c r="AK139" s="167">
        <f t="shared" si="32"/>
        <v>0</v>
      </c>
      <c r="AL139" s="174"/>
    </row>
    <row r="140" spans="1:38" x14ac:dyDescent="0.3">
      <c r="A140" s="184">
        <v>136</v>
      </c>
      <c r="B140" s="209">
        <f>((33.6-B139)/10)+B139</f>
        <v>32.43</v>
      </c>
      <c r="C140" s="222">
        <f>((0.599-C139)/10)+C139</f>
        <v>0.55580000000000007</v>
      </c>
      <c r="D140" s="177">
        <f t="shared" si="29"/>
        <v>1.7460971968652073</v>
      </c>
      <c r="E140" s="225">
        <f t="shared" si="30"/>
        <v>3.9026139391961463</v>
      </c>
      <c r="F140" s="229">
        <f t="shared" si="31"/>
        <v>4370.9276118996841</v>
      </c>
      <c r="H140" s="204"/>
      <c r="I140" s="206"/>
      <c r="J140" s="123"/>
      <c r="K140" s="88">
        <f>F140-J129</f>
        <v>2733.9449265681251</v>
      </c>
      <c r="L140" s="89"/>
      <c r="M140" s="179"/>
      <c r="N140" s="90">
        <f t="shared" si="28"/>
        <v>2801.8766742946691</v>
      </c>
      <c r="O140" s="137"/>
      <c r="P140" s="206"/>
      <c r="Q140" s="123"/>
      <c r="R140" s="88">
        <f>N140-Q129</f>
        <v>1752.5287990821316</v>
      </c>
      <c r="S140" s="92"/>
      <c r="T140" s="125"/>
      <c r="U140" s="94"/>
      <c r="V140" s="126"/>
      <c r="W140" s="127"/>
      <c r="X140" s="128"/>
      <c r="Y140" s="129"/>
      <c r="Z140" s="130"/>
      <c r="AA140" s="131"/>
      <c r="AB140" s="101"/>
      <c r="AC140" s="116"/>
      <c r="AD140" s="132"/>
      <c r="AE140" s="118"/>
      <c r="AF140" s="119"/>
      <c r="AG140" s="133"/>
      <c r="AH140" s="134"/>
      <c r="AI140" s="135"/>
      <c r="AJ140" s="164"/>
      <c r="AK140" s="167">
        <f t="shared" si="32"/>
        <v>0</v>
      </c>
      <c r="AL140" s="174"/>
    </row>
    <row r="141" spans="1:38" x14ac:dyDescent="0.3">
      <c r="A141" s="184">
        <v>137</v>
      </c>
      <c r="B141" s="209">
        <f>((33.6-B139)/10)+B140</f>
        <v>32.56</v>
      </c>
      <c r="C141" s="222">
        <f>((0.599-C139)/10)+C140</f>
        <v>0.5606000000000001</v>
      </c>
      <c r="D141" s="177">
        <f t="shared" si="29"/>
        <v>1.7611768416024383</v>
      </c>
      <c r="E141" s="225">
        <f t="shared" si="30"/>
        <v>3.9862280508176511</v>
      </c>
      <c r="F141" s="229">
        <f t="shared" si="31"/>
        <v>4464.575416915769</v>
      </c>
      <c r="H141" s="204"/>
      <c r="I141" s="206"/>
      <c r="J141" s="123"/>
      <c r="K141" s="88">
        <f>F141-J129</f>
        <v>2827.59273158421</v>
      </c>
      <c r="L141" s="89"/>
      <c r="M141" s="179"/>
      <c r="N141" s="90">
        <f t="shared" si="28"/>
        <v>2861.9073185357493</v>
      </c>
      <c r="O141" s="137"/>
      <c r="P141" s="206"/>
      <c r="Q141" s="123"/>
      <c r="R141" s="88">
        <f>N141-Q129</f>
        <v>1812.5594433232118</v>
      </c>
      <c r="S141" s="92"/>
      <c r="T141" s="125"/>
      <c r="U141" s="94"/>
      <c r="V141" s="126"/>
      <c r="W141" s="127"/>
      <c r="X141" s="128"/>
      <c r="Y141" s="129"/>
      <c r="Z141" s="130"/>
      <c r="AA141" s="131"/>
      <c r="AB141" s="101"/>
      <c r="AC141" s="116"/>
      <c r="AD141" s="132"/>
      <c r="AE141" s="118"/>
      <c r="AF141" s="119"/>
      <c r="AG141" s="133"/>
      <c r="AH141" s="134"/>
      <c r="AI141" s="135"/>
      <c r="AJ141" s="164"/>
      <c r="AK141" s="167">
        <f t="shared" si="32"/>
        <v>0</v>
      </c>
      <c r="AL141" s="174"/>
    </row>
    <row r="142" spans="1:38" x14ac:dyDescent="0.3">
      <c r="A142" s="184">
        <v>138</v>
      </c>
      <c r="B142" s="209">
        <f>((33.6-B139)/10)+B141</f>
        <v>32.690000000000005</v>
      </c>
      <c r="C142" s="222">
        <f>((0.599-C139)/10)+C141</f>
        <v>0.56540000000000012</v>
      </c>
      <c r="D142" s="177">
        <f t="shared" si="29"/>
        <v>1.7762564863396695</v>
      </c>
      <c r="E142" s="225">
        <f t="shared" si="30"/>
        <v>4.0709717320604808</v>
      </c>
      <c r="F142" s="229">
        <f t="shared" si="31"/>
        <v>4559.4883399077389</v>
      </c>
      <c r="H142" s="204"/>
      <c r="I142" s="206"/>
      <c r="J142" s="123"/>
      <c r="K142" s="88">
        <f>F142-J129</f>
        <v>2922.5056545761799</v>
      </c>
      <c r="L142" s="89"/>
      <c r="M142" s="179"/>
      <c r="N142" s="90">
        <f t="shared" si="28"/>
        <v>2922.7489358382941</v>
      </c>
      <c r="O142" s="137"/>
      <c r="P142" s="206"/>
      <c r="Q142" s="123"/>
      <c r="R142" s="88">
        <f>N142-Q129</f>
        <v>1873.4010606257566</v>
      </c>
      <c r="S142" s="92"/>
      <c r="T142" s="125"/>
      <c r="U142" s="94"/>
      <c r="V142" s="126"/>
      <c r="W142" s="127"/>
      <c r="X142" s="128"/>
      <c r="Y142" s="129"/>
      <c r="Z142" s="130"/>
      <c r="AA142" s="131"/>
      <c r="AB142" s="101"/>
      <c r="AC142" s="116"/>
      <c r="AD142" s="132"/>
      <c r="AE142" s="118"/>
      <c r="AF142" s="119"/>
      <c r="AG142" s="133"/>
      <c r="AH142" s="134"/>
      <c r="AI142" s="135"/>
      <c r="AJ142" s="164"/>
      <c r="AK142" s="167">
        <f t="shared" si="32"/>
        <v>0</v>
      </c>
      <c r="AL142" s="174"/>
    </row>
    <row r="143" spans="1:38" x14ac:dyDescent="0.3">
      <c r="A143" s="184">
        <v>139</v>
      </c>
      <c r="B143" s="209">
        <f>((33.6-B139)/10)+B142</f>
        <v>32.820000000000007</v>
      </c>
      <c r="C143" s="222">
        <f>((0.599-C139)/10)+C142</f>
        <v>0.57020000000000015</v>
      </c>
      <c r="D143" s="177">
        <f t="shared" si="29"/>
        <v>1.7913361310769005</v>
      </c>
      <c r="E143" s="225">
        <f t="shared" si="30"/>
        <v>4.1568519837401796</v>
      </c>
      <c r="F143" s="229">
        <f t="shared" si="31"/>
        <v>4655.6742217890014</v>
      </c>
      <c r="H143" s="204"/>
      <c r="I143" s="206"/>
      <c r="J143" s="123"/>
      <c r="K143" s="88">
        <f>F143-J129</f>
        <v>3018.6915364574425</v>
      </c>
      <c r="L143" s="89"/>
      <c r="M143" s="179"/>
      <c r="N143" s="90">
        <f t="shared" si="28"/>
        <v>2984.4065524288471</v>
      </c>
      <c r="O143" s="137"/>
      <c r="P143" s="206"/>
      <c r="Q143" s="123"/>
      <c r="R143" s="88">
        <f>N143-Q129</f>
        <v>1935.0586772163097</v>
      </c>
      <c r="S143" s="92"/>
      <c r="T143" s="125"/>
      <c r="U143" s="94"/>
      <c r="V143" s="126"/>
      <c r="W143" s="127"/>
      <c r="X143" s="128"/>
      <c r="Y143" s="129"/>
      <c r="Z143" s="130"/>
      <c r="AA143" s="131"/>
      <c r="AB143" s="101"/>
      <c r="AC143" s="116"/>
      <c r="AD143" s="132"/>
      <c r="AE143" s="118"/>
      <c r="AF143" s="119"/>
      <c r="AG143" s="133"/>
      <c r="AH143" s="134"/>
      <c r="AI143" s="135"/>
      <c r="AJ143" s="164"/>
      <c r="AK143" s="167">
        <f t="shared" si="32"/>
        <v>0</v>
      </c>
      <c r="AL143" s="174"/>
    </row>
    <row r="144" spans="1:38" ht="15" thickBot="1" x14ac:dyDescent="0.35">
      <c r="A144" s="185">
        <v>140</v>
      </c>
      <c r="B144" s="213">
        <f>((33.6-B139)/10)+B143</f>
        <v>32.95000000000001</v>
      </c>
      <c r="C144" s="223">
        <f>((0.599-C139)/10)+C143</f>
        <v>0.57500000000000018</v>
      </c>
      <c r="D144" s="178">
        <f t="shared" si="29"/>
        <v>1.8064157758141317</v>
      </c>
      <c r="E144" s="227">
        <f t="shared" si="30"/>
        <v>4.2438758066722952</v>
      </c>
      <c r="F144" s="229">
        <f t="shared" si="31"/>
        <v>4753.1409034729704</v>
      </c>
      <c r="H144" s="205">
        <v>1</v>
      </c>
      <c r="I144" s="206">
        <f>H144*(F144-J129)</f>
        <v>3116.1582181414115</v>
      </c>
      <c r="J144" s="181">
        <f>I144+J129</f>
        <v>4753.1409034729704</v>
      </c>
      <c r="K144" s="88">
        <f>F144-J144</f>
        <v>0</v>
      </c>
      <c r="L144" s="89"/>
      <c r="M144" s="179"/>
      <c r="N144" s="90">
        <f t="shared" si="28"/>
        <v>3046.8851945339552</v>
      </c>
      <c r="O144" s="138">
        <v>1</v>
      </c>
      <c r="P144" s="206">
        <f>O144*(N144-Q129)</f>
        <v>1997.5373193214177</v>
      </c>
      <c r="Q144" s="181">
        <f>P144+Q129</f>
        <v>3046.8851945339552</v>
      </c>
      <c r="R144" s="88">
        <f>N144-Q144</f>
        <v>0</v>
      </c>
      <c r="S144" s="92"/>
      <c r="T144" s="139">
        <f>P144*10%</f>
        <v>199.75373193214179</v>
      </c>
      <c r="U144" s="140">
        <f t="shared" ref="U144" si="33">T144*0.95</f>
        <v>189.7660453355347</v>
      </c>
      <c r="V144" s="141">
        <v>8</v>
      </c>
      <c r="W144" s="142">
        <f t="shared" si="26"/>
        <v>1598.0298554571343</v>
      </c>
      <c r="X144" s="143">
        <v>0.4</v>
      </c>
      <c r="Y144" s="144">
        <v>0.6</v>
      </c>
      <c r="Z144" s="130"/>
      <c r="AA144" s="145">
        <f>P144*10%</f>
        <v>199.75373193214179</v>
      </c>
      <c r="AB144" s="101">
        <f t="shared" si="23"/>
        <v>1118.6208988199937</v>
      </c>
      <c r="AC144" s="116">
        <f t="shared" si="24"/>
        <v>2197.2910512535595</v>
      </c>
      <c r="AD144" s="146">
        <v>8</v>
      </c>
      <c r="AE144" s="147">
        <f t="shared" si="25"/>
        <v>17578.328410028476</v>
      </c>
      <c r="AF144" s="119"/>
      <c r="AG144" s="148">
        <f>P144*80%</f>
        <v>1598.0298554571343</v>
      </c>
      <c r="AH144" s="149">
        <v>170</v>
      </c>
      <c r="AI144" s="150">
        <f t="shared" si="27"/>
        <v>271665.07542771281</v>
      </c>
      <c r="AJ144" s="164"/>
      <c r="AK144" s="156">
        <f t="shared" si="32"/>
        <v>290841.43369319843</v>
      </c>
      <c r="AL144" s="174"/>
    </row>
    <row r="145" spans="6:38" ht="15" thickBot="1" x14ac:dyDescent="0.35">
      <c r="F145" s="180"/>
      <c r="G145" s="180"/>
      <c r="H145" s="224" t="s">
        <v>39</v>
      </c>
      <c r="I145" s="151"/>
      <c r="J145" s="151"/>
      <c r="K145" s="161">
        <f>SUM(K4:K143)/140</f>
        <v>878.7561695928506</v>
      </c>
      <c r="L145" s="89"/>
      <c r="M145" s="215"/>
      <c r="N145" s="214"/>
      <c r="O145" s="151"/>
      <c r="P145" s="151"/>
      <c r="Q145" s="151"/>
      <c r="R145" s="216"/>
      <c r="S145" s="92"/>
      <c r="T145" s="152"/>
      <c r="U145" s="152"/>
      <c r="V145" s="153"/>
      <c r="W145" s="153"/>
      <c r="X145" s="153"/>
      <c r="Y145" s="153"/>
      <c r="Z145" s="168"/>
      <c r="AA145" s="159"/>
      <c r="AB145" s="154"/>
      <c r="AC145" s="154"/>
      <c r="AD145" s="69"/>
      <c r="AE145" s="155"/>
      <c r="AF145" s="169"/>
      <c r="AG145" s="159"/>
      <c r="AH145" s="69"/>
      <c r="AI145" s="70"/>
      <c r="AJ145" s="164"/>
      <c r="AK145" s="165"/>
      <c r="AL145" s="157"/>
    </row>
  </sheetData>
  <mergeCells count="1">
    <mergeCell ref="G1:J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A23B-7D7E-43AB-B36A-6000CF69365E}">
  <dimension ref="A1:AL66"/>
  <sheetViews>
    <sheetView zoomScale="80" zoomScaleNormal="80" workbookViewId="0">
      <pane ySplit="3" topLeftCell="A4" activePane="bottomLeft" state="frozen"/>
      <selection activeCell="G1" sqref="G1"/>
      <selection pane="bottomLeft" activeCell="F15" sqref="F15"/>
    </sheetView>
  </sheetViews>
  <sheetFormatPr baseColWidth="10" defaultRowHeight="14.4" x14ac:dyDescent="0.3"/>
  <cols>
    <col min="2" max="2" width="12.5546875" customWidth="1"/>
    <col min="4" max="4" width="13.44140625" customWidth="1"/>
    <col min="6" max="6" width="14.109375" customWidth="1"/>
    <col min="8" max="8" width="12.44140625" customWidth="1"/>
    <col min="10" max="10" width="13" customWidth="1"/>
    <col min="11" max="11" width="13.6640625" customWidth="1"/>
    <col min="12" max="12" width="7.21875" customWidth="1"/>
    <col min="13" max="13" width="7.6640625" customWidth="1"/>
    <col min="15" max="15" width="12.5546875" customWidth="1"/>
    <col min="35" max="35" width="13.44140625" customWidth="1"/>
    <col min="37" max="37" width="14" customWidth="1"/>
  </cols>
  <sheetData>
    <row r="1" spans="1:38" ht="15" thickBot="1" x14ac:dyDescent="0.35">
      <c r="G1" s="264" t="s">
        <v>73</v>
      </c>
      <c r="H1" s="265"/>
      <c r="I1" s="265"/>
      <c r="J1" s="265"/>
      <c r="K1" s="265"/>
      <c r="L1" s="265"/>
      <c r="M1" s="265"/>
      <c r="N1" s="265"/>
      <c r="O1" s="266"/>
      <c r="Z1" s="35"/>
    </row>
    <row r="2" spans="1:38" ht="15" thickBot="1" x14ac:dyDescent="0.35">
      <c r="H2" s="35"/>
      <c r="Z2" s="35"/>
    </row>
    <row r="3" spans="1:38" ht="72.599999999999994" thickBot="1" x14ac:dyDescent="0.35">
      <c r="A3" s="176" t="s">
        <v>15</v>
      </c>
      <c r="B3" s="170" t="s">
        <v>30</v>
      </c>
      <c r="C3" s="171" t="s">
        <v>36</v>
      </c>
      <c r="D3" s="171" t="s">
        <v>37</v>
      </c>
      <c r="E3" s="228" t="s">
        <v>29</v>
      </c>
      <c r="F3" s="176" t="s">
        <v>70</v>
      </c>
      <c r="G3" s="75"/>
      <c r="H3" s="199" t="s">
        <v>24</v>
      </c>
      <c r="I3" s="73" t="s">
        <v>51</v>
      </c>
      <c r="J3" s="73" t="s">
        <v>55</v>
      </c>
      <c r="K3" s="74" t="s">
        <v>54</v>
      </c>
      <c r="L3" s="75"/>
      <c r="M3" s="19"/>
      <c r="N3" s="71" t="s">
        <v>56</v>
      </c>
      <c r="O3" s="72" t="s">
        <v>24</v>
      </c>
      <c r="P3" s="73" t="s">
        <v>52</v>
      </c>
      <c r="Q3" s="73" t="s">
        <v>53</v>
      </c>
      <c r="R3" s="76" t="s">
        <v>57</v>
      </c>
      <c r="S3" s="77"/>
      <c r="T3" s="78" t="s">
        <v>40</v>
      </c>
      <c r="U3" s="79" t="s">
        <v>25</v>
      </c>
      <c r="V3" s="62" t="s">
        <v>43</v>
      </c>
      <c r="W3" s="37" t="s">
        <v>44</v>
      </c>
      <c r="X3" s="80" t="s">
        <v>26</v>
      </c>
      <c r="Y3" s="81" t="s">
        <v>27</v>
      </c>
      <c r="Z3" s="77"/>
      <c r="AA3" s="63" t="s">
        <v>41</v>
      </c>
      <c r="AB3" s="63" t="s">
        <v>45</v>
      </c>
      <c r="AC3" s="60" t="s">
        <v>28</v>
      </c>
      <c r="AD3" s="60" t="s">
        <v>46</v>
      </c>
      <c r="AE3" s="82" t="s">
        <v>47</v>
      </c>
      <c r="AF3" s="77"/>
      <c r="AG3" s="83" t="s">
        <v>42</v>
      </c>
      <c r="AH3" s="84" t="s">
        <v>48</v>
      </c>
      <c r="AI3" s="85" t="s">
        <v>49</v>
      </c>
      <c r="AJ3" s="158"/>
      <c r="AK3" s="166" t="s">
        <v>50</v>
      </c>
      <c r="AL3" s="175"/>
    </row>
    <row r="4" spans="1:38" x14ac:dyDescent="0.3">
      <c r="A4" s="182">
        <v>0</v>
      </c>
      <c r="B4" s="210">
        <v>0.5</v>
      </c>
      <c r="C4" s="212">
        <v>0.02</v>
      </c>
      <c r="D4" s="177">
        <f>C4*PI()</f>
        <v>6.2831853071795868E-2</v>
      </c>
      <c r="E4" s="225">
        <f>(D4^2/(4*PI()))*B4*0.496</f>
        <v>7.7911497809026877E-5</v>
      </c>
      <c r="F4" s="229">
        <f>E4*160</f>
        <v>1.24658396494443E-2</v>
      </c>
      <c r="H4" s="200"/>
      <c r="I4" s="86"/>
      <c r="J4" s="87"/>
      <c r="K4" s="88">
        <f>F4</f>
        <v>1.24658396494443E-2</v>
      </c>
      <c r="L4" s="89"/>
      <c r="M4" s="179"/>
      <c r="N4" s="90">
        <f t="shared" ref="N4:N64" si="0">F4/1.56</f>
        <v>7.9909228522078834E-3</v>
      </c>
      <c r="O4" s="91"/>
      <c r="P4" s="86"/>
      <c r="Q4" s="87"/>
      <c r="R4" s="88">
        <f>N4</f>
        <v>7.9909228522078834E-3</v>
      </c>
      <c r="S4" s="92"/>
      <c r="T4" s="93"/>
      <c r="U4" s="94"/>
      <c r="V4" s="95"/>
      <c r="W4" s="96"/>
      <c r="X4" s="97"/>
      <c r="Y4" s="98"/>
      <c r="Z4" s="99"/>
      <c r="AA4" s="100"/>
      <c r="AB4" s="101"/>
      <c r="AC4" s="102"/>
      <c r="AD4" s="103"/>
      <c r="AE4" s="104"/>
      <c r="AF4" s="105"/>
      <c r="AG4" s="106"/>
      <c r="AH4" s="107"/>
      <c r="AI4" s="108"/>
      <c r="AJ4" s="162"/>
      <c r="AK4" s="167">
        <f>W4+AE4+AI4</f>
        <v>0</v>
      </c>
      <c r="AL4" s="174"/>
    </row>
    <row r="5" spans="1:38" x14ac:dyDescent="0.3">
      <c r="A5" s="183">
        <v>1</v>
      </c>
      <c r="B5" s="211">
        <f>((B22-B4)/18)+B4</f>
        <v>0.82222222222222219</v>
      </c>
      <c r="C5" s="221">
        <f>((C22-C4)/18)+C4</f>
        <v>2.338888888888889E-2</v>
      </c>
      <c r="D5" s="177">
        <f t="shared" ref="D5:D64" si="1">C5*PI()</f>
        <v>7.3478361508961268E-2</v>
      </c>
      <c r="E5" s="225">
        <f t="shared" ref="E5:E64" si="2">(D5^2/(4*PI()))*B5*0.496</f>
        <v>1.7521849656285322E-4</v>
      </c>
      <c r="F5" s="229">
        <f t="shared" ref="F5:F64" si="3">E5*160</f>
        <v>2.8034959450056515E-2</v>
      </c>
      <c r="H5" s="200"/>
      <c r="I5" s="86"/>
      <c r="J5" s="87"/>
      <c r="K5" s="88">
        <f t="shared" ref="K5:K36" si="4">F5</f>
        <v>2.8034959450056515E-2</v>
      </c>
      <c r="L5" s="89"/>
      <c r="M5" s="179"/>
      <c r="N5" s="90">
        <f t="shared" si="0"/>
        <v>1.7971127852600331E-2</v>
      </c>
      <c r="O5" s="91"/>
      <c r="P5" s="86"/>
      <c r="Q5" s="87"/>
      <c r="R5" s="88">
        <f t="shared" ref="R5:R36" si="5">N5</f>
        <v>1.7971127852600331E-2</v>
      </c>
      <c r="S5" s="92"/>
      <c r="T5" s="109"/>
      <c r="U5" s="94"/>
      <c r="V5" s="110"/>
      <c r="W5" s="111"/>
      <c r="X5" s="112"/>
      <c r="Y5" s="113"/>
      <c r="Z5" s="114"/>
      <c r="AA5" s="115"/>
      <c r="AB5" s="101"/>
      <c r="AC5" s="116"/>
      <c r="AD5" s="117"/>
      <c r="AE5" s="118"/>
      <c r="AF5" s="119"/>
      <c r="AG5" s="120"/>
      <c r="AH5" s="121"/>
      <c r="AI5" s="122"/>
      <c r="AJ5" s="163"/>
      <c r="AK5" s="167">
        <f t="shared" ref="AK5:AK64" si="6">W5+AE5+AI5</f>
        <v>0</v>
      </c>
      <c r="AL5" s="174"/>
    </row>
    <row r="6" spans="1:38" x14ac:dyDescent="0.3">
      <c r="A6" s="184">
        <v>2</v>
      </c>
      <c r="B6" s="211">
        <f>((B22-B4)/18)+B5</f>
        <v>1.1444444444444444</v>
      </c>
      <c r="C6" s="221">
        <f>((C22-C4)/18)+C5</f>
        <v>2.6777777777777779E-2</v>
      </c>
      <c r="D6" s="177">
        <f t="shared" si="1"/>
        <v>8.4124869946126682E-2</v>
      </c>
      <c r="E6" s="225">
        <f t="shared" si="2"/>
        <v>3.1967990640421618E-4</v>
      </c>
      <c r="F6" s="229">
        <f t="shared" si="3"/>
        <v>5.1148785024674591E-2</v>
      </c>
      <c r="H6" s="201"/>
      <c r="I6" s="86"/>
      <c r="J6" s="123"/>
      <c r="K6" s="88">
        <f t="shared" si="4"/>
        <v>5.1148785024674591E-2</v>
      </c>
      <c r="L6" s="89"/>
      <c r="M6" s="179"/>
      <c r="N6" s="90">
        <f t="shared" si="0"/>
        <v>3.2787682708124738E-2</v>
      </c>
      <c r="O6" s="124"/>
      <c r="P6" s="86"/>
      <c r="Q6" s="123"/>
      <c r="R6" s="88">
        <f t="shared" si="5"/>
        <v>3.2787682708124738E-2</v>
      </c>
      <c r="S6" s="92"/>
      <c r="T6" s="109"/>
      <c r="U6" s="94"/>
      <c r="V6" s="110"/>
      <c r="W6" s="111"/>
      <c r="X6" s="112"/>
      <c r="Y6" s="113"/>
      <c r="Z6" s="114"/>
      <c r="AA6" s="115"/>
      <c r="AB6" s="101"/>
      <c r="AC6" s="116"/>
      <c r="AD6" s="117"/>
      <c r="AE6" s="118"/>
      <c r="AF6" s="119"/>
      <c r="AG6" s="120"/>
      <c r="AH6" s="121"/>
      <c r="AI6" s="122"/>
      <c r="AJ6" s="163"/>
      <c r="AK6" s="167">
        <f t="shared" si="6"/>
        <v>0</v>
      </c>
      <c r="AL6" s="174"/>
    </row>
    <row r="7" spans="1:38" x14ac:dyDescent="0.3">
      <c r="A7" s="184">
        <v>3</v>
      </c>
      <c r="B7" s="211">
        <f>((B22-B4)/18)+B6</f>
        <v>1.4666666666666666</v>
      </c>
      <c r="C7" s="221">
        <f>((C22-C4)/18)+C6</f>
        <v>3.0166666666666668E-2</v>
      </c>
      <c r="D7" s="177">
        <f t="shared" si="1"/>
        <v>9.4771378383292096E-2</v>
      </c>
      <c r="E7" s="225">
        <f t="shared" si="2"/>
        <v>5.1994526623957071E-4</v>
      </c>
      <c r="F7" s="229">
        <f t="shared" si="3"/>
        <v>8.3191242598331314E-2</v>
      </c>
      <c r="H7" s="201"/>
      <c r="I7" s="86"/>
      <c r="J7" s="123"/>
      <c r="K7" s="88">
        <f t="shared" si="4"/>
        <v>8.3191242598331314E-2</v>
      </c>
      <c r="L7" s="89"/>
      <c r="M7" s="179"/>
      <c r="N7" s="90">
        <f t="shared" si="0"/>
        <v>5.3327719614314942E-2</v>
      </c>
      <c r="O7" s="124"/>
      <c r="P7" s="86"/>
      <c r="Q7" s="123"/>
      <c r="R7" s="88">
        <f t="shared" si="5"/>
        <v>5.3327719614314942E-2</v>
      </c>
      <c r="S7" s="92"/>
      <c r="T7" s="109"/>
      <c r="U7" s="94"/>
      <c r="V7" s="110"/>
      <c r="W7" s="111"/>
      <c r="X7" s="112"/>
      <c r="Y7" s="113"/>
      <c r="Z7" s="114"/>
      <c r="AA7" s="115"/>
      <c r="AB7" s="101"/>
      <c r="AC7" s="116"/>
      <c r="AD7" s="117"/>
      <c r="AE7" s="118"/>
      <c r="AF7" s="119"/>
      <c r="AG7" s="120"/>
      <c r="AH7" s="121"/>
      <c r="AI7" s="122"/>
      <c r="AJ7" s="163"/>
      <c r="AK7" s="167">
        <f t="shared" si="6"/>
        <v>0</v>
      </c>
      <c r="AL7" s="174"/>
    </row>
    <row r="8" spans="1:38" x14ac:dyDescent="0.3">
      <c r="A8" s="184">
        <v>4</v>
      </c>
      <c r="B8" s="211">
        <f>((B22-B4)/18)+B7</f>
        <v>1.7888888888888888</v>
      </c>
      <c r="C8" s="221">
        <f>((C22-C4)/18)+C7</f>
        <v>3.3555555555555554E-2</v>
      </c>
      <c r="D8" s="177">
        <f t="shared" si="1"/>
        <v>0.1054178868204575</v>
      </c>
      <c r="E8" s="225">
        <f t="shared" si="2"/>
        <v>7.8466411497537191E-4</v>
      </c>
      <c r="F8" s="229">
        <f t="shared" si="3"/>
        <v>0.12554625839605951</v>
      </c>
      <c r="H8" s="201"/>
      <c r="I8" s="86"/>
      <c r="J8" s="123"/>
      <c r="K8" s="88">
        <f t="shared" si="4"/>
        <v>0.12554625839605951</v>
      </c>
      <c r="L8" s="89"/>
      <c r="M8" s="179"/>
      <c r="N8" s="90">
        <f t="shared" si="0"/>
        <v>8.0478370766704818E-2</v>
      </c>
      <c r="O8" s="124"/>
      <c r="P8" s="86"/>
      <c r="Q8" s="123"/>
      <c r="R8" s="88">
        <f t="shared" si="5"/>
        <v>8.0478370766704818E-2</v>
      </c>
      <c r="S8" s="92"/>
      <c r="T8" s="109"/>
      <c r="U8" s="94"/>
      <c r="V8" s="110"/>
      <c r="W8" s="111"/>
      <c r="X8" s="112"/>
      <c r="Y8" s="113"/>
      <c r="Z8" s="114"/>
      <c r="AA8" s="115"/>
      <c r="AB8" s="101"/>
      <c r="AC8" s="116"/>
      <c r="AD8" s="117"/>
      <c r="AE8" s="118"/>
      <c r="AF8" s="119"/>
      <c r="AG8" s="120"/>
      <c r="AH8" s="121"/>
      <c r="AI8" s="122"/>
      <c r="AJ8" s="163"/>
      <c r="AK8" s="167">
        <f t="shared" si="6"/>
        <v>0</v>
      </c>
      <c r="AL8" s="174"/>
    </row>
    <row r="9" spans="1:38" x14ac:dyDescent="0.3">
      <c r="A9" s="184">
        <v>5</v>
      </c>
      <c r="B9" s="211">
        <f>((B22-B4)/18)+B8</f>
        <v>2.1111111111111107</v>
      </c>
      <c r="C9" s="221">
        <f>((C22-C4)/18)+C8</f>
        <v>3.6944444444444439E-2</v>
      </c>
      <c r="D9" s="177">
        <f t="shared" si="1"/>
        <v>0.1160643952576229</v>
      </c>
      <c r="E9" s="225">
        <f t="shared" si="2"/>
        <v>1.1224859915180743E-3</v>
      </c>
      <c r="F9" s="229">
        <f t="shared" si="3"/>
        <v>0.1795977586428919</v>
      </c>
      <c r="H9" s="201"/>
      <c r="I9" s="86"/>
      <c r="J9" s="123"/>
      <c r="K9" s="88">
        <f t="shared" si="4"/>
        <v>0.1795977586428919</v>
      </c>
      <c r="L9" s="89"/>
      <c r="M9" s="179"/>
      <c r="N9" s="90">
        <f t="shared" si="0"/>
        <v>0.11512676836082814</v>
      </c>
      <c r="O9" s="124"/>
      <c r="P9" s="86"/>
      <c r="Q9" s="123"/>
      <c r="R9" s="88">
        <f t="shared" si="5"/>
        <v>0.11512676836082814</v>
      </c>
      <c r="S9" s="92"/>
      <c r="T9" s="109"/>
      <c r="U9" s="94"/>
      <c r="V9" s="110"/>
      <c r="W9" s="111"/>
      <c r="X9" s="112"/>
      <c r="Y9" s="113"/>
      <c r="Z9" s="114"/>
      <c r="AA9" s="115"/>
      <c r="AB9" s="101"/>
      <c r="AC9" s="116"/>
      <c r="AD9" s="117"/>
      <c r="AE9" s="118"/>
      <c r="AF9" s="119"/>
      <c r="AG9" s="120"/>
      <c r="AH9" s="121"/>
      <c r="AI9" s="122"/>
      <c r="AJ9" s="163"/>
      <c r="AK9" s="167">
        <f t="shared" si="6"/>
        <v>0</v>
      </c>
      <c r="AL9" s="174"/>
    </row>
    <row r="10" spans="1:38" x14ac:dyDescent="0.3">
      <c r="A10" s="184">
        <v>6</v>
      </c>
      <c r="B10" s="211">
        <f>((B22-B4)/18)+B9</f>
        <v>2.4333333333333327</v>
      </c>
      <c r="C10" s="221">
        <f>((C22-C4)/18)+C9</f>
        <v>4.0333333333333325E-2</v>
      </c>
      <c r="D10" s="177">
        <f t="shared" si="1"/>
        <v>0.1267109036947883</v>
      </c>
      <c r="E10" s="225">
        <f t="shared" si="2"/>
        <v>1.5420604347741332E-3</v>
      </c>
      <c r="F10" s="229">
        <f t="shared" si="3"/>
        <v>0.2467296695638613</v>
      </c>
      <c r="H10" s="201"/>
      <c r="I10" s="86"/>
      <c r="J10" s="123"/>
      <c r="K10" s="88">
        <f t="shared" si="4"/>
        <v>0.2467296695638613</v>
      </c>
      <c r="L10" s="89"/>
      <c r="M10" s="179"/>
      <c r="N10" s="90">
        <f t="shared" si="0"/>
        <v>0.15816004459221877</v>
      </c>
      <c r="O10" s="124"/>
      <c r="P10" s="86"/>
      <c r="Q10" s="123"/>
      <c r="R10" s="88">
        <f t="shared" si="5"/>
        <v>0.15816004459221877</v>
      </c>
      <c r="S10" s="92"/>
      <c r="T10" s="109"/>
      <c r="U10" s="94"/>
      <c r="V10" s="110"/>
      <c r="W10" s="111"/>
      <c r="X10" s="112"/>
      <c r="Y10" s="113"/>
      <c r="Z10" s="114"/>
      <c r="AA10" s="115"/>
      <c r="AB10" s="101"/>
      <c r="AC10" s="116"/>
      <c r="AD10" s="117"/>
      <c r="AE10" s="118"/>
      <c r="AF10" s="119"/>
      <c r="AG10" s="120"/>
      <c r="AH10" s="121"/>
      <c r="AI10" s="122"/>
      <c r="AJ10" s="163"/>
      <c r="AK10" s="167">
        <f t="shared" si="6"/>
        <v>0</v>
      </c>
      <c r="AL10" s="174"/>
    </row>
    <row r="11" spans="1:38" x14ac:dyDescent="0.3">
      <c r="A11" s="184">
        <v>7</v>
      </c>
      <c r="B11" s="211">
        <f>((B22-B4)/18)+B10</f>
        <v>2.7555555555555546</v>
      </c>
      <c r="C11" s="221">
        <f>((C22-C4)/18)+C10</f>
        <v>4.3722222222222211E-2</v>
      </c>
      <c r="D11" s="177">
        <f t="shared" si="1"/>
        <v>0.13735741213195371</v>
      </c>
      <c r="E11" s="225">
        <f t="shared" si="2"/>
        <v>2.052036983650004E-3</v>
      </c>
      <c r="F11" s="229">
        <f t="shared" si="3"/>
        <v>0.32832591738400063</v>
      </c>
      <c r="H11" s="201"/>
      <c r="I11" s="86"/>
      <c r="J11" s="123"/>
      <c r="K11" s="88">
        <f t="shared" si="4"/>
        <v>0.32832591738400063</v>
      </c>
      <c r="L11" s="89"/>
      <c r="M11" s="179"/>
      <c r="N11" s="90">
        <f t="shared" si="0"/>
        <v>0.21046533165641065</v>
      </c>
      <c r="O11" s="124"/>
      <c r="P11" s="86"/>
      <c r="Q11" s="123"/>
      <c r="R11" s="88">
        <f t="shared" si="5"/>
        <v>0.21046533165641065</v>
      </c>
      <c r="S11" s="92"/>
      <c r="T11" s="109"/>
      <c r="U11" s="94"/>
      <c r="V11" s="110"/>
      <c r="W11" s="111"/>
      <c r="X11" s="112"/>
      <c r="Y11" s="113"/>
      <c r="Z11" s="114"/>
      <c r="AA11" s="115"/>
      <c r="AB11" s="101"/>
      <c r="AC11" s="116"/>
      <c r="AD11" s="117"/>
      <c r="AE11" s="118"/>
      <c r="AF11" s="119"/>
      <c r="AG11" s="120"/>
      <c r="AH11" s="121"/>
      <c r="AI11" s="122"/>
      <c r="AJ11" s="163"/>
      <c r="AK11" s="167">
        <f t="shared" si="6"/>
        <v>0</v>
      </c>
      <c r="AL11" s="174"/>
    </row>
    <row r="12" spans="1:38" x14ac:dyDescent="0.3">
      <c r="A12" s="184">
        <v>8</v>
      </c>
      <c r="B12" s="211">
        <f>((B22-B4)/18)+B11</f>
        <v>3.0777777777777766</v>
      </c>
      <c r="C12" s="221">
        <f>((C22-C4)/18)+C11</f>
        <v>4.7111111111111097E-2</v>
      </c>
      <c r="D12" s="177">
        <f t="shared" si="1"/>
        <v>0.1480039205691191</v>
      </c>
      <c r="E12" s="225">
        <f t="shared" si="2"/>
        <v>2.661065177052141E-3</v>
      </c>
      <c r="F12" s="229">
        <f t="shared" si="3"/>
        <v>0.42577042832834255</v>
      </c>
      <c r="H12" s="201"/>
      <c r="I12" s="86"/>
      <c r="J12" s="123"/>
      <c r="K12" s="88">
        <f t="shared" si="4"/>
        <v>0.42577042832834255</v>
      </c>
      <c r="L12" s="89"/>
      <c r="M12" s="179"/>
      <c r="N12" s="90">
        <f t="shared" si="0"/>
        <v>0.27292976174893752</v>
      </c>
      <c r="O12" s="124"/>
      <c r="P12" s="86"/>
      <c r="Q12" s="123"/>
      <c r="R12" s="88">
        <f t="shared" si="5"/>
        <v>0.27292976174893752</v>
      </c>
      <c r="S12" s="92"/>
      <c r="T12" s="109"/>
      <c r="U12" s="94"/>
      <c r="V12" s="110"/>
      <c r="W12" s="111"/>
      <c r="X12" s="112"/>
      <c r="Y12" s="113"/>
      <c r="Z12" s="114"/>
      <c r="AA12" s="115"/>
      <c r="AB12" s="101"/>
      <c r="AC12" s="116"/>
      <c r="AD12" s="117"/>
      <c r="AE12" s="118"/>
      <c r="AF12" s="119"/>
      <c r="AG12" s="120"/>
      <c r="AH12" s="121"/>
      <c r="AI12" s="122"/>
      <c r="AJ12" s="163"/>
      <c r="AK12" s="167">
        <f t="shared" si="6"/>
        <v>0</v>
      </c>
      <c r="AL12" s="174"/>
    </row>
    <row r="13" spans="1:38" x14ac:dyDescent="0.3">
      <c r="A13" s="184">
        <v>9</v>
      </c>
      <c r="B13" s="211">
        <f>((B22-B4)/18)+B12</f>
        <v>3.3999999999999986</v>
      </c>
      <c r="C13" s="221">
        <f>((C22-C4)/18)+C12</f>
        <v>5.0499999999999982E-2</v>
      </c>
      <c r="D13" s="177">
        <f t="shared" si="1"/>
        <v>0.15865042900628451</v>
      </c>
      <c r="E13" s="225">
        <f t="shared" si="2"/>
        <v>3.377794553887E-3</v>
      </c>
      <c r="F13" s="229">
        <f t="shared" si="3"/>
        <v>0.54044712862192001</v>
      </c>
      <c r="H13" s="201"/>
      <c r="I13" s="86"/>
      <c r="J13" s="123"/>
      <c r="K13" s="88">
        <f t="shared" si="4"/>
        <v>0.54044712862192001</v>
      </c>
      <c r="L13" s="89"/>
      <c r="M13" s="179"/>
      <c r="N13" s="90">
        <f t="shared" si="0"/>
        <v>0.34644046706533332</v>
      </c>
      <c r="O13" s="124"/>
      <c r="P13" s="86"/>
      <c r="Q13" s="123"/>
      <c r="R13" s="88">
        <f t="shared" si="5"/>
        <v>0.34644046706533332</v>
      </c>
      <c r="S13" s="92"/>
      <c r="T13" s="109"/>
      <c r="U13" s="94"/>
      <c r="V13" s="110"/>
      <c r="W13" s="111"/>
      <c r="X13" s="112"/>
      <c r="Y13" s="113"/>
      <c r="Z13" s="114"/>
      <c r="AA13" s="115"/>
      <c r="AB13" s="101"/>
      <c r="AC13" s="116"/>
      <c r="AD13" s="117"/>
      <c r="AE13" s="118"/>
      <c r="AF13" s="119"/>
      <c r="AG13" s="120"/>
      <c r="AH13" s="121"/>
      <c r="AI13" s="122"/>
      <c r="AJ13" s="163"/>
      <c r="AK13" s="167">
        <f t="shared" si="6"/>
        <v>0</v>
      </c>
      <c r="AL13" s="174"/>
    </row>
    <row r="14" spans="1:38" x14ac:dyDescent="0.3">
      <c r="A14" s="184">
        <v>10</v>
      </c>
      <c r="B14" s="211">
        <f>((B22-B4)/18)+B13</f>
        <v>3.7222222222222205</v>
      </c>
      <c r="C14" s="221">
        <f>((C22-C4)/18)+C13</f>
        <v>5.3888888888888868E-2</v>
      </c>
      <c r="D14" s="177">
        <f t="shared" si="1"/>
        <v>0.1692969374434499</v>
      </c>
      <c r="E14" s="225">
        <f t="shared" si="2"/>
        <v>4.2108746530610339E-3</v>
      </c>
      <c r="F14" s="229">
        <f t="shared" si="3"/>
        <v>0.67373994448976537</v>
      </c>
      <c r="H14" s="201"/>
      <c r="I14" s="86"/>
      <c r="J14" s="123"/>
      <c r="K14" s="88">
        <f t="shared" si="4"/>
        <v>0.67373994448976537</v>
      </c>
      <c r="L14" s="89"/>
      <c r="M14" s="179"/>
      <c r="N14" s="90">
        <f t="shared" si="0"/>
        <v>0.43188457980113165</v>
      </c>
      <c r="O14" s="124"/>
      <c r="P14" s="86"/>
      <c r="Q14" s="123"/>
      <c r="R14" s="88">
        <f t="shared" si="5"/>
        <v>0.43188457980113165</v>
      </c>
      <c r="S14" s="92"/>
      <c r="T14" s="109"/>
      <c r="U14" s="94"/>
      <c r="V14" s="110"/>
      <c r="W14" s="111"/>
      <c r="X14" s="112"/>
      <c r="Y14" s="113"/>
      <c r="Z14" s="114"/>
      <c r="AA14" s="115"/>
      <c r="AB14" s="101"/>
      <c r="AC14" s="116"/>
      <c r="AD14" s="117"/>
      <c r="AE14" s="118"/>
      <c r="AF14" s="119"/>
      <c r="AG14" s="120"/>
      <c r="AH14" s="121"/>
      <c r="AI14" s="122"/>
      <c r="AJ14" s="163"/>
      <c r="AK14" s="167">
        <f t="shared" si="6"/>
        <v>0</v>
      </c>
      <c r="AL14" s="174"/>
    </row>
    <row r="15" spans="1:38" x14ac:dyDescent="0.3">
      <c r="A15" s="184">
        <v>11</v>
      </c>
      <c r="B15" s="211">
        <f>((B22-B4)/18)+B14</f>
        <v>4.0444444444444425</v>
      </c>
      <c r="C15" s="221">
        <f>((C22-C4)/18)+C14</f>
        <v>5.7277777777777754E-2</v>
      </c>
      <c r="D15" s="177">
        <f t="shared" si="1"/>
        <v>0.17994344588061531</v>
      </c>
      <c r="E15" s="225">
        <f t="shared" si="2"/>
        <v>5.168955013480702E-3</v>
      </c>
      <c r="F15" s="229">
        <f t="shared" si="3"/>
        <v>0.82703280215691233</v>
      </c>
      <c r="H15" s="201"/>
      <c r="I15" s="86"/>
      <c r="J15" s="123"/>
      <c r="K15" s="88">
        <f t="shared" si="4"/>
        <v>0.82703280215691233</v>
      </c>
      <c r="L15" s="89"/>
      <c r="M15" s="179"/>
      <c r="N15" s="90">
        <f t="shared" si="0"/>
        <v>0.53014923215186682</v>
      </c>
      <c r="O15" s="124"/>
      <c r="P15" s="86"/>
      <c r="Q15" s="123"/>
      <c r="R15" s="88">
        <f t="shared" si="5"/>
        <v>0.53014923215186682</v>
      </c>
      <c r="S15" s="92"/>
      <c r="T15" s="109"/>
      <c r="U15" s="94"/>
      <c r="V15" s="110"/>
      <c r="W15" s="111"/>
      <c r="X15" s="112"/>
      <c r="Y15" s="113"/>
      <c r="Z15" s="114"/>
      <c r="AA15" s="115"/>
      <c r="AB15" s="101"/>
      <c r="AC15" s="116"/>
      <c r="AD15" s="117"/>
      <c r="AE15" s="118"/>
      <c r="AF15" s="119"/>
      <c r="AG15" s="120"/>
      <c r="AH15" s="121"/>
      <c r="AI15" s="122"/>
      <c r="AJ15" s="163"/>
      <c r="AK15" s="167">
        <f t="shared" si="6"/>
        <v>0</v>
      </c>
      <c r="AL15" s="174"/>
    </row>
    <row r="16" spans="1:38" x14ac:dyDescent="0.3">
      <c r="A16" s="184">
        <v>12</v>
      </c>
      <c r="B16" s="211">
        <f>((B22-B4)/18)+B15</f>
        <v>4.3666666666666645</v>
      </c>
      <c r="C16" s="221">
        <f>((C22-C4)/18)+C15</f>
        <v>6.066666666666664E-2</v>
      </c>
      <c r="D16" s="177">
        <f t="shared" si="1"/>
        <v>0.1905899543177807</v>
      </c>
      <c r="E16" s="225">
        <f t="shared" si="2"/>
        <v>6.2606851740524541E-3</v>
      </c>
      <c r="F16" s="229">
        <f t="shared" si="3"/>
        <v>1.0017096278483926</v>
      </c>
      <c r="H16" s="201"/>
      <c r="I16" s="86"/>
      <c r="J16" s="123"/>
      <c r="K16" s="88">
        <f t="shared" si="4"/>
        <v>1.0017096278483926</v>
      </c>
      <c r="L16" s="89"/>
      <c r="M16" s="179"/>
      <c r="N16" s="90">
        <f t="shared" si="0"/>
        <v>0.64212155631307211</v>
      </c>
      <c r="O16" s="124"/>
      <c r="P16" s="86"/>
      <c r="Q16" s="123"/>
      <c r="R16" s="88">
        <f t="shared" si="5"/>
        <v>0.64212155631307211</v>
      </c>
      <c r="S16" s="92"/>
      <c r="T16" s="109"/>
      <c r="U16" s="94"/>
      <c r="V16" s="110"/>
      <c r="W16" s="111"/>
      <c r="X16" s="112"/>
      <c r="Y16" s="113"/>
      <c r="Z16" s="114"/>
      <c r="AA16" s="115"/>
      <c r="AB16" s="101"/>
      <c r="AC16" s="116"/>
      <c r="AD16" s="117"/>
      <c r="AE16" s="118"/>
      <c r="AF16" s="119"/>
      <c r="AG16" s="120"/>
      <c r="AH16" s="121"/>
      <c r="AI16" s="122"/>
      <c r="AJ16" s="163"/>
      <c r="AK16" s="167">
        <f t="shared" si="6"/>
        <v>0</v>
      </c>
      <c r="AL16" s="174"/>
    </row>
    <row r="17" spans="1:38" x14ac:dyDescent="0.3">
      <c r="A17" s="184">
        <v>13</v>
      </c>
      <c r="B17" s="211">
        <f>((B22-B4)/18)+B16</f>
        <v>4.6888888888888864</v>
      </c>
      <c r="C17" s="221">
        <f>((C22-C4)/18)+C16</f>
        <v>6.4055555555555532E-2</v>
      </c>
      <c r="D17" s="177">
        <f t="shared" si="1"/>
        <v>0.20123646275494611</v>
      </c>
      <c r="E17" s="225">
        <f t="shared" si="2"/>
        <v>7.4947146736827489E-3</v>
      </c>
      <c r="F17" s="229">
        <f t="shared" si="3"/>
        <v>1.1991543477892399</v>
      </c>
      <c r="H17" s="201"/>
      <c r="I17" s="86"/>
      <c r="J17" s="123"/>
      <c r="K17" s="88">
        <f t="shared" si="4"/>
        <v>1.1991543477892399</v>
      </c>
      <c r="L17" s="89"/>
      <c r="M17" s="179"/>
      <c r="N17" s="90">
        <f t="shared" si="0"/>
        <v>0.76868868448028194</v>
      </c>
      <c r="O17" s="124"/>
      <c r="P17" s="86"/>
      <c r="Q17" s="123"/>
      <c r="R17" s="88">
        <f t="shared" si="5"/>
        <v>0.76868868448028194</v>
      </c>
      <c r="S17" s="92"/>
      <c r="T17" s="109"/>
      <c r="U17" s="94"/>
      <c r="V17" s="110"/>
      <c r="W17" s="111"/>
      <c r="X17" s="112"/>
      <c r="Y17" s="113"/>
      <c r="Z17" s="114"/>
      <c r="AA17" s="115"/>
      <c r="AB17" s="101"/>
      <c r="AC17" s="116"/>
      <c r="AD17" s="117"/>
      <c r="AE17" s="118"/>
      <c r="AF17" s="119"/>
      <c r="AG17" s="120"/>
      <c r="AH17" s="121"/>
      <c r="AI17" s="122"/>
      <c r="AJ17" s="163"/>
      <c r="AK17" s="167">
        <f t="shared" si="6"/>
        <v>0</v>
      </c>
      <c r="AL17" s="174"/>
    </row>
    <row r="18" spans="1:38" x14ac:dyDescent="0.3">
      <c r="A18" s="230">
        <v>14</v>
      </c>
      <c r="B18" s="211">
        <f>((B22-B4)/18)+B17</f>
        <v>5.0111111111111084</v>
      </c>
      <c r="C18" s="221">
        <f>((C22-C4)/18)+C17</f>
        <v>6.7444444444444418E-2</v>
      </c>
      <c r="D18" s="198">
        <f t="shared" si="1"/>
        <v>0.21188297119211152</v>
      </c>
      <c r="E18" s="226">
        <f t="shared" si="2"/>
        <v>8.8796930512780436E-3</v>
      </c>
      <c r="F18" s="229">
        <f t="shared" si="3"/>
        <v>1.420750888204487</v>
      </c>
      <c r="H18" s="201"/>
      <c r="I18" s="86"/>
      <c r="J18" s="123"/>
      <c r="K18" s="88">
        <f t="shared" si="4"/>
        <v>1.420750888204487</v>
      </c>
      <c r="L18" s="89"/>
      <c r="M18" s="179"/>
      <c r="N18" s="90">
        <f t="shared" si="0"/>
        <v>0.91073774884903014</v>
      </c>
      <c r="O18" s="124"/>
      <c r="P18" s="86"/>
      <c r="Q18" s="123"/>
      <c r="R18" s="88">
        <f t="shared" si="5"/>
        <v>0.91073774884903014</v>
      </c>
      <c r="S18" s="92"/>
      <c r="T18" s="109"/>
      <c r="U18" s="94"/>
      <c r="V18" s="110"/>
      <c r="W18" s="111"/>
      <c r="X18" s="112"/>
      <c r="Y18" s="113"/>
      <c r="Z18" s="114"/>
      <c r="AA18" s="115"/>
      <c r="AB18" s="101"/>
      <c r="AC18" s="116"/>
      <c r="AD18" s="117"/>
      <c r="AE18" s="118"/>
      <c r="AF18" s="119"/>
      <c r="AG18" s="120"/>
      <c r="AH18" s="121"/>
      <c r="AI18" s="122"/>
      <c r="AJ18" s="163"/>
      <c r="AK18" s="167">
        <f t="shared" si="6"/>
        <v>0</v>
      </c>
      <c r="AL18" s="174"/>
    </row>
    <row r="19" spans="1:38" x14ac:dyDescent="0.3">
      <c r="A19" s="184">
        <v>15</v>
      </c>
      <c r="B19" s="211">
        <f>((B22-B4)/18)+B18</f>
        <v>5.3333333333333304</v>
      </c>
      <c r="C19" s="221">
        <f>((C22-C4)/18)+C18</f>
        <v>7.0833333333333304E-2</v>
      </c>
      <c r="D19" s="177">
        <f t="shared" si="1"/>
        <v>0.22252947962927691</v>
      </c>
      <c r="E19" s="225">
        <f t="shared" si="2"/>
        <v>1.0424269845744783E-2</v>
      </c>
      <c r="F19" s="229">
        <f t="shared" si="3"/>
        <v>1.6678831753191652</v>
      </c>
      <c r="H19" s="201"/>
      <c r="I19" s="86"/>
      <c r="J19" s="123"/>
      <c r="K19" s="88">
        <f t="shared" si="4"/>
        <v>1.6678831753191652</v>
      </c>
      <c r="L19" s="89"/>
      <c r="M19" s="179"/>
      <c r="N19" s="90">
        <f t="shared" si="0"/>
        <v>1.0691558816148494</v>
      </c>
      <c r="O19" s="124"/>
      <c r="P19" s="86"/>
      <c r="Q19" s="123"/>
      <c r="R19" s="88">
        <f t="shared" si="5"/>
        <v>1.0691558816148494</v>
      </c>
      <c r="S19" s="92"/>
      <c r="T19" s="109"/>
      <c r="U19" s="94"/>
      <c r="V19" s="110"/>
      <c r="W19" s="111"/>
      <c r="X19" s="112"/>
      <c r="Y19" s="113"/>
      <c r="Z19" s="114"/>
      <c r="AA19" s="115"/>
      <c r="AB19" s="101"/>
      <c r="AC19" s="116"/>
      <c r="AD19" s="117"/>
      <c r="AE19" s="118"/>
      <c r="AF19" s="119"/>
      <c r="AG19" s="120"/>
      <c r="AH19" s="121"/>
      <c r="AI19" s="122"/>
      <c r="AJ19" s="163"/>
      <c r="AK19" s="167">
        <f t="shared" si="6"/>
        <v>0</v>
      </c>
      <c r="AL19" s="174"/>
    </row>
    <row r="20" spans="1:38" x14ac:dyDescent="0.3">
      <c r="A20" s="184">
        <v>16</v>
      </c>
      <c r="B20" s="211">
        <f>((B22-B4)/18)+B19</f>
        <v>5.6555555555555523</v>
      </c>
      <c r="C20" s="221">
        <f>((C22-C4)/18)+C19</f>
        <v>7.4222222222222189E-2</v>
      </c>
      <c r="D20" s="177">
        <f t="shared" si="1"/>
        <v>0.23317598806644232</v>
      </c>
      <c r="E20" s="225">
        <f t="shared" si="2"/>
        <v>1.2137094595989434E-2</v>
      </c>
      <c r="F20" s="229">
        <f t="shared" si="3"/>
        <v>1.9419351353583094</v>
      </c>
      <c r="H20" s="201"/>
      <c r="I20" s="86"/>
      <c r="J20" s="123"/>
      <c r="K20" s="88">
        <f t="shared" si="4"/>
        <v>1.9419351353583094</v>
      </c>
      <c r="L20" s="89"/>
      <c r="M20" s="179"/>
      <c r="N20" s="90">
        <f t="shared" si="0"/>
        <v>1.2448302149732753</v>
      </c>
      <c r="O20" s="124"/>
      <c r="P20" s="86"/>
      <c r="Q20" s="123"/>
      <c r="R20" s="88">
        <f t="shared" si="5"/>
        <v>1.2448302149732753</v>
      </c>
      <c r="S20" s="92"/>
      <c r="T20" s="109"/>
      <c r="U20" s="94"/>
      <c r="V20" s="110"/>
      <c r="W20" s="111"/>
      <c r="X20" s="112"/>
      <c r="Y20" s="113"/>
      <c r="Z20" s="114"/>
      <c r="AA20" s="115"/>
      <c r="AB20" s="101"/>
      <c r="AC20" s="116"/>
      <c r="AD20" s="117"/>
      <c r="AE20" s="118"/>
      <c r="AF20" s="119"/>
      <c r="AG20" s="120"/>
      <c r="AH20" s="121"/>
      <c r="AI20" s="122"/>
      <c r="AJ20" s="163"/>
      <c r="AK20" s="167">
        <f t="shared" si="6"/>
        <v>0</v>
      </c>
      <c r="AL20" s="174"/>
    </row>
    <row r="21" spans="1:38" x14ac:dyDescent="0.3">
      <c r="A21" s="184">
        <v>17</v>
      </c>
      <c r="B21" s="211">
        <f>((B22-B4)/18)+B20</f>
        <v>5.9777777777777743</v>
      </c>
      <c r="C21" s="221">
        <f>((C22-C4)/18)+C20</f>
        <v>7.7611111111111075E-2</v>
      </c>
      <c r="D21" s="177">
        <f t="shared" si="1"/>
        <v>0.24382249650360771</v>
      </c>
      <c r="E21" s="225">
        <f t="shared" si="2"/>
        <v>1.4026816840918442E-2</v>
      </c>
      <c r="F21" s="229">
        <f t="shared" si="3"/>
        <v>2.2442906945469505</v>
      </c>
      <c r="H21" s="201"/>
      <c r="I21" s="86"/>
      <c r="J21" s="123"/>
      <c r="K21" s="88">
        <f t="shared" si="4"/>
        <v>2.2442906945469505</v>
      </c>
      <c r="L21" s="89"/>
      <c r="M21" s="179"/>
      <c r="N21" s="90">
        <f t="shared" si="0"/>
        <v>1.43864788111984</v>
      </c>
      <c r="O21" s="124"/>
      <c r="P21" s="86"/>
      <c r="Q21" s="123"/>
      <c r="R21" s="88">
        <f t="shared" si="5"/>
        <v>1.43864788111984</v>
      </c>
      <c r="S21" s="92"/>
      <c r="T21" s="109"/>
      <c r="U21" s="94"/>
      <c r="V21" s="110"/>
      <c r="W21" s="111"/>
      <c r="X21" s="112"/>
      <c r="Y21" s="113"/>
      <c r="Z21" s="114"/>
      <c r="AA21" s="115"/>
      <c r="AB21" s="101"/>
      <c r="AC21" s="116"/>
      <c r="AD21" s="117"/>
      <c r="AE21" s="118"/>
      <c r="AF21" s="119"/>
      <c r="AG21" s="120"/>
      <c r="AH21" s="121"/>
      <c r="AI21" s="122"/>
      <c r="AJ21" s="163"/>
      <c r="AK21" s="167">
        <f t="shared" si="6"/>
        <v>0</v>
      </c>
      <c r="AL21" s="174"/>
    </row>
    <row r="22" spans="1:38" x14ac:dyDescent="0.3">
      <c r="A22" s="207">
        <v>18</v>
      </c>
      <c r="B22" s="231">
        <v>6.3</v>
      </c>
      <c r="C22" s="232">
        <v>8.1000000000000003E-2</v>
      </c>
      <c r="D22" s="233">
        <f t="shared" si="1"/>
        <v>0.25446900494077324</v>
      </c>
      <c r="E22" s="234">
        <f t="shared" si="2"/>
        <v>1.6102086119438294E-2</v>
      </c>
      <c r="F22" s="229">
        <f t="shared" si="3"/>
        <v>2.5763337791101271</v>
      </c>
      <c r="H22" s="201"/>
      <c r="I22" s="86"/>
      <c r="J22" s="123"/>
      <c r="K22" s="88">
        <f t="shared" si="4"/>
        <v>2.5763337791101271</v>
      </c>
      <c r="L22" s="89"/>
      <c r="M22" s="179"/>
      <c r="N22" s="90">
        <f t="shared" si="0"/>
        <v>1.6514960122500815</v>
      </c>
      <c r="O22" s="124"/>
      <c r="P22" s="86"/>
      <c r="Q22" s="123"/>
      <c r="R22" s="88">
        <f t="shared" si="5"/>
        <v>1.6514960122500815</v>
      </c>
      <c r="S22" s="92"/>
      <c r="T22" s="109"/>
      <c r="U22" s="94"/>
      <c r="V22" s="110"/>
      <c r="W22" s="111"/>
      <c r="X22" s="112"/>
      <c r="Y22" s="113"/>
      <c r="Z22" s="114"/>
      <c r="AA22" s="115"/>
      <c r="AB22" s="101"/>
      <c r="AC22" s="116"/>
      <c r="AD22" s="117"/>
      <c r="AE22" s="118"/>
      <c r="AF22" s="119"/>
      <c r="AG22" s="120"/>
      <c r="AH22" s="121"/>
      <c r="AI22" s="122"/>
      <c r="AJ22" s="163"/>
      <c r="AK22" s="167">
        <f t="shared" si="6"/>
        <v>0</v>
      </c>
      <c r="AL22" s="174"/>
    </row>
    <row r="23" spans="1:38" x14ac:dyDescent="0.3">
      <c r="A23" s="184">
        <v>19</v>
      </c>
      <c r="B23" s="208">
        <f>((B35-B22)/13)+B22</f>
        <v>6.592307692307692</v>
      </c>
      <c r="C23" s="208">
        <f>((C35-C22)/13)+C22</f>
        <v>8.392307692307692E-2</v>
      </c>
      <c r="D23" s="177">
        <f t="shared" si="1"/>
        <v>0.26365212192818954</v>
      </c>
      <c r="E23" s="225">
        <f t="shared" si="2"/>
        <v>1.8087220123747777E-2</v>
      </c>
      <c r="F23" s="229">
        <f t="shared" si="3"/>
        <v>2.8939552197996443</v>
      </c>
      <c r="H23" s="201"/>
      <c r="I23" s="86"/>
      <c r="J23" s="123"/>
      <c r="K23" s="88">
        <f t="shared" si="4"/>
        <v>2.8939552197996443</v>
      </c>
      <c r="L23" s="89"/>
      <c r="M23" s="179"/>
      <c r="N23" s="90">
        <f t="shared" si="0"/>
        <v>1.8550994998715669</v>
      </c>
      <c r="O23" s="124"/>
      <c r="P23" s="86"/>
      <c r="Q23" s="123"/>
      <c r="R23" s="88">
        <f t="shared" si="5"/>
        <v>1.8550994998715669</v>
      </c>
      <c r="S23" s="92"/>
      <c r="T23" s="109"/>
      <c r="U23" s="94"/>
      <c r="V23" s="110"/>
      <c r="W23" s="111"/>
      <c r="X23" s="112"/>
      <c r="Y23" s="113"/>
      <c r="Z23" s="114"/>
      <c r="AA23" s="115"/>
      <c r="AB23" s="101"/>
      <c r="AC23" s="116"/>
      <c r="AD23" s="117"/>
      <c r="AE23" s="118"/>
      <c r="AF23" s="119"/>
      <c r="AG23" s="120"/>
      <c r="AH23" s="121"/>
      <c r="AI23" s="122"/>
      <c r="AJ23" s="163"/>
      <c r="AK23" s="167">
        <f t="shared" si="6"/>
        <v>0</v>
      </c>
      <c r="AL23" s="174"/>
    </row>
    <row r="24" spans="1:38" x14ac:dyDescent="0.3">
      <c r="A24" s="184">
        <v>20</v>
      </c>
      <c r="B24" s="208">
        <f>((B35-B22)/13)+B23</f>
        <v>6.8846153846153841</v>
      </c>
      <c r="C24" s="208">
        <f>((C35-C22)/13)+C23</f>
        <v>8.6846153846153837E-2</v>
      </c>
      <c r="D24" s="177">
        <f t="shared" si="1"/>
        <v>0.27283523891560585</v>
      </c>
      <c r="E24" s="225">
        <f t="shared" si="2"/>
        <v>2.0227975553828454E-2</v>
      </c>
      <c r="F24" s="229">
        <f t="shared" si="3"/>
        <v>3.2364760886125525</v>
      </c>
      <c r="H24" s="201"/>
      <c r="I24" s="86"/>
      <c r="J24" s="123"/>
      <c r="K24" s="88">
        <f t="shared" si="4"/>
        <v>3.2364760886125525</v>
      </c>
      <c r="L24" s="89"/>
      <c r="M24" s="179"/>
      <c r="N24" s="90">
        <f t="shared" si="0"/>
        <v>2.0746641593670208</v>
      </c>
      <c r="O24" s="124"/>
      <c r="P24" s="86"/>
      <c r="Q24" s="123"/>
      <c r="R24" s="88">
        <f t="shared" si="5"/>
        <v>2.0746641593670208</v>
      </c>
      <c r="S24" s="92"/>
      <c r="T24" s="109"/>
      <c r="U24" s="94"/>
      <c r="V24" s="110"/>
      <c r="W24" s="111"/>
      <c r="X24" s="112"/>
      <c r="Y24" s="113"/>
      <c r="Z24" s="114"/>
      <c r="AA24" s="115"/>
      <c r="AB24" s="101"/>
      <c r="AC24" s="116"/>
      <c r="AD24" s="117"/>
      <c r="AE24" s="118"/>
      <c r="AF24" s="119"/>
      <c r="AG24" s="120"/>
      <c r="AH24" s="121"/>
      <c r="AI24" s="122"/>
      <c r="AJ24" s="163"/>
      <c r="AK24" s="167">
        <f t="shared" si="6"/>
        <v>0</v>
      </c>
      <c r="AL24" s="174"/>
    </row>
    <row r="25" spans="1:38" x14ac:dyDescent="0.3">
      <c r="A25" s="184">
        <v>21</v>
      </c>
      <c r="B25" s="208">
        <f>((B35-B22)/13)+B24</f>
        <v>7.1769230769230763</v>
      </c>
      <c r="C25" s="208">
        <f>((C35-C22)/13)+C24</f>
        <v>8.9769230769230754E-2</v>
      </c>
      <c r="D25" s="177">
        <f t="shared" si="1"/>
        <v>0.28201835590302216</v>
      </c>
      <c r="E25" s="225">
        <f t="shared" si="2"/>
        <v>2.2530190133450617E-2</v>
      </c>
      <c r="F25" s="229">
        <f t="shared" si="3"/>
        <v>3.6048304213520987</v>
      </c>
      <c r="H25" s="201"/>
      <c r="I25" s="86"/>
      <c r="J25" s="123"/>
      <c r="K25" s="88">
        <f t="shared" si="4"/>
        <v>3.6048304213520987</v>
      </c>
      <c r="L25" s="89"/>
      <c r="M25" s="179"/>
      <c r="N25" s="90">
        <f t="shared" si="0"/>
        <v>2.3107887316359608</v>
      </c>
      <c r="O25" s="124"/>
      <c r="P25" s="86"/>
      <c r="Q25" s="123"/>
      <c r="R25" s="88">
        <f t="shared" si="5"/>
        <v>2.3107887316359608</v>
      </c>
      <c r="S25" s="92"/>
      <c r="T25" s="109"/>
      <c r="U25" s="94"/>
      <c r="V25" s="110"/>
      <c r="W25" s="111"/>
      <c r="X25" s="112"/>
      <c r="Y25" s="113"/>
      <c r="Z25" s="114"/>
      <c r="AA25" s="115"/>
      <c r="AB25" s="101"/>
      <c r="AC25" s="116"/>
      <c r="AD25" s="117"/>
      <c r="AE25" s="118"/>
      <c r="AF25" s="119"/>
      <c r="AG25" s="120"/>
      <c r="AH25" s="121"/>
      <c r="AI25" s="122"/>
      <c r="AJ25" s="163"/>
      <c r="AK25" s="167">
        <f t="shared" si="6"/>
        <v>0</v>
      </c>
      <c r="AL25" s="174"/>
    </row>
    <row r="26" spans="1:38" x14ac:dyDescent="0.3">
      <c r="A26" s="184">
        <v>22</v>
      </c>
      <c r="B26" s="208">
        <f>((B35-B22)/13)+B25</f>
        <v>7.4692307692307685</v>
      </c>
      <c r="C26" s="208">
        <f>((C35-C22)/13)+C25</f>
        <v>9.2692307692307671E-2</v>
      </c>
      <c r="D26" s="177">
        <f t="shared" si="1"/>
        <v>0.29120147289043846</v>
      </c>
      <c r="E26" s="225">
        <f t="shared" si="2"/>
        <v>2.4999701586384565E-2</v>
      </c>
      <c r="F26" s="229">
        <f t="shared" si="3"/>
        <v>3.9999522538215304</v>
      </c>
      <c r="H26" s="201"/>
      <c r="I26" s="86"/>
      <c r="J26" s="123"/>
      <c r="K26" s="88">
        <f t="shared" si="4"/>
        <v>3.9999522538215304</v>
      </c>
      <c r="L26" s="89"/>
      <c r="M26" s="179"/>
      <c r="N26" s="90">
        <f t="shared" si="0"/>
        <v>2.5640719575779038</v>
      </c>
      <c r="O26" s="124"/>
      <c r="P26" s="86"/>
      <c r="Q26" s="123"/>
      <c r="R26" s="88">
        <f t="shared" si="5"/>
        <v>2.5640719575779038</v>
      </c>
      <c r="S26" s="92"/>
      <c r="T26" s="109"/>
      <c r="U26" s="94"/>
      <c r="V26" s="110"/>
      <c r="W26" s="111"/>
      <c r="X26" s="112"/>
      <c r="Y26" s="113"/>
      <c r="Z26" s="114"/>
      <c r="AA26" s="115"/>
      <c r="AB26" s="101"/>
      <c r="AC26" s="116"/>
      <c r="AD26" s="117"/>
      <c r="AE26" s="118"/>
      <c r="AF26" s="119"/>
      <c r="AG26" s="120"/>
      <c r="AH26" s="121"/>
      <c r="AI26" s="122"/>
      <c r="AJ26" s="163"/>
      <c r="AK26" s="167">
        <f t="shared" si="6"/>
        <v>0</v>
      </c>
      <c r="AL26" s="174"/>
    </row>
    <row r="27" spans="1:38" x14ac:dyDescent="0.3">
      <c r="A27" s="184">
        <v>23</v>
      </c>
      <c r="B27" s="208">
        <f>((B35-B22)/13)+B26</f>
        <v>7.7615384615384606</v>
      </c>
      <c r="C27" s="208">
        <f>((C35-C22)/13)+C26</f>
        <v>9.5615384615384588E-2</v>
      </c>
      <c r="D27" s="177">
        <f t="shared" si="1"/>
        <v>0.30038458987785477</v>
      </c>
      <c r="E27" s="225">
        <f t="shared" si="2"/>
        <v>2.7642347636400576E-2</v>
      </c>
      <c r="F27" s="229">
        <f t="shared" si="3"/>
        <v>4.4227756218240923</v>
      </c>
      <c r="H27" s="201"/>
      <c r="I27" s="86"/>
      <c r="J27" s="123"/>
      <c r="K27" s="88">
        <f t="shared" si="4"/>
        <v>4.4227756218240923</v>
      </c>
      <c r="L27" s="89"/>
      <c r="M27" s="179"/>
      <c r="N27" s="90">
        <f t="shared" si="0"/>
        <v>2.8351125780923669</v>
      </c>
      <c r="O27" s="124"/>
      <c r="P27" s="86"/>
      <c r="Q27" s="123"/>
      <c r="R27" s="88">
        <f t="shared" si="5"/>
        <v>2.8351125780923669</v>
      </c>
      <c r="S27" s="92"/>
      <c r="T27" s="109"/>
      <c r="U27" s="94"/>
      <c r="V27" s="110"/>
      <c r="W27" s="111"/>
      <c r="X27" s="112"/>
      <c r="Y27" s="113"/>
      <c r="Z27" s="114"/>
      <c r="AA27" s="115"/>
      <c r="AB27" s="101"/>
      <c r="AC27" s="116"/>
      <c r="AD27" s="117"/>
      <c r="AE27" s="118"/>
      <c r="AF27" s="119"/>
      <c r="AG27" s="120"/>
      <c r="AH27" s="121"/>
      <c r="AI27" s="122"/>
      <c r="AJ27" s="163"/>
      <c r="AK27" s="167">
        <f t="shared" si="6"/>
        <v>0</v>
      </c>
      <c r="AL27" s="174"/>
    </row>
    <row r="28" spans="1:38" x14ac:dyDescent="0.3">
      <c r="A28" s="184">
        <v>24</v>
      </c>
      <c r="B28" s="208">
        <f>((B35-B22)/13)+B27</f>
        <v>8.0538461538461537</v>
      </c>
      <c r="C28" s="208">
        <f>((C35-C22)/13)+C27</f>
        <v>9.8538461538461505E-2</v>
      </c>
      <c r="D28" s="177">
        <f t="shared" si="1"/>
        <v>0.30956770686527108</v>
      </c>
      <c r="E28" s="225">
        <f t="shared" si="2"/>
        <v>3.0463966007268955E-2</v>
      </c>
      <c r="F28" s="229">
        <f t="shared" si="3"/>
        <v>4.8742345611630329</v>
      </c>
      <c r="H28" s="201"/>
      <c r="I28" s="86"/>
      <c r="J28" s="123"/>
      <c r="K28" s="88">
        <f t="shared" si="4"/>
        <v>4.8742345611630329</v>
      </c>
      <c r="L28" s="89"/>
      <c r="M28" s="179"/>
      <c r="N28" s="90">
        <f t="shared" si="0"/>
        <v>3.124509334078867</v>
      </c>
      <c r="O28" s="124"/>
      <c r="P28" s="86"/>
      <c r="Q28" s="123"/>
      <c r="R28" s="88">
        <f t="shared" si="5"/>
        <v>3.124509334078867</v>
      </c>
      <c r="S28" s="92"/>
      <c r="T28" s="109"/>
      <c r="U28" s="94"/>
      <c r="V28" s="110"/>
      <c r="W28" s="111"/>
      <c r="X28" s="112"/>
      <c r="Y28" s="113"/>
      <c r="Z28" s="114"/>
      <c r="AA28" s="115"/>
      <c r="AB28" s="101"/>
      <c r="AC28" s="116"/>
      <c r="AD28" s="117"/>
      <c r="AE28" s="118"/>
      <c r="AF28" s="119"/>
      <c r="AG28" s="120"/>
      <c r="AH28" s="121"/>
      <c r="AI28" s="122"/>
      <c r="AJ28" s="163"/>
      <c r="AK28" s="167">
        <f t="shared" si="6"/>
        <v>0</v>
      </c>
      <c r="AL28" s="174"/>
    </row>
    <row r="29" spans="1:38" x14ac:dyDescent="0.3">
      <c r="A29" s="230">
        <v>25</v>
      </c>
      <c r="B29" s="208">
        <f>((B35-B22)/13)+B28</f>
        <v>8.3461538461538467</v>
      </c>
      <c r="C29" s="208">
        <f>((C35-C22)/13)+C28</f>
        <v>0.10146153846153842</v>
      </c>
      <c r="D29" s="177">
        <f t="shared" si="1"/>
        <v>0.31875082385268733</v>
      </c>
      <c r="E29" s="225">
        <f t="shared" si="2"/>
        <v>3.347039442275998E-2</v>
      </c>
      <c r="F29" s="229">
        <f t="shared" si="3"/>
        <v>5.3552631076415969</v>
      </c>
      <c r="H29" s="202"/>
      <c r="I29" s="86"/>
      <c r="J29" s="123"/>
      <c r="K29" s="88">
        <f t="shared" si="4"/>
        <v>5.3552631076415969</v>
      </c>
      <c r="L29" s="89"/>
      <c r="M29" s="179"/>
      <c r="N29" s="90">
        <f t="shared" si="0"/>
        <v>3.432860966436921</v>
      </c>
      <c r="O29" s="124"/>
      <c r="P29" s="86"/>
      <c r="Q29" s="123"/>
      <c r="R29" s="88">
        <f t="shared" si="5"/>
        <v>3.432860966436921</v>
      </c>
      <c r="S29" s="92"/>
      <c r="T29" s="109"/>
      <c r="U29" s="94"/>
      <c r="V29" s="110"/>
      <c r="W29" s="111"/>
      <c r="X29" s="112"/>
      <c r="Y29" s="113"/>
      <c r="Z29" s="114"/>
      <c r="AA29" s="115"/>
      <c r="AB29" s="101"/>
      <c r="AC29" s="116"/>
      <c r="AD29" s="117"/>
      <c r="AE29" s="118"/>
      <c r="AF29" s="119"/>
      <c r="AG29" s="120"/>
      <c r="AH29" s="121"/>
      <c r="AI29" s="122"/>
      <c r="AJ29" s="163"/>
      <c r="AK29" s="167">
        <f t="shared" si="6"/>
        <v>0</v>
      </c>
      <c r="AL29" s="174"/>
    </row>
    <row r="30" spans="1:38" x14ac:dyDescent="0.3">
      <c r="A30" s="184">
        <v>26</v>
      </c>
      <c r="B30" s="208">
        <f>((B35-B22)/13)+B29</f>
        <v>8.6384615384615397</v>
      </c>
      <c r="C30" s="208">
        <f>((C35-C22)/13)+C29</f>
        <v>0.10438461538461534</v>
      </c>
      <c r="D30" s="177">
        <f t="shared" si="1"/>
        <v>0.32793394084010363</v>
      </c>
      <c r="E30" s="225">
        <f t="shared" si="2"/>
        <v>3.6667470606643965E-2</v>
      </c>
      <c r="F30" s="229">
        <f t="shared" si="3"/>
        <v>5.8667952970630344</v>
      </c>
      <c r="H30" s="201"/>
      <c r="I30" s="86"/>
      <c r="J30" s="123"/>
      <c r="K30" s="88">
        <f t="shared" si="4"/>
        <v>5.8667952970630344</v>
      </c>
      <c r="L30" s="89"/>
      <c r="M30" s="179"/>
      <c r="N30" s="90">
        <f t="shared" si="0"/>
        <v>3.7607662160660476</v>
      </c>
      <c r="O30" s="124"/>
      <c r="P30" s="86"/>
      <c r="Q30" s="123"/>
      <c r="R30" s="88">
        <f t="shared" si="5"/>
        <v>3.7607662160660476</v>
      </c>
      <c r="S30" s="92"/>
      <c r="T30" s="109"/>
      <c r="U30" s="94"/>
      <c r="V30" s="110"/>
      <c r="W30" s="111"/>
      <c r="X30" s="112"/>
      <c r="Y30" s="113"/>
      <c r="Z30" s="114"/>
      <c r="AA30" s="115"/>
      <c r="AB30" s="101"/>
      <c r="AC30" s="116"/>
      <c r="AD30" s="117"/>
      <c r="AE30" s="118"/>
      <c r="AF30" s="119"/>
      <c r="AG30" s="120"/>
      <c r="AH30" s="121"/>
      <c r="AI30" s="122"/>
      <c r="AJ30" s="163"/>
      <c r="AK30" s="167">
        <f t="shared" si="6"/>
        <v>0</v>
      </c>
      <c r="AL30" s="174"/>
    </row>
    <row r="31" spans="1:38" x14ac:dyDescent="0.3">
      <c r="A31" s="184">
        <v>27</v>
      </c>
      <c r="B31" s="208">
        <f>((B35-B22)/13)+B30</f>
        <v>8.9307692307692328</v>
      </c>
      <c r="C31" s="208">
        <f>((C35-C22)/13)+C30</f>
        <v>0.10730769230769226</v>
      </c>
      <c r="D31" s="177">
        <f t="shared" si="1"/>
        <v>0.33711705782751994</v>
      </c>
      <c r="E31" s="225">
        <f t="shared" si="2"/>
        <v>4.0061032282691172E-2</v>
      </c>
      <c r="F31" s="229">
        <f t="shared" si="3"/>
        <v>6.4097651652305876</v>
      </c>
      <c r="H31" s="201"/>
      <c r="I31" s="86"/>
      <c r="J31" s="123"/>
      <c r="K31" s="88">
        <f t="shared" si="4"/>
        <v>6.4097651652305876</v>
      </c>
      <c r="L31" s="89"/>
      <c r="M31" s="179"/>
      <c r="N31" s="90">
        <f t="shared" si="0"/>
        <v>4.1088238238657615</v>
      </c>
      <c r="O31" s="124"/>
      <c r="P31" s="86"/>
      <c r="Q31" s="123"/>
      <c r="R31" s="88">
        <f t="shared" si="5"/>
        <v>4.1088238238657615</v>
      </c>
      <c r="S31" s="92"/>
      <c r="T31" s="109"/>
      <c r="U31" s="94"/>
      <c r="V31" s="110"/>
      <c r="W31" s="111"/>
      <c r="X31" s="112"/>
      <c r="Y31" s="113"/>
      <c r="Z31" s="114"/>
      <c r="AA31" s="115"/>
      <c r="AB31" s="101"/>
      <c r="AC31" s="116"/>
      <c r="AD31" s="117"/>
      <c r="AE31" s="118"/>
      <c r="AF31" s="119"/>
      <c r="AG31" s="120"/>
      <c r="AH31" s="121"/>
      <c r="AI31" s="122"/>
      <c r="AJ31" s="163"/>
      <c r="AK31" s="167">
        <f t="shared" si="6"/>
        <v>0</v>
      </c>
      <c r="AL31" s="174"/>
    </row>
    <row r="32" spans="1:38" x14ac:dyDescent="0.3">
      <c r="A32" s="184">
        <v>28</v>
      </c>
      <c r="B32" s="208">
        <f>((B35-B22)/13)+B31</f>
        <v>9.2230769230769258</v>
      </c>
      <c r="C32" s="208">
        <f>((C35-C22)/13)+C31</f>
        <v>0.11023076923076917</v>
      </c>
      <c r="D32" s="177">
        <f t="shared" si="1"/>
        <v>0.34630017481493625</v>
      </c>
      <c r="E32" s="225">
        <f t="shared" si="2"/>
        <v>4.3656917174671926E-2</v>
      </c>
      <c r="F32" s="229">
        <f t="shared" si="3"/>
        <v>6.9851067479475084</v>
      </c>
      <c r="H32" s="201"/>
      <c r="I32" s="86"/>
      <c r="J32" s="123"/>
      <c r="K32" s="88">
        <f t="shared" si="4"/>
        <v>6.9851067479475084</v>
      </c>
      <c r="L32" s="89"/>
      <c r="M32" s="179"/>
      <c r="N32" s="90">
        <f t="shared" si="0"/>
        <v>4.4776325307355824</v>
      </c>
      <c r="O32" s="124"/>
      <c r="P32" s="86"/>
      <c r="Q32" s="123"/>
      <c r="R32" s="88">
        <f t="shared" si="5"/>
        <v>4.4776325307355824</v>
      </c>
      <c r="S32" s="92"/>
      <c r="T32" s="125"/>
      <c r="U32" s="94"/>
      <c r="V32" s="126"/>
      <c r="W32" s="127"/>
      <c r="X32" s="128"/>
      <c r="Y32" s="129"/>
      <c r="Z32" s="130"/>
      <c r="AA32" s="131"/>
      <c r="AB32" s="101"/>
      <c r="AC32" s="116"/>
      <c r="AD32" s="132"/>
      <c r="AE32" s="118"/>
      <c r="AF32" s="119"/>
      <c r="AG32" s="133"/>
      <c r="AH32" s="134"/>
      <c r="AI32" s="135"/>
      <c r="AJ32" s="164"/>
      <c r="AK32" s="167">
        <f t="shared" si="6"/>
        <v>0</v>
      </c>
      <c r="AL32" s="174"/>
    </row>
    <row r="33" spans="1:38" x14ac:dyDescent="0.3">
      <c r="A33" s="184">
        <v>29</v>
      </c>
      <c r="B33" s="208">
        <f>((B35-B22)/13)+B32</f>
        <v>9.5153846153846189</v>
      </c>
      <c r="C33" s="208">
        <f>((C35-C22)/13)+C32</f>
        <v>0.11315384615384609</v>
      </c>
      <c r="D33" s="177">
        <f t="shared" si="1"/>
        <v>0.35548329180235255</v>
      </c>
      <c r="E33" s="225">
        <f t="shared" si="2"/>
        <v>4.7460963006356487E-2</v>
      </c>
      <c r="F33" s="229">
        <f t="shared" si="3"/>
        <v>7.5937540810170381</v>
      </c>
      <c r="H33" s="201"/>
      <c r="I33" s="86"/>
      <c r="J33" s="123"/>
      <c r="K33" s="88">
        <f t="shared" si="4"/>
        <v>7.5937540810170381</v>
      </c>
      <c r="L33" s="89"/>
      <c r="M33" s="179"/>
      <c r="N33" s="90">
        <f t="shared" si="0"/>
        <v>4.8677910775750242</v>
      </c>
      <c r="O33" s="124"/>
      <c r="P33" s="86"/>
      <c r="Q33" s="123"/>
      <c r="R33" s="88">
        <f t="shared" si="5"/>
        <v>4.8677910775750242</v>
      </c>
      <c r="S33" s="92"/>
      <c r="T33" s="125"/>
      <c r="U33" s="94"/>
      <c r="V33" s="126"/>
      <c r="W33" s="127"/>
      <c r="X33" s="128"/>
      <c r="Y33" s="129"/>
      <c r="Z33" s="130"/>
      <c r="AA33" s="131"/>
      <c r="AB33" s="101"/>
      <c r="AC33" s="116"/>
      <c r="AD33" s="132"/>
      <c r="AE33" s="118"/>
      <c r="AF33" s="119"/>
      <c r="AG33" s="133"/>
      <c r="AH33" s="134"/>
      <c r="AI33" s="135"/>
      <c r="AJ33" s="164"/>
      <c r="AK33" s="167">
        <f t="shared" si="6"/>
        <v>0</v>
      </c>
      <c r="AL33" s="174"/>
    </row>
    <row r="34" spans="1:38" x14ac:dyDescent="0.3">
      <c r="A34" s="184">
        <v>30</v>
      </c>
      <c r="B34" s="208">
        <f>((B35-B22)/13)+B33</f>
        <v>9.8076923076923119</v>
      </c>
      <c r="C34" s="208">
        <f>((C35-C22)/13)+C33</f>
        <v>0.11607692307692301</v>
      </c>
      <c r="D34" s="177">
        <f t="shared" si="1"/>
        <v>0.36466640878976886</v>
      </c>
      <c r="E34" s="225">
        <f t="shared" si="2"/>
        <v>5.147900750151517E-2</v>
      </c>
      <c r="F34" s="229">
        <f t="shared" si="3"/>
        <v>8.2366412002424276</v>
      </c>
      <c r="H34" s="201"/>
      <c r="I34" s="86"/>
      <c r="J34" s="123"/>
      <c r="K34" s="160">
        <f t="shared" si="4"/>
        <v>8.2366412002424276</v>
      </c>
      <c r="L34" s="136"/>
      <c r="M34" s="179"/>
      <c r="N34" s="90">
        <f t="shared" si="0"/>
        <v>5.2798982052836072</v>
      </c>
      <c r="O34" s="124"/>
      <c r="P34" s="86"/>
      <c r="Q34" s="123"/>
      <c r="R34" s="88">
        <f t="shared" si="5"/>
        <v>5.2798982052836072</v>
      </c>
      <c r="S34" s="92"/>
      <c r="T34" s="125"/>
      <c r="U34" s="94"/>
      <c r="V34" s="126"/>
      <c r="W34" s="127"/>
      <c r="X34" s="128"/>
      <c r="Y34" s="129"/>
      <c r="Z34" s="130"/>
      <c r="AA34" s="131"/>
      <c r="AB34" s="101"/>
      <c r="AC34" s="116"/>
      <c r="AD34" s="132"/>
      <c r="AE34" s="118"/>
      <c r="AF34" s="119"/>
      <c r="AG34" s="133"/>
      <c r="AH34" s="134"/>
      <c r="AI34" s="135"/>
      <c r="AJ34" s="164"/>
      <c r="AK34" s="167">
        <f t="shared" si="6"/>
        <v>0</v>
      </c>
      <c r="AL34" s="174"/>
    </row>
    <row r="35" spans="1:38" x14ac:dyDescent="0.3">
      <c r="A35" s="207">
        <v>31</v>
      </c>
      <c r="B35" s="231">
        <v>10.1</v>
      </c>
      <c r="C35" s="232">
        <v>0.11899999999999999</v>
      </c>
      <c r="D35" s="233">
        <f t="shared" si="1"/>
        <v>0.37384952577718539</v>
      </c>
      <c r="E35" s="234">
        <f t="shared" si="2"/>
        <v>5.5716888383918299E-2</v>
      </c>
      <c r="F35" s="229">
        <f t="shared" si="3"/>
        <v>8.9147021414269272</v>
      </c>
      <c r="H35" s="201"/>
      <c r="I35" s="86"/>
      <c r="J35" s="123"/>
      <c r="K35" s="88">
        <f t="shared" si="4"/>
        <v>8.9147021414269272</v>
      </c>
      <c r="L35" s="89"/>
      <c r="M35" s="179"/>
      <c r="N35" s="90">
        <f t="shared" si="0"/>
        <v>5.7145526547608503</v>
      </c>
      <c r="O35" s="124"/>
      <c r="P35" s="86"/>
      <c r="Q35" s="123"/>
      <c r="R35" s="88">
        <f t="shared" si="5"/>
        <v>5.7145526547608503</v>
      </c>
      <c r="S35" s="92"/>
      <c r="T35" s="125"/>
      <c r="U35" s="94"/>
      <c r="V35" s="126"/>
      <c r="W35" s="127"/>
      <c r="X35" s="128"/>
      <c r="Y35" s="129"/>
      <c r="Z35" s="130"/>
      <c r="AA35" s="131"/>
      <c r="AB35" s="101"/>
      <c r="AC35" s="116"/>
      <c r="AD35" s="132"/>
      <c r="AE35" s="118"/>
      <c r="AF35" s="119"/>
      <c r="AG35" s="133"/>
      <c r="AH35" s="134"/>
      <c r="AI35" s="135"/>
      <c r="AJ35" s="164"/>
      <c r="AK35" s="167">
        <f t="shared" si="6"/>
        <v>0</v>
      </c>
      <c r="AL35" s="174"/>
    </row>
    <row r="36" spans="1:38" x14ac:dyDescent="0.3">
      <c r="A36" s="184">
        <v>32</v>
      </c>
      <c r="B36" s="208">
        <f>((B53-B35)/18)+B35</f>
        <v>10.338888888888889</v>
      </c>
      <c r="C36" s="208">
        <f>((C53-C35)/18)+C35</f>
        <v>0.12227777777777778</v>
      </c>
      <c r="D36" s="177">
        <f t="shared" si="1"/>
        <v>0.3841469683639519</v>
      </c>
      <c r="E36" s="225">
        <f t="shared" si="2"/>
        <v>6.0219965280121399E-2</v>
      </c>
      <c r="F36" s="229">
        <f t="shared" si="3"/>
        <v>9.6351944448194242</v>
      </c>
      <c r="H36" s="201"/>
      <c r="I36" s="86"/>
      <c r="J36" s="123"/>
      <c r="K36" s="88">
        <f t="shared" si="4"/>
        <v>9.6351944448194242</v>
      </c>
      <c r="L36" s="89"/>
      <c r="M36" s="179"/>
      <c r="N36" s="90">
        <f t="shared" si="0"/>
        <v>6.1764066953970662</v>
      </c>
      <c r="O36" s="124"/>
      <c r="P36" s="86"/>
      <c r="Q36" s="123"/>
      <c r="R36" s="88">
        <f t="shared" si="5"/>
        <v>6.1764066953970662</v>
      </c>
      <c r="S36" s="92"/>
      <c r="T36" s="125"/>
      <c r="U36" s="94"/>
      <c r="V36" s="126"/>
      <c r="W36" s="127"/>
      <c r="X36" s="128"/>
      <c r="Y36" s="129"/>
      <c r="Z36" s="130"/>
      <c r="AA36" s="131"/>
      <c r="AB36" s="101"/>
      <c r="AC36" s="116"/>
      <c r="AD36" s="132"/>
      <c r="AE36" s="118"/>
      <c r="AF36" s="119"/>
      <c r="AG36" s="133"/>
      <c r="AH36" s="134"/>
      <c r="AI36" s="135"/>
      <c r="AJ36" s="164"/>
      <c r="AK36" s="167">
        <f t="shared" si="6"/>
        <v>0</v>
      </c>
      <c r="AL36" s="174"/>
    </row>
    <row r="37" spans="1:38" x14ac:dyDescent="0.3">
      <c r="A37" s="184">
        <v>33</v>
      </c>
      <c r="B37" s="208">
        <f>((B53-B35)/18)+B36</f>
        <v>10.577777777777778</v>
      </c>
      <c r="C37" s="208">
        <f>((C53-C35)/18)+C36</f>
        <v>0.12555555555555556</v>
      </c>
      <c r="D37" s="177">
        <f t="shared" si="1"/>
        <v>0.39444441095071847</v>
      </c>
      <c r="E37" s="225">
        <f t="shared" si="2"/>
        <v>6.495878076668983E-2</v>
      </c>
      <c r="F37" s="229">
        <f t="shared" si="3"/>
        <v>10.393404922670372</v>
      </c>
      <c r="H37" s="203">
        <v>0.15</v>
      </c>
      <c r="I37" s="86">
        <f>H37*F37</f>
        <v>1.5590107384005558</v>
      </c>
      <c r="J37" s="123">
        <f>I37</f>
        <v>1.5590107384005558</v>
      </c>
      <c r="K37" s="88">
        <f>F37-J37</f>
        <v>8.8343941842698168</v>
      </c>
      <c r="L37" s="89"/>
      <c r="M37" s="179"/>
      <c r="N37" s="90">
        <f t="shared" si="0"/>
        <v>6.662439052993828</v>
      </c>
      <c r="O37" s="137">
        <v>0.15</v>
      </c>
      <c r="P37" s="86">
        <f>O37*N37</f>
        <v>0.99936585794907418</v>
      </c>
      <c r="Q37" s="123">
        <f>P37</f>
        <v>0.99936585794907418</v>
      </c>
      <c r="R37" s="88">
        <f>N37-Q37</f>
        <v>5.6630731950447535</v>
      </c>
      <c r="S37" s="92"/>
      <c r="T37" s="125"/>
      <c r="U37" s="94"/>
      <c r="V37" s="126"/>
      <c r="W37" s="127"/>
      <c r="X37" s="128"/>
      <c r="Y37" s="129"/>
      <c r="Z37" s="130"/>
      <c r="AA37" s="131">
        <f>P37</f>
        <v>0.99936585794907418</v>
      </c>
      <c r="AB37" s="101">
        <f t="shared" ref="AB37:AB45" si="7">I37-P37</f>
        <v>0.55964488045148164</v>
      </c>
      <c r="AC37" s="116">
        <f t="shared" ref="AC37:AC45" si="8">(AA37+AB37)/0.6</f>
        <v>2.5983512306675931</v>
      </c>
      <c r="AD37" s="132">
        <v>8</v>
      </c>
      <c r="AE37" s="118">
        <f t="shared" ref="AE37:AE45" si="9">AC37*AD37</f>
        <v>20.786809845340745</v>
      </c>
      <c r="AF37" s="119"/>
      <c r="AG37" s="133"/>
      <c r="AH37" s="134"/>
      <c r="AI37" s="135"/>
      <c r="AJ37" s="164"/>
      <c r="AK37" s="167">
        <f t="shared" si="6"/>
        <v>20.786809845340745</v>
      </c>
      <c r="AL37" s="174"/>
    </row>
    <row r="38" spans="1:38" x14ac:dyDescent="0.3">
      <c r="A38" s="184">
        <v>34</v>
      </c>
      <c r="B38" s="208">
        <f>((B53-B35)/18)+B37</f>
        <v>10.816666666666666</v>
      </c>
      <c r="C38" s="208">
        <f>((C53-C35)/18)+C37</f>
        <v>0.12883333333333333</v>
      </c>
      <c r="D38" s="177">
        <f t="shared" si="1"/>
        <v>0.40474185353748499</v>
      </c>
      <c r="E38" s="225">
        <f t="shared" si="2"/>
        <v>6.9939333828565237E-2</v>
      </c>
      <c r="F38" s="229">
        <f t="shared" si="3"/>
        <v>11.190293412570437</v>
      </c>
      <c r="H38" s="204"/>
      <c r="I38" s="86"/>
      <c r="J38" s="123"/>
      <c r="K38" s="88">
        <f>F38-J37</f>
        <v>9.6312826741698814</v>
      </c>
      <c r="L38" s="89"/>
      <c r="M38" s="179"/>
      <c r="N38" s="90">
        <f t="shared" si="0"/>
        <v>7.1732650080579718</v>
      </c>
      <c r="O38" s="137"/>
      <c r="P38" s="86"/>
      <c r="Q38" s="123"/>
      <c r="R38" s="88">
        <f>N38-Q37</f>
        <v>6.1738991501088973</v>
      </c>
      <c r="S38" s="92"/>
      <c r="T38" s="125"/>
      <c r="U38" s="94"/>
      <c r="V38" s="126"/>
      <c r="W38" s="127"/>
      <c r="X38" s="128"/>
      <c r="Y38" s="129"/>
      <c r="Z38" s="130"/>
      <c r="AA38" s="131"/>
      <c r="AB38" s="101"/>
      <c r="AC38" s="116"/>
      <c r="AD38" s="132"/>
      <c r="AE38" s="118"/>
      <c r="AF38" s="119"/>
      <c r="AG38" s="133"/>
      <c r="AH38" s="134"/>
      <c r="AI38" s="135"/>
      <c r="AJ38" s="164"/>
      <c r="AK38" s="167">
        <f t="shared" si="6"/>
        <v>0</v>
      </c>
      <c r="AL38" s="174"/>
    </row>
    <row r="39" spans="1:38" x14ac:dyDescent="0.3">
      <c r="A39" s="184">
        <v>35</v>
      </c>
      <c r="B39" s="208">
        <f>((B53-B35)/18)+B38</f>
        <v>11.055555555555555</v>
      </c>
      <c r="C39" s="208">
        <f>((C53-C35)/18)+C38</f>
        <v>0.1321111111111111</v>
      </c>
      <c r="D39" s="177">
        <f t="shared" si="1"/>
        <v>0.4150392961242515</v>
      </c>
      <c r="E39" s="225">
        <f t="shared" si="2"/>
        <v>7.5167623450689211E-2</v>
      </c>
      <c r="F39" s="229">
        <f t="shared" si="3"/>
        <v>12.026819752110274</v>
      </c>
      <c r="H39" s="204"/>
      <c r="I39" s="86"/>
      <c r="J39" s="123"/>
      <c r="K39" s="88">
        <f>F39-J37</f>
        <v>10.467809013709719</v>
      </c>
      <c r="L39" s="89"/>
      <c r="M39" s="179"/>
      <c r="N39" s="90">
        <f t="shared" si="0"/>
        <v>7.7094998410963296</v>
      </c>
      <c r="O39" s="137"/>
      <c r="P39" s="86"/>
      <c r="Q39" s="123"/>
      <c r="R39" s="88">
        <f>N39-Q37</f>
        <v>6.7101339831472551</v>
      </c>
      <c r="S39" s="92"/>
      <c r="T39" s="125"/>
      <c r="U39" s="94"/>
      <c r="V39" s="126"/>
      <c r="W39" s="127"/>
      <c r="X39" s="128"/>
      <c r="Y39" s="129"/>
      <c r="Z39" s="130"/>
      <c r="AA39" s="131"/>
      <c r="AB39" s="101"/>
      <c r="AC39" s="116"/>
      <c r="AD39" s="132"/>
      <c r="AE39" s="118"/>
      <c r="AF39" s="119"/>
      <c r="AG39" s="133"/>
      <c r="AH39" s="134"/>
      <c r="AI39" s="135"/>
      <c r="AJ39" s="164"/>
      <c r="AK39" s="167">
        <f t="shared" si="6"/>
        <v>0</v>
      </c>
      <c r="AL39" s="174"/>
    </row>
    <row r="40" spans="1:38" x14ac:dyDescent="0.3">
      <c r="A40" s="184">
        <v>36</v>
      </c>
      <c r="B40" s="208">
        <f>((B53-B35)/18)+B39</f>
        <v>11.294444444444444</v>
      </c>
      <c r="C40" s="208">
        <f>((C53-C35)/18)+C39</f>
        <v>0.13538888888888886</v>
      </c>
      <c r="D40" s="177">
        <f t="shared" si="1"/>
        <v>0.42533673871101801</v>
      </c>
      <c r="E40" s="225">
        <f t="shared" si="2"/>
        <v>8.0649648618003444E-2</v>
      </c>
      <c r="F40" s="229">
        <f t="shared" si="3"/>
        <v>12.903943778880551</v>
      </c>
      <c r="H40" s="204"/>
      <c r="I40" s="86"/>
      <c r="J40" s="123"/>
      <c r="K40" s="88">
        <f>F40-J37</f>
        <v>11.344933040479996</v>
      </c>
      <c r="L40" s="89"/>
      <c r="M40" s="179"/>
      <c r="N40" s="90">
        <f t="shared" si="0"/>
        <v>8.2717588326157383</v>
      </c>
      <c r="O40" s="137"/>
      <c r="P40" s="86"/>
      <c r="Q40" s="123"/>
      <c r="R40" s="88">
        <f>N40-Q37</f>
        <v>7.2723929746666638</v>
      </c>
      <c r="S40" s="92"/>
      <c r="T40" s="125"/>
      <c r="U40" s="94"/>
      <c r="V40" s="126"/>
      <c r="W40" s="127"/>
      <c r="X40" s="128"/>
      <c r="Y40" s="129"/>
      <c r="Z40" s="130"/>
      <c r="AA40" s="131"/>
      <c r="AB40" s="101"/>
      <c r="AC40" s="116"/>
      <c r="AD40" s="132"/>
      <c r="AE40" s="118"/>
      <c r="AF40" s="119"/>
      <c r="AG40" s="133"/>
      <c r="AH40" s="134"/>
      <c r="AI40" s="135"/>
      <c r="AJ40" s="164"/>
      <c r="AK40" s="167">
        <f t="shared" si="6"/>
        <v>0</v>
      </c>
      <c r="AL40" s="174"/>
    </row>
    <row r="41" spans="1:38" x14ac:dyDescent="0.3">
      <c r="A41" s="230">
        <v>37</v>
      </c>
      <c r="B41" s="208">
        <f>((B53-B35)/18)+B40</f>
        <v>11.533333333333333</v>
      </c>
      <c r="C41" s="208">
        <f>((C53-C35)/18)+C40</f>
        <v>0.13866666666666663</v>
      </c>
      <c r="D41" s="177">
        <f t="shared" si="1"/>
        <v>0.43563418129778453</v>
      </c>
      <c r="E41" s="225">
        <f t="shared" si="2"/>
        <v>8.6391408315449544E-2</v>
      </c>
      <c r="F41" s="229">
        <f t="shared" si="3"/>
        <v>13.822625330471928</v>
      </c>
      <c r="H41" s="204"/>
      <c r="I41" s="86"/>
      <c r="J41" s="123"/>
      <c r="K41" s="88">
        <f>F41-J37</f>
        <v>12.263614592071372</v>
      </c>
      <c r="L41" s="89"/>
      <c r="M41" s="179"/>
      <c r="N41" s="90">
        <f t="shared" si="0"/>
        <v>8.8606572631230307</v>
      </c>
      <c r="O41" s="137"/>
      <c r="P41" s="86"/>
      <c r="Q41" s="123"/>
      <c r="R41" s="88">
        <f>N41-Q37</f>
        <v>7.8612914051739562</v>
      </c>
      <c r="S41" s="92"/>
      <c r="T41" s="125"/>
      <c r="U41" s="94"/>
      <c r="V41" s="126"/>
      <c r="W41" s="127"/>
      <c r="X41" s="128"/>
      <c r="Y41" s="129"/>
      <c r="Z41" s="130"/>
      <c r="AA41" s="131"/>
      <c r="AB41" s="101"/>
      <c r="AC41" s="116"/>
      <c r="AD41" s="132"/>
      <c r="AE41" s="118"/>
      <c r="AF41" s="119"/>
      <c r="AG41" s="133"/>
      <c r="AH41" s="134"/>
      <c r="AI41" s="135"/>
      <c r="AJ41" s="164"/>
      <c r="AK41" s="167">
        <f t="shared" si="6"/>
        <v>0</v>
      </c>
      <c r="AL41" s="174"/>
    </row>
    <row r="42" spans="1:38" x14ac:dyDescent="0.3">
      <c r="A42" s="184">
        <v>38</v>
      </c>
      <c r="B42" s="208">
        <f>((B53-B35)/18)+B41</f>
        <v>11.772222222222222</v>
      </c>
      <c r="C42" s="208">
        <f>((C53-C35)/18)+C41</f>
        <v>0.1419444444444444</v>
      </c>
      <c r="D42" s="177">
        <f t="shared" si="1"/>
        <v>0.44593162388455104</v>
      </c>
      <c r="E42" s="225">
        <f t="shared" si="2"/>
        <v>9.2398901527969188E-2</v>
      </c>
      <c r="F42" s="229">
        <f t="shared" si="3"/>
        <v>14.78382424447507</v>
      </c>
      <c r="H42" s="204"/>
      <c r="I42" s="86"/>
      <c r="J42" s="123"/>
      <c r="K42" s="88">
        <f>F42-J37</f>
        <v>13.224813506074515</v>
      </c>
      <c r="L42" s="89"/>
      <c r="M42" s="179"/>
      <c r="N42" s="90">
        <f t="shared" si="0"/>
        <v>9.4768104131250457</v>
      </c>
      <c r="O42" s="137"/>
      <c r="P42" s="86"/>
      <c r="Q42" s="123"/>
      <c r="R42" s="88">
        <f>N42-Q37</f>
        <v>8.4774445551759712</v>
      </c>
      <c r="S42" s="92"/>
      <c r="T42" s="125"/>
      <c r="U42" s="94"/>
      <c r="V42" s="126"/>
      <c r="W42" s="127"/>
      <c r="X42" s="128"/>
      <c r="Y42" s="129"/>
      <c r="Z42" s="130"/>
      <c r="AA42" s="131"/>
      <c r="AB42" s="101"/>
      <c r="AC42" s="116"/>
      <c r="AD42" s="132"/>
      <c r="AE42" s="118"/>
      <c r="AF42" s="119"/>
      <c r="AG42" s="133"/>
      <c r="AH42" s="134"/>
      <c r="AI42" s="135"/>
      <c r="AJ42" s="164"/>
      <c r="AK42" s="167">
        <f t="shared" si="6"/>
        <v>0</v>
      </c>
      <c r="AL42" s="174"/>
    </row>
    <row r="43" spans="1:38" x14ac:dyDescent="0.3">
      <c r="A43" s="184">
        <v>39</v>
      </c>
      <c r="B43" s="208">
        <f>((B53-B35)/18)+B42</f>
        <v>12.011111111111111</v>
      </c>
      <c r="C43" s="208">
        <f>((C53-C35)/18)+C42</f>
        <v>0.14522222222222217</v>
      </c>
      <c r="D43" s="177">
        <f t="shared" si="1"/>
        <v>0.45622906647131756</v>
      </c>
      <c r="E43" s="225">
        <f t="shared" si="2"/>
        <v>9.8678127240503968E-2</v>
      </c>
      <c r="F43" s="229">
        <f t="shared" si="3"/>
        <v>15.788500358480634</v>
      </c>
      <c r="H43" s="204"/>
      <c r="I43" s="86"/>
      <c r="J43" s="123"/>
      <c r="K43" s="88">
        <f>F43-J37</f>
        <v>14.229489620080079</v>
      </c>
      <c r="L43" s="89"/>
      <c r="M43" s="179"/>
      <c r="N43" s="90">
        <f t="shared" si="0"/>
        <v>10.120833563128611</v>
      </c>
      <c r="O43" s="137"/>
      <c r="P43" s="86"/>
      <c r="Q43" s="123"/>
      <c r="R43" s="88">
        <f>N43-Q37</f>
        <v>9.121467705179537</v>
      </c>
      <c r="S43" s="92"/>
      <c r="T43" s="125"/>
      <c r="U43" s="94"/>
      <c r="V43" s="126"/>
      <c r="W43" s="127"/>
      <c r="X43" s="128"/>
      <c r="Y43" s="129"/>
      <c r="Z43" s="130"/>
      <c r="AA43" s="131"/>
      <c r="AB43" s="101"/>
      <c r="AC43" s="116"/>
      <c r="AD43" s="132"/>
      <c r="AE43" s="118"/>
      <c r="AF43" s="119"/>
      <c r="AG43" s="133"/>
      <c r="AH43" s="134"/>
      <c r="AI43" s="135"/>
      <c r="AJ43" s="164"/>
      <c r="AK43" s="167">
        <f t="shared" si="6"/>
        <v>0</v>
      </c>
      <c r="AL43" s="174"/>
    </row>
    <row r="44" spans="1:38" x14ac:dyDescent="0.3">
      <c r="A44" s="184">
        <v>40</v>
      </c>
      <c r="B44" s="208">
        <f>((B53-B35)/18)+B43</f>
        <v>12.25</v>
      </c>
      <c r="C44" s="208">
        <f>((C53-C35)/18)+C43</f>
        <v>0.14849999999999994</v>
      </c>
      <c r="D44" s="177">
        <f t="shared" si="1"/>
        <v>0.46652650905808407</v>
      </c>
      <c r="E44" s="225">
        <f t="shared" si="2"/>
        <v>0.10523508443799558</v>
      </c>
      <c r="F44" s="229">
        <f t="shared" si="3"/>
        <v>16.837613510079294</v>
      </c>
      <c r="H44" s="204"/>
      <c r="I44" s="86"/>
      <c r="J44" s="123"/>
      <c r="K44" s="88">
        <f>F44-J37</f>
        <v>15.278602771678738</v>
      </c>
      <c r="L44" s="89"/>
      <c r="M44" s="179"/>
      <c r="N44" s="90">
        <f t="shared" si="0"/>
        <v>10.793341993640572</v>
      </c>
      <c r="O44" s="137"/>
      <c r="P44" s="86"/>
      <c r="Q44" s="123"/>
      <c r="R44" s="88">
        <f>N44-Q37</f>
        <v>9.7939761356914978</v>
      </c>
      <c r="S44" s="92"/>
      <c r="T44" s="125"/>
      <c r="U44" s="94"/>
      <c r="V44" s="126"/>
      <c r="W44" s="127"/>
      <c r="X44" s="128"/>
      <c r="Y44" s="129"/>
      <c r="Z44" s="130"/>
      <c r="AA44" s="131"/>
      <c r="AB44" s="101"/>
      <c r="AC44" s="116"/>
      <c r="AD44" s="132"/>
      <c r="AE44" s="118"/>
      <c r="AF44" s="119"/>
      <c r="AG44" s="133"/>
      <c r="AH44" s="134"/>
      <c r="AI44" s="135"/>
      <c r="AJ44" s="164"/>
      <c r="AK44" s="167">
        <f t="shared" si="6"/>
        <v>0</v>
      </c>
      <c r="AL44" s="174"/>
    </row>
    <row r="45" spans="1:38" x14ac:dyDescent="0.3">
      <c r="A45" s="184">
        <v>41</v>
      </c>
      <c r="B45" s="208">
        <f>((B53-B35)/18)+B44</f>
        <v>12.488888888888889</v>
      </c>
      <c r="C45" s="208">
        <f>((C53-C35)/18)+C44</f>
        <v>0.15177777777777771</v>
      </c>
      <c r="D45" s="177">
        <f t="shared" si="1"/>
        <v>0.47682395164485059</v>
      </c>
      <c r="E45" s="225">
        <f t="shared" si="2"/>
        <v>0.11207577210538559</v>
      </c>
      <c r="F45" s="229">
        <f t="shared" si="3"/>
        <v>17.932123536861695</v>
      </c>
      <c r="H45" s="203">
        <v>0.2</v>
      </c>
      <c r="I45" s="206">
        <f>H45*(F45-J37)</f>
        <v>3.274622559692228</v>
      </c>
      <c r="J45" s="123">
        <f>I45+J37</f>
        <v>4.8336332980927841</v>
      </c>
      <c r="K45" s="88">
        <f>F45-J45</f>
        <v>13.09849023876891</v>
      </c>
      <c r="L45" s="89"/>
      <c r="M45" s="179"/>
      <c r="N45" s="90">
        <f t="shared" si="0"/>
        <v>11.494950985167753</v>
      </c>
      <c r="O45" s="137">
        <v>0.2</v>
      </c>
      <c r="P45" s="206">
        <f>O45*(N45-Q37)</f>
        <v>2.0991170254437357</v>
      </c>
      <c r="Q45" s="123">
        <f>P45+Q37</f>
        <v>3.0984828833928098</v>
      </c>
      <c r="R45" s="88">
        <f>N45-Q45</f>
        <v>8.3964681017749427</v>
      </c>
      <c r="S45" s="92"/>
      <c r="T45" s="125"/>
      <c r="U45" s="94"/>
      <c r="V45" s="126"/>
      <c r="W45" s="127"/>
      <c r="X45" s="128"/>
      <c r="Y45" s="129"/>
      <c r="Z45" s="130"/>
      <c r="AA45" s="131">
        <f>P45</f>
        <v>2.0991170254437357</v>
      </c>
      <c r="AB45" s="101">
        <f t="shared" si="7"/>
        <v>1.1755055342484924</v>
      </c>
      <c r="AC45" s="116">
        <f t="shared" si="8"/>
        <v>5.4577042661537138</v>
      </c>
      <c r="AD45" s="132">
        <v>8</v>
      </c>
      <c r="AE45" s="118">
        <f t="shared" si="9"/>
        <v>43.661634129229711</v>
      </c>
      <c r="AF45" s="119"/>
      <c r="AG45" s="133"/>
      <c r="AH45" s="134"/>
      <c r="AI45" s="135"/>
      <c r="AJ45" s="164"/>
      <c r="AK45" s="167">
        <f t="shared" si="6"/>
        <v>43.661634129229711</v>
      </c>
      <c r="AL45" s="174"/>
    </row>
    <row r="46" spans="1:38" x14ac:dyDescent="0.3">
      <c r="A46" s="184">
        <v>42</v>
      </c>
      <c r="B46" s="208">
        <f>((B53-B35)/18)+B45</f>
        <v>12.727777777777778</v>
      </c>
      <c r="C46" s="208">
        <f>((C53-C35)/18)+C45</f>
        <v>0.15505555555555547</v>
      </c>
      <c r="D46" s="177">
        <f t="shared" si="1"/>
        <v>0.4871213942316171</v>
      </c>
      <c r="E46" s="225">
        <f t="shared" si="2"/>
        <v>0.11920618922761569</v>
      </c>
      <c r="F46" s="229">
        <f t="shared" si="3"/>
        <v>19.072990276418512</v>
      </c>
      <c r="H46" s="204"/>
      <c r="I46" s="206"/>
      <c r="J46" s="123"/>
      <c r="K46" s="88">
        <f>F46-J45</f>
        <v>14.239356978325727</v>
      </c>
      <c r="L46" s="89"/>
      <c r="M46" s="179"/>
      <c r="N46" s="90">
        <f t="shared" si="0"/>
        <v>12.226275818216994</v>
      </c>
      <c r="O46" s="137"/>
      <c r="P46" s="206"/>
      <c r="Q46" s="123"/>
      <c r="R46" s="88">
        <f>N46-Q45</f>
        <v>9.1277929348241837</v>
      </c>
      <c r="S46" s="92"/>
      <c r="T46" s="125"/>
      <c r="U46" s="94"/>
      <c r="V46" s="126"/>
      <c r="W46" s="127"/>
      <c r="X46" s="128"/>
      <c r="Y46" s="129"/>
      <c r="Z46" s="130"/>
      <c r="AA46" s="131"/>
      <c r="AB46" s="101"/>
      <c r="AC46" s="116"/>
      <c r="AD46" s="132"/>
      <c r="AE46" s="118"/>
      <c r="AF46" s="119"/>
      <c r="AG46" s="133"/>
      <c r="AH46" s="134"/>
      <c r="AI46" s="135"/>
      <c r="AJ46" s="164"/>
      <c r="AK46" s="167">
        <f t="shared" si="6"/>
        <v>0</v>
      </c>
      <c r="AL46" s="174"/>
    </row>
    <row r="47" spans="1:38" x14ac:dyDescent="0.3">
      <c r="A47" s="184">
        <v>43</v>
      </c>
      <c r="B47" s="208">
        <f>((B53-B35)/18)+B46</f>
        <v>12.966666666666667</v>
      </c>
      <c r="C47" s="208">
        <f>((C53-C35)/18)+C46</f>
        <v>0.15833333333333324</v>
      </c>
      <c r="D47" s="177">
        <f t="shared" si="1"/>
        <v>0.49741883681838361</v>
      </c>
      <c r="E47" s="225">
        <f t="shared" si="2"/>
        <v>0.12663233478962757</v>
      </c>
      <c r="F47" s="229">
        <f t="shared" si="3"/>
        <v>20.26117356634041</v>
      </c>
      <c r="H47" s="204"/>
      <c r="I47" s="206"/>
      <c r="J47" s="123"/>
      <c r="K47" s="88">
        <f>F47-J45</f>
        <v>15.427540268247625</v>
      </c>
      <c r="L47" s="89"/>
      <c r="M47" s="179"/>
      <c r="N47" s="90">
        <f t="shared" si="0"/>
        <v>12.987931773295134</v>
      </c>
      <c r="O47" s="137"/>
      <c r="P47" s="206"/>
      <c r="Q47" s="123"/>
      <c r="R47" s="88">
        <f>N47-Q45</f>
        <v>9.8894488899023241</v>
      </c>
      <c r="S47" s="92"/>
      <c r="T47" s="125"/>
      <c r="U47" s="94"/>
      <c r="V47" s="126"/>
      <c r="W47" s="127"/>
      <c r="X47" s="128"/>
      <c r="Y47" s="129"/>
      <c r="Z47" s="130"/>
      <c r="AA47" s="131"/>
      <c r="AB47" s="101"/>
      <c r="AC47" s="116"/>
      <c r="AD47" s="132"/>
      <c r="AE47" s="118"/>
      <c r="AF47" s="119"/>
      <c r="AG47" s="133"/>
      <c r="AH47" s="134"/>
      <c r="AI47" s="135"/>
      <c r="AJ47" s="164"/>
      <c r="AK47" s="167">
        <f t="shared" si="6"/>
        <v>0</v>
      </c>
      <c r="AL47" s="174"/>
    </row>
    <row r="48" spans="1:38" x14ac:dyDescent="0.3">
      <c r="A48" s="184">
        <v>44</v>
      </c>
      <c r="B48" s="208">
        <f>((B53-B35)/18)+B47</f>
        <v>13.205555555555556</v>
      </c>
      <c r="C48" s="208">
        <f>((C53-C35)/18)+C47</f>
        <v>0.16161111111111101</v>
      </c>
      <c r="D48" s="177">
        <f t="shared" si="1"/>
        <v>0.50771627940515018</v>
      </c>
      <c r="E48" s="225">
        <f t="shared" si="2"/>
        <v>0.13436020777636279</v>
      </c>
      <c r="F48" s="229">
        <f t="shared" si="3"/>
        <v>21.497633244218047</v>
      </c>
      <c r="H48" s="204"/>
      <c r="I48" s="206"/>
      <c r="J48" s="123"/>
      <c r="K48" s="88">
        <f>F48-J45</f>
        <v>16.663999946125262</v>
      </c>
      <c r="L48" s="89"/>
      <c r="M48" s="179"/>
      <c r="N48" s="90">
        <f t="shared" si="0"/>
        <v>13.780534130909004</v>
      </c>
      <c r="O48" s="137"/>
      <c r="P48" s="206"/>
      <c r="Q48" s="123"/>
      <c r="R48" s="88">
        <f>N48-Q45</f>
        <v>10.682051247516194</v>
      </c>
      <c r="S48" s="92"/>
      <c r="T48" s="125"/>
      <c r="U48" s="94"/>
      <c r="V48" s="126"/>
      <c r="W48" s="127"/>
      <c r="X48" s="128"/>
      <c r="Y48" s="129"/>
      <c r="Z48" s="130"/>
      <c r="AA48" s="131"/>
      <c r="AB48" s="101"/>
      <c r="AC48" s="116"/>
      <c r="AD48" s="132"/>
      <c r="AE48" s="118"/>
      <c r="AF48" s="119"/>
      <c r="AG48" s="133"/>
      <c r="AH48" s="134"/>
      <c r="AI48" s="135"/>
      <c r="AJ48" s="164"/>
      <c r="AK48" s="167">
        <f t="shared" si="6"/>
        <v>0</v>
      </c>
      <c r="AL48" s="174"/>
    </row>
    <row r="49" spans="1:38" x14ac:dyDescent="0.3">
      <c r="A49" s="230">
        <v>45</v>
      </c>
      <c r="B49" s="208">
        <f>((B53-B35)/18)+B48</f>
        <v>13.444444444444445</v>
      </c>
      <c r="C49" s="208">
        <f>((C53-C35)/18)+C48</f>
        <v>0.16488888888888878</v>
      </c>
      <c r="D49" s="177">
        <f t="shared" si="1"/>
        <v>0.51801372199191664</v>
      </c>
      <c r="E49" s="225">
        <f t="shared" si="2"/>
        <v>0.14239580717276298</v>
      </c>
      <c r="F49" s="229">
        <f t="shared" si="3"/>
        <v>22.783329147642078</v>
      </c>
      <c r="H49" s="204"/>
      <c r="I49" s="206"/>
      <c r="J49" s="123"/>
      <c r="K49" s="88">
        <f>F49-J45</f>
        <v>17.949695849549293</v>
      </c>
      <c r="L49" s="89"/>
      <c r="M49" s="179"/>
      <c r="N49" s="90">
        <f t="shared" si="0"/>
        <v>14.604698171565435</v>
      </c>
      <c r="O49" s="137"/>
      <c r="P49" s="206"/>
      <c r="Q49" s="123"/>
      <c r="R49" s="88">
        <f>N49-Q45</f>
        <v>11.506215288172625</v>
      </c>
      <c r="S49" s="92"/>
      <c r="T49" s="125"/>
      <c r="U49" s="94"/>
      <c r="V49" s="126"/>
      <c r="W49" s="127"/>
      <c r="X49" s="128"/>
      <c r="Y49" s="129"/>
      <c r="Z49" s="130"/>
      <c r="AA49" s="131"/>
      <c r="AB49" s="101"/>
      <c r="AC49" s="116"/>
      <c r="AD49" s="132"/>
      <c r="AE49" s="118"/>
      <c r="AF49" s="119"/>
      <c r="AG49" s="133"/>
      <c r="AH49" s="134"/>
      <c r="AI49" s="135"/>
      <c r="AJ49" s="164"/>
      <c r="AK49" s="167">
        <f t="shared" si="6"/>
        <v>0</v>
      </c>
      <c r="AL49" s="174"/>
    </row>
    <row r="50" spans="1:38" x14ac:dyDescent="0.3">
      <c r="A50" s="184">
        <v>46</v>
      </c>
      <c r="B50" s="208">
        <f>((B53-B35)/18)+B49</f>
        <v>13.683333333333334</v>
      </c>
      <c r="C50" s="208">
        <f>((C53-C35)/18)+C49</f>
        <v>0.16816666666666655</v>
      </c>
      <c r="D50" s="177">
        <f t="shared" si="1"/>
        <v>0.52831116457868321</v>
      </c>
      <c r="E50" s="225">
        <f t="shared" si="2"/>
        <v>0.15074513196376985</v>
      </c>
      <c r="F50" s="229">
        <f t="shared" si="3"/>
        <v>24.119221114203174</v>
      </c>
      <c r="H50" s="204"/>
      <c r="I50" s="206"/>
      <c r="J50" s="123"/>
      <c r="K50" s="88">
        <f>F50-J45</f>
        <v>19.28558781611039</v>
      </c>
      <c r="L50" s="89"/>
      <c r="M50" s="179"/>
      <c r="N50" s="90">
        <f t="shared" si="0"/>
        <v>15.461039175771266</v>
      </c>
      <c r="O50" s="137"/>
      <c r="P50" s="206"/>
      <c r="Q50" s="123"/>
      <c r="R50" s="88">
        <f>N50-Q45</f>
        <v>12.362556292378455</v>
      </c>
      <c r="S50" s="92"/>
      <c r="T50" s="125"/>
      <c r="U50" s="94"/>
      <c r="V50" s="126"/>
      <c r="W50" s="127"/>
      <c r="X50" s="128"/>
      <c r="Y50" s="129"/>
      <c r="Z50" s="130"/>
      <c r="AA50" s="131"/>
      <c r="AB50" s="101"/>
      <c r="AC50" s="116"/>
      <c r="AD50" s="132"/>
      <c r="AE50" s="118"/>
      <c r="AF50" s="119"/>
      <c r="AG50" s="133"/>
      <c r="AH50" s="134"/>
      <c r="AI50" s="135"/>
      <c r="AJ50" s="164"/>
      <c r="AK50" s="167">
        <f t="shared" si="6"/>
        <v>0</v>
      </c>
      <c r="AL50" s="174"/>
    </row>
    <row r="51" spans="1:38" x14ac:dyDescent="0.3">
      <c r="A51" s="184">
        <v>47</v>
      </c>
      <c r="B51" s="208">
        <f>((B53-B35)/18)+B50</f>
        <v>13.922222222222222</v>
      </c>
      <c r="C51" s="208">
        <f>((C53-C35)/18)+C50</f>
        <v>0.17144444444444432</v>
      </c>
      <c r="D51" s="177">
        <f t="shared" si="1"/>
        <v>0.53860860716544967</v>
      </c>
      <c r="E51" s="225">
        <f t="shared" si="2"/>
        <v>0.15941418113432496</v>
      </c>
      <c r="F51" s="229">
        <f t="shared" si="3"/>
        <v>25.506268981491992</v>
      </c>
      <c r="H51" s="204"/>
      <c r="I51" s="206"/>
      <c r="J51" s="123"/>
      <c r="K51" s="88">
        <f>F51-J45</f>
        <v>20.672635683399207</v>
      </c>
      <c r="L51" s="89"/>
      <c r="M51" s="179"/>
      <c r="N51" s="90">
        <f t="shared" si="0"/>
        <v>16.350172424033328</v>
      </c>
      <c r="O51" s="137"/>
      <c r="P51" s="206"/>
      <c r="Q51" s="123"/>
      <c r="R51" s="88">
        <f>N51-Q45</f>
        <v>13.251689540640518</v>
      </c>
      <c r="S51" s="92"/>
      <c r="T51" s="125"/>
      <c r="U51" s="94"/>
      <c r="V51" s="126"/>
      <c r="W51" s="127"/>
      <c r="X51" s="128"/>
      <c r="Y51" s="129"/>
      <c r="Z51" s="130"/>
      <c r="AA51" s="131"/>
      <c r="AB51" s="101"/>
      <c r="AC51" s="116"/>
      <c r="AD51" s="132"/>
      <c r="AE51" s="118"/>
      <c r="AF51" s="119"/>
      <c r="AG51" s="133"/>
      <c r="AH51" s="134"/>
      <c r="AI51" s="135"/>
      <c r="AJ51" s="164"/>
      <c r="AK51" s="167">
        <f t="shared" si="6"/>
        <v>0</v>
      </c>
      <c r="AL51" s="174"/>
    </row>
    <row r="52" spans="1:38" x14ac:dyDescent="0.3">
      <c r="A52" s="184">
        <v>48</v>
      </c>
      <c r="B52" s="208">
        <f>((B53-B35)/18)+B51</f>
        <v>14.161111111111111</v>
      </c>
      <c r="C52" s="208">
        <f>((C53-C35)/18)+C51</f>
        <v>0.17472222222222208</v>
      </c>
      <c r="D52" s="177">
        <f t="shared" si="1"/>
        <v>0.54890604975221624</v>
      </c>
      <c r="E52" s="225">
        <f t="shared" si="2"/>
        <v>0.16840895366937006</v>
      </c>
      <c r="F52" s="229">
        <f t="shared" si="3"/>
        <v>26.945432587099209</v>
      </c>
      <c r="H52" s="204"/>
      <c r="I52" s="206"/>
      <c r="J52" s="123"/>
      <c r="K52" s="88">
        <f>F52-J45</f>
        <v>22.111799289006424</v>
      </c>
      <c r="L52" s="89"/>
      <c r="M52" s="179"/>
      <c r="N52" s="90">
        <f t="shared" si="0"/>
        <v>17.272713196858465</v>
      </c>
      <c r="O52" s="137"/>
      <c r="P52" s="206"/>
      <c r="Q52" s="123"/>
      <c r="R52" s="88">
        <f>N52-Q45</f>
        <v>14.174230313465655</v>
      </c>
      <c r="S52" s="92"/>
      <c r="T52" s="125"/>
      <c r="U52" s="94"/>
      <c r="V52" s="126"/>
      <c r="W52" s="127"/>
      <c r="X52" s="128"/>
      <c r="Y52" s="129"/>
      <c r="Z52" s="130"/>
      <c r="AA52" s="131"/>
      <c r="AB52" s="101"/>
      <c r="AC52" s="116"/>
      <c r="AD52" s="132"/>
      <c r="AE52" s="118"/>
      <c r="AF52" s="119"/>
      <c r="AG52" s="133"/>
      <c r="AH52" s="134"/>
      <c r="AI52" s="135"/>
      <c r="AJ52" s="164"/>
      <c r="AK52" s="167">
        <f t="shared" si="6"/>
        <v>0</v>
      </c>
      <c r="AL52" s="174"/>
    </row>
    <row r="53" spans="1:38" x14ac:dyDescent="0.3">
      <c r="A53" s="207">
        <v>49</v>
      </c>
      <c r="B53" s="231">
        <v>14.4</v>
      </c>
      <c r="C53" s="232">
        <v>0.17799999999999999</v>
      </c>
      <c r="D53" s="233">
        <f t="shared" si="1"/>
        <v>0.55920349233898314</v>
      </c>
      <c r="E53" s="234">
        <f t="shared" si="2"/>
        <v>0.1777354485538469</v>
      </c>
      <c r="F53" s="229">
        <f t="shared" si="3"/>
        <v>28.437671768615505</v>
      </c>
      <c r="H53" s="204"/>
      <c r="I53" s="206"/>
      <c r="J53" s="123"/>
      <c r="K53" s="88">
        <f>F53-J45</f>
        <v>23.60403847052272</v>
      </c>
      <c r="L53" s="89"/>
      <c r="M53" s="179"/>
      <c r="N53" s="90">
        <f t="shared" si="0"/>
        <v>18.229276774753529</v>
      </c>
      <c r="O53" s="137"/>
      <c r="P53" s="206"/>
      <c r="Q53" s="123"/>
      <c r="R53" s="88">
        <f>N53-Q45</f>
        <v>15.130793891360719</v>
      </c>
      <c r="S53" s="92"/>
      <c r="T53" s="125"/>
      <c r="U53" s="94"/>
      <c r="V53" s="126"/>
      <c r="W53" s="127"/>
      <c r="X53" s="128"/>
      <c r="Y53" s="129"/>
      <c r="Z53" s="130"/>
      <c r="AA53" s="131"/>
      <c r="AB53" s="101"/>
      <c r="AC53" s="116"/>
      <c r="AD53" s="132"/>
      <c r="AE53" s="118"/>
      <c r="AF53" s="119"/>
      <c r="AG53" s="133"/>
      <c r="AH53" s="134"/>
      <c r="AI53" s="135"/>
      <c r="AJ53" s="164"/>
      <c r="AK53" s="167">
        <f t="shared" si="6"/>
        <v>0</v>
      </c>
      <c r="AL53" s="174"/>
    </row>
    <row r="54" spans="1:38" x14ac:dyDescent="0.3">
      <c r="A54" s="184">
        <v>50</v>
      </c>
      <c r="B54" s="208">
        <f>((B63-B53)/10)+B53</f>
        <v>14.6</v>
      </c>
      <c r="C54" s="208">
        <f>((C63-C53)/10)+C53</f>
        <v>0.18129999999999999</v>
      </c>
      <c r="D54" s="177">
        <f t="shared" si="1"/>
        <v>0.56957074809582942</v>
      </c>
      <c r="E54" s="225">
        <f t="shared" si="2"/>
        <v>0.18694765497054258</v>
      </c>
      <c r="F54" s="229">
        <f t="shared" si="3"/>
        <v>29.911624795286812</v>
      </c>
      <c r="H54" s="204"/>
      <c r="I54" s="206"/>
      <c r="J54" s="123"/>
      <c r="K54" s="88">
        <f>F54-J45</f>
        <v>25.077991497194027</v>
      </c>
      <c r="L54" s="89"/>
      <c r="M54" s="179"/>
      <c r="N54" s="90">
        <f t="shared" si="0"/>
        <v>19.174118458517185</v>
      </c>
      <c r="O54" s="137"/>
      <c r="P54" s="206"/>
      <c r="Q54" s="123"/>
      <c r="R54" s="88">
        <f>N54-Q45</f>
        <v>16.075635575124377</v>
      </c>
      <c r="S54" s="92"/>
      <c r="T54" s="125"/>
      <c r="U54" s="94"/>
      <c r="V54" s="126"/>
      <c r="W54" s="127"/>
      <c r="X54" s="128"/>
      <c r="Y54" s="129"/>
      <c r="Z54" s="130"/>
      <c r="AA54" s="131"/>
      <c r="AB54" s="101"/>
      <c r="AC54" s="116"/>
      <c r="AD54" s="132"/>
      <c r="AE54" s="118"/>
      <c r="AF54" s="119"/>
      <c r="AG54" s="133"/>
      <c r="AH54" s="134"/>
      <c r="AI54" s="135"/>
      <c r="AJ54" s="164"/>
      <c r="AK54" s="167">
        <f t="shared" si="6"/>
        <v>0</v>
      </c>
      <c r="AL54" s="174"/>
    </row>
    <row r="55" spans="1:38" x14ac:dyDescent="0.3">
      <c r="A55" s="184">
        <v>51</v>
      </c>
      <c r="B55" s="208">
        <f>((B63-B53)/10)+B54</f>
        <v>14.799999999999999</v>
      </c>
      <c r="C55" s="208">
        <f>((C63-C53)/10)+C54</f>
        <v>0.18459999999999999</v>
      </c>
      <c r="D55" s="177">
        <f t="shared" si="1"/>
        <v>0.5799380038526758</v>
      </c>
      <c r="E55" s="225">
        <f t="shared" si="2"/>
        <v>0.19647019067416147</v>
      </c>
      <c r="F55" s="229">
        <f t="shared" si="3"/>
        <v>31.435230507865835</v>
      </c>
      <c r="H55" s="204"/>
      <c r="I55" s="206"/>
      <c r="J55" s="123"/>
      <c r="K55" s="88">
        <f>F55-J45</f>
        <v>26.60159720977305</v>
      </c>
      <c r="L55" s="89"/>
      <c r="M55" s="179"/>
      <c r="N55" s="90">
        <f t="shared" si="0"/>
        <v>20.150788787093482</v>
      </c>
      <c r="O55" s="137"/>
      <c r="P55" s="206"/>
      <c r="Q55" s="123"/>
      <c r="R55" s="88">
        <f>N55-Q45</f>
        <v>17.052305903700674</v>
      </c>
      <c r="S55" s="92"/>
      <c r="T55" s="125"/>
      <c r="U55" s="94"/>
      <c r="V55" s="126"/>
      <c r="W55" s="127"/>
      <c r="X55" s="128"/>
      <c r="Y55" s="129"/>
      <c r="Z55" s="130"/>
      <c r="AA55" s="131"/>
      <c r="AB55" s="101"/>
      <c r="AC55" s="116"/>
      <c r="AD55" s="132"/>
      <c r="AE55" s="118"/>
      <c r="AF55" s="119"/>
      <c r="AG55" s="133"/>
      <c r="AH55" s="134"/>
      <c r="AI55" s="135"/>
      <c r="AJ55" s="164"/>
      <c r="AK55" s="167">
        <f t="shared" si="6"/>
        <v>0</v>
      </c>
      <c r="AL55" s="174"/>
    </row>
    <row r="56" spans="1:38" x14ac:dyDescent="0.3">
      <c r="A56" s="184">
        <v>52</v>
      </c>
      <c r="B56" s="208">
        <f>((B63-B53)/10)+B55</f>
        <v>14.999999999999998</v>
      </c>
      <c r="C56" s="208">
        <f>((C63-C53)/10)+C55</f>
        <v>0.18789999999999998</v>
      </c>
      <c r="D56" s="177">
        <f t="shared" si="1"/>
        <v>0.59030525960952207</v>
      </c>
      <c r="E56" s="225">
        <f t="shared" si="2"/>
        <v>0.20630814640197026</v>
      </c>
      <c r="F56" s="229">
        <f t="shared" si="3"/>
        <v>33.009303424315242</v>
      </c>
      <c r="H56" s="203">
        <v>0.2</v>
      </c>
      <c r="I56" s="206">
        <f>H56*(F56-J45)</f>
        <v>5.6351340252444917</v>
      </c>
      <c r="J56" s="123">
        <f>I56+J45</f>
        <v>10.468767323337275</v>
      </c>
      <c r="K56" s="88">
        <f>F56-J56</f>
        <v>22.540536100977967</v>
      </c>
      <c r="L56" s="89"/>
      <c r="M56" s="179"/>
      <c r="N56" s="90">
        <f t="shared" si="0"/>
        <v>21.159809887381563</v>
      </c>
      <c r="O56" s="137">
        <v>0.2</v>
      </c>
      <c r="P56" s="206">
        <f>O56*(N56-Q45)</f>
        <v>3.6122654007977513</v>
      </c>
      <c r="Q56" s="123">
        <f>P56+Q45</f>
        <v>6.7107482841905615</v>
      </c>
      <c r="R56" s="88">
        <f>N56-Q56</f>
        <v>14.449061603191002</v>
      </c>
      <c r="S56" s="92"/>
      <c r="T56" s="125">
        <f>P56*25%</f>
        <v>0.90306635019943782</v>
      </c>
      <c r="U56" s="94">
        <f t="shared" ref="U56:U64" si="10">T56*0.95</f>
        <v>0.85791303268946584</v>
      </c>
      <c r="V56" s="126">
        <v>8</v>
      </c>
      <c r="W56" s="127">
        <f>T56*V56</f>
        <v>7.2245308015955025</v>
      </c>
      <c r="X56" s="128">
        <v>0.4</v>
      </c>
      <c r="Y56" s="129">
        <v>0.6</v>
      </c>
      <c r="Z56" s="130"/>
      <c r="AA56" s="131">
        <f>P56*25%</f>
        <v>0.90306635019943782</v>
      </c>
      <c r="AB56" s="101">
        <f>I56-P56</f>
        <v>2.0228686244467404</v>
      </c>
      <c r="AC56" s="116">
        <f>(AA56+AB56)/0.6</f>
        <v>4.8765582910769636</v>
      </c>
      <c r="AD56" s="132">
        <v>8</v>
      </c>
      <c r="AE56" s="118">
        <f>AC56*AD56</f>
        <v>39.012466328615709</v>
      </c>
      <c r="AF56" s="119"/>
      <c r="AG56" s="133">
        <f>P56*50%</f>
        <v>1.8061327003988756</v>
      </c>
      <c r="AH56" s="134">
        <v>40</v>
      </c>
      <c r="AI56" s="135">
        <f>AG56*AH56</f>
        <v>72.245308015955032</v>
      </c>
      <c r="AJ56" s="164"/>
      <c r="AK56" s="167">
        <f t="shared" si="6"/>
        <v>118.48230514616624</v>
      </c>
      <c r="AL56" s="174"/>
    </row>
    <row r="57" spans="1:38" x14ac:dyDescent="0.3">
      <c r="A57" s="230">
        <v>53</v>
      </c>
      <c r="B57" s="208">
        <f>((B63-B53)/10)+B56</f>
        <v>15.199999999999998</v>
      </c>
      <c r="C57" s="208">
        <f>((C63-C53)/10)+C56</f>
        <v>0.19119999999999998</v>
      </c>
      <c r="D57" s="177">
        <f t="shared" si="1"/>
        <v>0.60067251536636834</v>
      </c>
      <c r="E57" s="225">
        <f t="shared" si="2"/>
        <v>0.21646661289123587</v>
      </c>
      <c r="F57" s="229">
        <f t="shared" si="3"/>
        <v>34.634658062597737</v>
      </c>
      <c r="H57" s="204"/>
      <c r="I57" s="206"/>
      <c r="J57" s="123"/>
      <c r="K57" s="88">
        <f>F57-J56</f>
        <v>24.165890739260462</v>
      </c>
      <c r="L57" s="89"/>
      <c r="M57" s="179"/>
      <c r="N57" s="90">
        <f t="shared" si="0"/>
        <v>22.201703886280601</v>
      </c>
      <c r="O57" s="137"/>
      <c r="P57" s="206"/>
      <c r="Q57" s="123"/>
      <c r="R57" s="88">
        <f>N57-Q56</f>
        <v>15.49095560209004</v>
      </c>
      <c r="S57" s="92"/>
      <c r="T57" s="125"/>
      <c r="U57" s="94"/>
      <c r="V57" s="126"/>
      <c r="W57" s="127"/>
      <c r="X57" s="128"/>
      <c r="Y57" s="129"/>
      <c r="Z57" s="130"/>
      <c r="AA57" s="131"/>
      <c r="AB57" s="101"/>
      <c r="AC57" s="116"/>
      <c r="AD57" s="132"/>
      <c r="AE57" s="118"/>
      <c r="AF57" s="119"/>
      <c r="AG57" s="133"/>
      <c r="AH57" s="134"/>
      <c r="AI57" s="135"/>
      <c r="AJ57" s="164"/>
      <c r="AK57" s="167">
        <f t="shared" si="6"/>
        <v>0</v>
      </c>
      <c r="AL57" s="174"/>
    </row>
    <row r="58" spans="1:38" x14ac:dyDescent="0.3">
      <c r="A58" s="184">
        <v>54</v>
      </c>
      <c r="B58" s="208">
        <f>((B63-B53)/10)+B57</f>
        <v>15.399999999999997</v>
      </c>
      <c r="C58" s="208">
        <f>((C63-C53)/10)+C57</f>
        <v>0.19449999999999998</v>
      </c>
      <c r="D58" s="177">
        <f t="shared" si="1"/>
        <v>0.61103977112321473</v>
      </c>
      <c r="E58" s="225">
        <f t="shared" si="2"/>
        <v>0.22695068087922521</v>
      </c>
      <c r="F58" s="229">
        <f t="shared" si="3"/>
        <v>36.312108940676033</v>
      </c>
      <c r="H58" s="204"/>
      <c r="I58" s="206"/>
      <c r="J58" s="123"/>
      <c r="K58" s="88">
        <f>F58-J56</f>
        <v>25.843341617338758</v>
      </c>
      <c r="L58" s="89"/>
      <c r="M58" s="179"/>
      <c r="N58" s="90">
        <f t="shared" si="0"/>
        <v>23.276992910689764</v>
      </c>
      <c r="O58" s="137"/>
      <c r="P58" s="206"/>
      <c r="Q58" s="123"/>
      <c r="R58" s="88">
        <f>N58-Q56</f>
        <v>16.566244626499202</v>
      </c>
      <c r="S58" s="92"/>
      <c r="T58" s="125"/>
      <c r="U58" s="94"/>
      <c r="V58" s="126"/>
      <c r="W58" s="127"/>
      <c r="X58" s="128"/>
      <c r="Y58" s="129"/>
      <c r="Z58" s="130"/>
      <c r="AA58" s="131"/>
      <c r="AB58" s="101"/>
      <c r="AC58" s="116"/>
      <c r="AD58" s="132"/>
      <c r="AE58" s="118"/>
      <c r="AF58" s="119"/>
      <c r="AG58" s="133"/>
      <c r="AH58" s="134"/>
      <c r="AI58" s="135"/>
      <c r="AJ58" s="164"/>
      <c r="AK58" s="167">
        <f t="shared" si="6"/>
        <v>0</v>
      </c>
      <c r="AL58" s="174"/>
    </row>
    <row r="59" spans="1:38" x14ac:dyDescent="0.3">
      <c r="A59" s="184">
        <v>55</v>
      </c>
      <c r="B59" s="208">
        <f>((B63-B53)/10)+B58</f>
        <v>15.599999999999996</v>
      </c>
      <c r="C59" s="208">
        <f>((C63-C53)/10)+C58</f>
        <v>0.19779999999999998</v>
      </c>
      <c r="D59" s="177">
        <f t="shared" si="1"/>
        <v>0.621407026880061</v>
      </c>
      <c r="E59" s="225">
        <f t="shared" si="2"/>
        <v>0.23776544110320499</v>
      </c>
      <c r="F59" s="229">
        <f t="shared" si="3"/>
        <v>38.042470576512798</v>
      </c>
      <c r="H59" s="203"/>
      <c r="I59" s="206"/>
      <c r="J59" s="123"/>
      <c r="K59" s="88">
        <f>F59-J56</f>
        <v>27.573703253175523</v>
      </c>
      <c r="L59" s="89"/>
      <c r="M59" s="179"/>
      <c r="N59" s="90">
        <f t="shared" si="0"/>
        <v>24.386199087508203</v>
      </c>
      <c r="O59" s="137"/>
      <c r="P59" s="206"/>
      <c r="Q59" s="123"/>
      <c r="R59" s="88">
        <f>N59-Q56</f>
        <v>17.675450803317641</v>
      </c>
      <c r="S59" s="92"/>
      <c r="T59" s="125"/>
      <c r="U59" s="94"/>
      <c r="V59" s="126"/>
      <c r="W59" s="127"/>
      <c r="X59" s="128"/>
      <c r="Y59" s="129"/>
      <c r="Z59" s="130"/>
      <c r="AA59" s="131"/>
      <c r="AB59" s="101"/>
      <c r="AC59" s="116"/>
      <c r="AD59" s="132"/>
      <c r="AE59" s="118"/>
      <c r="AF59" s="119"/>
      <c r="AG59" s="133"/>
      <c r="AH59" s="134"/>
      <c r="AI59" s="135"/>
      <c r="AJ59" s="164"/>
      <c r="AK59" s="167">
        <f t="shared" si="6"/>
        <v>0</v>
      </c>
      <c r="AL59" s="174"/>
    </row>
    <row r="60" spans="1:38" x14ac:dyDescent="0.3">
      <c r="A60" s="184">
        <v>56</v>
      </c>
      <c r="B60" s="208">
        <f>((B63-B53)/10)+B59</f>
        <v>15.799999999999995</v>
      </c>
      <c r="C60" s="208">
        <f>((C63-C53)/10)+C59</f>
        <v>0.20109999999999997</v>
      </c>
      <c r="D60" s="177">
        <f t="shared" si="1"/>
        <v>0.63177428263690727</v>
      </c>
      <c r="E60" s="225">
        <f t="shared" si="2"/>
        <v>0.24891598430044207</v>
      </c>
      <c r="F60" s="229">
        <f t="shared" si="3"/>
        <v>39.826557488070733</v>
      </c>
      <c r="H60" s="204"/>
      <c r="I60" s="206"/>
      <c r="J60" s="123"/>
      <c r="K60" s="88">
        <f>F60-J56</f>
        <v>29.357790164733458</v>
      </c>
      <c r="L60" s="89"/>
      <c r="M60" s="179"/>
      <c r="N60" s="90">
        <f t="shared" si="0"/>
        <v>25.529844543635086</v>
      </c>
      <c r="O60" s="137"/>
      <c r="P60" s="206"/>
      <c r="Q60" s="123"/>
      <c r="R60" s="88">
        <f>N60-Q56</f>
        <v>18.819096259444525</v>
      </c>
      <c r="S60" s="92"/>
      <c r="T60" s="125"/>
      <c r="U60" s="94"/>
      <c r="V60" s="126"/>
      <c r="W60" s="127"/>
      <c r="X60" s="128"/>
      <c r="Y60" s="129"/>
      <c r="Z60" s="130"/>
      <c r="AA60" s="131"/>
      <c r="AB60" s="101"/>
      <c r="AC60" s="116"/>
      <c r="AD60" s="132"/>
      <c r="AE60" s="118"/>
      <c r="AF60" s="119"/>
      <c r="AG60" s="133"/>
      <c r="AH60" s="134"/>
      <c r="AI60" s="135"/>
      <c r="AJ60" s="164"/>
      <c r="AK60" s="167">
        <f t="shared" si="6"/>
        <v>0</v>
      </c>
      <c r="AL60" s="174"/>
    </row>
    <row r="61" spans="1:38" x14ac:dyDescent="0.3">
      <c r="A61" s="184">
        <v>57</v>
      </c>
      <c r="B61" s="208">
        <f>((B63-B53)/10)+B60</f>
        <v>15.999999999999995</v>
      </c>
      <c r="C61" s="208">
        <f>((C63-C53)/10)+C60</f>
        <v>0.20439999999999997</v>
      </c>
      <c r="D61" s="177">
        <f t="shared" si="1"/>
        <v>0.64214153839375365</v>
      </c>
      <c r="E61" s="225">
        <f t="shared" si="2"/>
        <v>0.26040740120820344</v>
      </c>
      <c r="F61" s="229">
        <f t="shared" si="3"/>
        <v>41.665184193312548</v>
      </c>
      <c r="H61" s="204"/>
      <c r="I61" s="206"/>
      <c r="J61" s="123"/>
      <c r="K61" s="88">
        <f>F61-J56</f>
        <v>31.196416869975273</v>
      </c>
      <c r="L61" s="89"/>
      <c r="M61" s="179"/>
      <c r="N61" s="90">
        <f t="shared" si="0"/>
        <v>26.70845140596958</v>
      </c>
      <c r="O61" s="137"/>
      <c r="P61" s="206"/>
      <c r="Q61" s="123"/>
      <c r="R61" s="88">
        <f>N61-Q56</f>
        <v>19.997703121779018</v>
      </c>
      <c r="S61" s="92"/>
      <c r="T61" s="125"/>
      <c r="U61" s="94"/>
      <c r="V61" s="126"/>
      <c r="W61" s="127"/>
      <c r="X61" s="128"/>
      <c r="Y61" s="129"/>
      <c r="Z61" s="130"/>
      <c r="AA61" s="131"/>
      <c r="AB61" s="101"/>
      <c r="AC61" s="116"/>
      <c r="AD61" s="132"/>
      <c r="AE61" s="118"/>
      <c r="AF61" s="119"/>
      <c r="AG61" s="133"/>
      <c r="AH61" s="134"/>
      <c r="AI61" s="135"/>
      <c r="AJ61" s="164"/>
      <c r="AK61" s="167">
        <f t="shared" si="6"/>
        <v>0</v>
      </c>
      <c r="AL61" s="174"/>
    </row>
    <row r="62" spans="1:38" x14ac:dyDescent="0.3">
      <c r="A62" s="184">
        <v>58</v>
      </c>
      <c r="B62" s="208">
        <f>((B63-B53)/10)+B61</f>
        <v>16.199999999999996</v>
      </c>
      <c r="C62" s="208">
        <f>((C63-C53)/10)+C61</f>
        <v>0.20769999999999997</v>
      </c>
      <c r="D62" s="177">
        <f t="shared" si="1"/>
        <v>0.65250879415059992</v>
      </c>
      <c r="E62" s="225">
        <f t="shared" si="2"/>
        <v>0.27224478256375578</v>
      </c>
      <c r="F62" s="229">
        <f t="shared" si="3"/>
        <v>43.559165210200923</v>
      </c>
      <c r="H62" s="204"/>
      <c r="I62" s="206"/>
      <c r="J62" s="123"/>
      <c r="K62" s="88">
        <f>F62-J56</f>
        <v>33.090397886863649</v>
      </c>
      <c r="L62" s="89"/>
      <c r="M62" s="179"/>
      <c r="N62" s="90">
        <f t="shared" si="0"/>
        <v>27.922541801410848</v>
      </c>
      <c r="O62" s="137"/>
      <c r="P62" s="206"/>
      <c r="Q62" s="123"/>
      <c r="R62" s="88">
        <f>N62-Q56</f>
        <v>21.211793517220286</v>
      </c>
      <c r="S62" s="92"/>
      <c r="T62" s="125"/>
      <c r="U62" s="94"/>
      <c r="V62" s="126"/>
      <c r="W62" s="127"/>
      <c r="X62" s="128"/>
      <c r="Y62" s="129"/>
      <c r="Z62" s="130"/>
      <c r="AA62" s="131"/>
      <c r="AB62" s="101"/>
      <c r="AC62" s="116"/>
      <c r="AD62" s="132"/>
      <c r="AE62" s="118"/>
      <c r="AF62" s="119"/>
      <c r="AG62" s="133"/>
      <c r="AH62" s="134"/>
      <c r="AI62" s="135"/>
      <c r="AJ62" s="164"/>
      <c r="AK62" s="167">
        <f t="shared" si="6"/>
        <v>0</v>
      </c>
      <c r="AL62" s="174"/>
    </row>
    <row r="63" spans="1:38" x14ac:dyDescent="0.3">
      <c r="A63" s="207">
        <v>59</v>
      </c>
      <c r="B63" s="235">
        <v>16.399999999999999</v>
      </c>
      <c r="C63" s="236">
        <v>0.21099999999999999</v>
      </c>
      <c r="D63" s="233">
        <f t="shared" si="1"/>
        <v>0.66287604990744631</v>
      </c>
      <c r="E63" s="234">
        <f t="shared" si="2"/>
        <v>0.28443321910436614</v>
      </c>
      <c r="F63" s="229">
        <f t="shared" si="3"/>
        <v>45.509315056698583</v>
      </c>
      <c r="H63" s="204"/>
      <c r="I63" s="206"/>
      <c r="J63" s="123"/>
      <c r="K63" s="88">
        <f>F63-J56</f>
        <v>35.040547733361308</v>
      </c>
      <c r="L63" s="89"/>
      <c r="M63" s="179"/>
      <c r="N63" s="90">
        <f t="shared" si="0"/>
        <v>29.172637856858064</v>
      </c>
      <c r="O63" s="137"/>
      <c r="P63" s="206"/>
      <c r="Q63" s="123"/>
      <c r="R63" s="88">
        <f>N63-Q56</f>
        <v>22.461889572667502</v>
      </c>
      <c r="S63" s="92"/>
      <c r="T63" s="125"/>
      <c r="U63" s="94"/>
      <c r="V63" s="126"/>
      <c r="W63" s="127"/>
      <c r="X63" s="128"/>
      <c r="Y63" s="129"/>
      <c r="Z63" s="130"/>
      <c r="AA63" s="131"/>
      <c r="AB63" s="101"/>
      <c r="AC63" s="116"/>
      <c r="AD63" s="132"/>
      <c r="AE63" s="118"/>
      <c r="AF63" s="119"/>
      <c r="AG63" s="133"/>
      <c r="AH63" s="134"/>
      <c r="AI63" s="135"/>
      <c r="AJ63" s="164"/>
      <c r="AK63" s="167">
        <f t="shared" si="6"/>
        <v>0</v>
      </c>
      <c r="AL63" s="174"/>
    </row>
    <row r="64" spans="1:38" ht="15" thickBot="1" x14ac:dyDescent="0.35">
      <c r="A64" s="184">
        <v>60</v>
      </c>
      <c r="B64" s="209">
        <f>(18.1-16.4)/10+B63</f>
        <v>16.57</v>
      </c>
      <c r="C64" s="209">
        <f>(24.4-21.1)/10+C63</f>
        <v>0.5409999999999997</v>
      </c>
      <c r="D64" s="177">
        <f t="shared" si="1"/>
        <v>1.6996016255920772</v>
      </c>
      <c r="E64" s="225">
        <f t="shared" si="2"/>
        <v>1.8892463702266959</v>
      </c>
      <c r="F64" s="229">
        <f t="shared" si="3"/>
        <v>302.27941923627134</v>
      </c>
      <c r="H64" s="203">
        <v>1</v>
      </c>
      <c r="I64" s="206">
        <f>H64*(F64-J56)</f>
        <v>291.81065191293408</v>
      </c>
      <c r="J64" s="123">
        <f t="shared" ref="J64" si="11">I64+J56</f>
        <v>302.27941923627134</v>
      </c>
      <c r="K64" s="88">
        <f>F64-J64</f>
        <v>0</v>
      </c>
      <c r="L64" s="89"/>
      <c r="M64" s="179"/>
      <c r="N64" s="90">
        <f t="shared" si="0"/>
        <v>193.76885848478932</v>
      </c>
      <c r="O64" s="137">
        <v>1</v>
      </c>
      <c r="P64" s="206">
        <f>O64*(N64-Q56)</f>
        <v>187.05811020059875</v>
      </c>
      <c r="Q64" s="123">
        <f>P64+Q56</f>
        <v>193.76885848478932</v>
      </c>
      <c r="R64" s="88">
        <f>N64-Q64</f>
        <v>0</v>
      </c>
      <c r="S64" s="92"/>
      <c r="T64" s="125">
        <f t="shared" ref="T64" si="12">P64*25%</f>
        <v>46.764527550149687</v>
      </c>
      <c r="U64" s="94">
        <f t="shared" si="10"/>
        <v>44.426301172642198</v>
      </c>
      <c r="V64" s="126">
        <v>8</v>
      </c>
      <c r="W64" s="127">
        <f t="shared" ref="W64" si="13">T64*V64</f>
        <v>374.11622040119749</v>
      </c>
      <c r="X64" s="128">
        <v>0.4</v>
      </c>
      <c r="Y64" s="129">
        <v>0.6</v>
      </c>
      <c r="Z64" s="130"/>
      <c r="AA64" s="131">
        <f t="shared" ref="AA64" si="14">P64*25%</f>
        <v>46.764527550149687</v>
      </c>
      <c r="AB64" s="101">
        <f t="shared" ref="AB64" si="15">I64-P64</f>
        <v>104.75254171233533</v>
      </c>
      <c r="AC64" s="116">
        <f t="shared" ref="AC64" si="16">(AA64+AB64)/0.6</f>
        <v>252.52844877080838</v>
      </c>
      <c r="AD64" s="132">
        <v>8</v>
      </c>
      <c r="AE64" s="118">
        <f t="shared" ref="AE64" si="17">AC64*AD64</f>
        <v>2020.2275901664671</v>
      </c>
      <c r="AF64" s="119"/>
      <c r="AG64" s="249">
        <f t="shared" ref="AG64" si="18">P64*50%</f>
        <v>93.529055100299374</v>
      </c>
      <c r="AH64" s="250">
        <v>40</v>
      </c>
      <c r="AI64" s="251">
        <f t="shared" ref="AI64" si="19">AG64*AH64</f>
        <v>3741.1622040119751</v>
      </c>
      <c r="AJ64" s="164"/>
      <c r="AK64" s="167">
        <f t="shared" si="6"/>
        <v>6135.5060145796397</v>
      </c>
      <c r="AL64" s="174"/>
    </row>
    <row r="65" spans="1:38" ht="15" thickBot="1" x14ac:dyDescent="0.35">
      <c r="A65" s="185"/>
      <c r="B65" s="213"/>
      <c r="C65" s="223"/>
      <c r="D65" s="178"/>
      <c r="E65" s="227"/>
      <c r="F65" s="237"/>
      <c r="H65" s="238"/>
      <c r="I65" s="219"/>
      <c r="J65" s="220"/>
      <c r="K65" s="218"/>
      <c r="L65" s="89"/>
      <c r="M65" s="239"/>
      <c r="N65" s="240"/>
      <c r="O65" s="241"/>
      <c r="P65" s="219"/>
      <c r="Q65" s="220"/>
      <c r="R65" s="218"/>
      <c r="S65" s="92"/>
      <c r="T65" s="242"/>
      <c r="U65" s="243"/>
      <c r="V65" s="244"/>
      <c r="W65" s="245"/>
      <c r="X65" s="246"/>
      <c r="Y65" s="247"/>
      <c r="Z65" s="130"/>
      <c r="AA65" s="248"/>
      <c r="AB65" s="248"/>
      <c r="AC65" s="248"/>
      <c r="AD65" s="248"/>
      <c r="AE65" s="248"/>
      <c r="AF65" s="119"/>
      <c r="AG65" s="252"/>
      <c r="AH65" s="253"/>
      <c r="AI65" s="254"/>
      <c r="AJ65" s="164"/>
      <c r="AK65" s="156"/>
      <c r="AL65" s="174"/>
    </row>
    <row r="66" spans="1:38" ht="15" thickBot="1" x14ac:dyDescent="0.35">
      <c r="F66" s="180"/>
      <c r="G66" s="180"/>
      <c r="H66" s="224" t="s">
        <v>39</v>
      </c>
      <c r="I66" s="151"/>
      <c r="J66" s="151"/>
      <c r="K66" s="161">
        <f>SUM(K4:K63)/60</f>
        <v>10.606997195828127</v>
      </c>
      <c r="L66" s="89"/>
      <c r="M66" s="215"/>
      <c r="N66" s="214"/>
      <c r="O66" s="151"/>
      <c r="P66" s="151"/>
      <c r="Q66" s="151"/>
      <c r="R66" s="216"/>
      <c r="S66" s="92"/>
      <c r="T66" s="152"/>
      <c r="U66" s="152"/>
      <c r="V66" s="153"/>
      <c r="W66" s="153"/>
      <c r="X66" s="153"/>
      <c r="Y66" s="153"/>
      <c r="Z66" s="168"/>
      <c r="AA66" s="159"/>
      <c r="AB66" s="154"/>
      <c r="AC66" s="154"/>
      <c r="AD66" s="69"/>
      <c r="AE66" s="155"/>
      <c r="AF66" s="169"/>
      <c r="AG66" s="159"/>
      <c r="AH66" s="69"/>
      <c r="AI66" s="70"/>
      <c r="AJ66" s="164"/>
      <c r="AK66" s="165"/>
      <c r="AL66" s="157"/>
    </row>
  </sheetData>
  <mergeCells count="1">
    <mergeCell ref="G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VAN Boisement</vt:lpstr>
      <vt:lpstr>VAN Cultures</vt:lpstr>
      <vt:lpstr>Production Chêne</vt:lpstr>
      <vt:lpstr>Production Fruitiers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Parthuisot</dc:creator>
  <cp:lastModifiedBy>emilie Parthuisot</cp:lastModifiedBy>
  <dcterms:created xsi:type="dcterms:W3CDTF">2021-03-24T14:06:17Z</dcterms:created>
  <dcterms:modified xsi:type="dcterms:W3CDTF">2021-07-30T07:04:41Z</dcterms:modified>
</cp:coreProperties>
</file>