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23040" windowHeight="9192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6" i="6" l="1"/>
  <c r="C75" i="6"/>
  <c r="C74" i="6"/>
  <c r="C48" i="6" l="1"/>
  <c r="C49" i="6"/>
  <c r="C50" i="6"/>
  <c r="C51" i="6"/>
  <c r="C22" i="6"/>
  <c r="C23" i="6"/>
  <c r="C24" i="6"/>
  <c r="C25" i="6"/>
  <c r="C26" i="6"/>
  <c r="C27" i="6"/>
  <c r="C28" i="6"/>
  <c r="C29" i="6"/>
  <c r="J16" i="6"/>
  <c r="J15" i="6"/>
  <c r="J14" i="6"/>
  <c r="J13" i="6"/>
  <c r="J12" i="6"/>
  <c r="E73" i="6"/>
  <c r="E47" i="6"/>
  <c r="E21" i="6"/>
  <c r="G68" i="1"/>
  <c r="F68" i="1"/>
  <c r="G70" i="1"/>
  <c r="F70" i="1"/>
  <c r="C81" i="6" l="1"/>
  <c r="C78" i="6"/>
  <c r="C79" i="6"/>
  <c r="C80" i="6"/>
  <c r="C77" i="6"/>
  <c r="C52" i="6" l="1"/>
  <c r="C53" i="6"/>
  <c r="C54" i="6"/>
  <c r="C55" i="6"/>
  <c r="C56" i="6"/>
  <c r="C57" i="6"/>
  <c r="C58" i="6"/>
  <c r="C59" i="6"/>
  <c r="C60" i="6"/>
  <c r="C61" i="6"/>
  <c r="C62" i="6"/>
  <c r="C63" i="6"/>
  <c r="C64" i="6"/>
  <c r="C30" i="6"/>
  <c r="C31" i="6"/>
  <c r="C32" i="6"/>
  <c r="C33" i="6"/>
  <c r="C34" i="6"/>
  <c r="C35" i="6"/>
  <c r="C36" i="6"/>
  <c r="C37" i="6"/>
  <c r="C38" i="6"/>
  <c r="E99" i="6" l="1"/>
  <c r="C153" i="6" l="1"/>
  <c r="C154" i="6"/>
  <c r="C155" i="6"/>
  <c r="C152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00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91" i="6"/>
  <c r="C92" i="6"/>
  <c r="C93" i="6"/>
  <c r="C90" i="6" l="1"/>
  <c r="C89" i="6"/>
  <c r="C88" i="6"/>
  <c r="C87" i="6"/>
  <c r="C86" i="6"/>
  <c r="C85" i="6"/>
  <c r="C84" i="6"/>
  <c r="C83" i="6"/>
  <c r="C82" i="6"/>
  <c r="HI4" i="2" l="1"/>
  <c r="HI5" i="2" s="1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GN4" i="2"/>
  <c r="GN5" i="2" s="1"/>
  <c r="GN6" i="2" s="1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FS4" i="2"/>
  <c r="FS5" i="2" s="1"/>
  <c r="FS6" i="2" s="1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EX4" i="2"/>
  <c r="EX5" i="2" s="1"/>
  <c r="EX6" i="2" s="1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L20" i="6" l="1"/>
  <c r="S63" i="6"/>
  <c r="H19" i="2"/>
  <c r="D20" i="2"/>
  <c r="G20" i="2" s="1"/>
  <c r="S36" i="6"/>
  <c r="J33" i="6" l="1"/>
  <c r="S64" i="6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G4" i="2" s="1"/>
  <c r="HE4" i="2"/>
  <c r="HH4" i="2" s="1"/>
  <c r="GJ4" i="2"/>
  <c r="GM4" i="2" s="1"/>
  <c r="FO4" i="2"/>
  <c r="FR4" i="2" s="1"/>
  <c r="DY4" i="2"/>
  <c r="ES4" i="2"/>
  <c r="EV4" i="2" s="1"/>
  <c r="DX4" i="2"/>
  <c r="GI4" i="2"/>
  <c r="GL4" i="2" s="1"/>
  <c r="CI4" i="2"/>
  <c r="ET4" i="2"/>
  <c r="EW4" i="2" s="1"/>
  <c r="DC4" i="2"/>
  <c r="DF4" i="2" s="1"/>
  <c r="BM4" i="2"/>
  <c r="DD4" i="2"/>
  <c r="DG4" i="2" s="1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CM4" i="2"/>
  <c r="BR4" i="2"/>
  <c r="BQ4" i="2"/>
  <c r="HG5" i="2"/>
  <c r="DH4" i="2"/>
  <c r="EA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HH5" i="2" s="1"/>
  <c r="GJ5" i="2"/>
  <c r="GM5" i="2" s="1"/>
  <c r="HD5" i="2"/>
  <c r="GI5" i="2"/>
  <c r="GL5" i="2" s="1"/>
  <c r="FO5" i="2"/>
  <c r="FR5" i="2" s="1"/>
  <c r="FN5" i="2"/>
  <c r="FQ5" i="2" s="1"/>
  <c r="DY5" i="2"/>
  <c r="ET5" i="2"/>
  <c r="EW5" i="2" s="1"/>
  <c r="ES5" i="2"/>
  <c r="EV5" i="2" s="1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G6" i="2" l="1"/>
  <c r="DH5" i="2"/>
  <c r="DF5" i="2"/>
  <c r="EA5" i="2"/>
  <c r="EC5" i="2"/>
  <c r="EB5" i="2"/>
  <c r="DG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L6" i="2" s="1"/>
  <c r="GJ6" i="2"/>
  <c r="GM6" i="2" s="1"/>
  <c r="ET6" i="2"/>
  <c r="EW6" i="2" s="1"/>
  <c r="FO6" i="2"/>
  <c r="FR6" i="2" s="1"/>
  <c r="FN6" i="2"/>
  <c r="FQ6" i="2" s="1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C6" i="2" l="1"/>
  <c r="EB6" i="2"/>
  <c r="DH6" i="2"/>
  <c r="HH7" i="2"/>
  <c r="HG7" i="2"/>
  <c r="DF6" i="2"/>
  <c r="EA6" i="2"/>
  <c r="DG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GM7" i="2" s="1"/>
  <c r="HD7" i="2"/>
  <c r="HE7" i="2"/>
  <c r="GI7" i="2"/>
  <c r="GL7" i="2" s="1"/>
  <c r="ES7" i="2"/>
  <c r="EV7" i="2" s="1"/>
  <c r="ET7" i="2"/>
  <c r="EW7" i="2" s="1"/>
  <c r="FO7" i="2"/>
  <c r="FR7" i="2" s="1"/>
  <c r="FN7" i="2"/>
  <c r="FQ7" i="2" s="1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DH7" i="2"/>
  <c r="EB7" i="2"/>
  <c r="EC7" i="2"/>
  <c r="DF7" i="2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GM8" i="2" s="1"/>
  <c r="FO8" i="2"/>
  <c r="FR8" i="2" s="1"/>
  <c r="HE8" i="2"/>
  <c r="HH8" i="2" s="1"/>
  <c r="GI8" i="2"/>
  <c r="GL8" i="2" s="1"/>
  <c r="DY8" i="2"/>
  <c r="ES8" i="2"/>
  <c r="EV8" i="2" s="1"/>
  <c r="DX8" i="2"/>
  <c r="FN8" i="2"/>
  <c r="FQ8" i="2" s="1"/>
  <c r="ET8" i="2"/>
  <c r="EW8" i="2" s="1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B8" i="2" l="1"/>
  <c r="HH9" i="2"/>
  <c r="DH8" i="2"/>
  <c r="EC8" i="2"/>
  <c r="EA8" i="2"/>
  <c r="DF8" i="2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GM9" i="2" s="1"/>
  <c r="HD9" i="2"/>
  <c r="HG9" i="2" s="1"/>
  <c r="FO9" i="2"/>
  <c r="FR9" i="2" s="1"/>
  <c r="FN9" i="2"/>
  <c r="FQ9" i="2" s="1"/>
  <c r="DY9" i="2"/>
  <c r="DD9" i="2"/>
  <c r="GI9" i="2"/>
  <c r="GL9" i="2" s="1"/>
  <c r="ES9" i="2"/>
  <c r="EV9" i="2" s="1"/>
  <c r="DX9" i="2"/>
  <c r="CH9" i="2"/>
  <c r="AS9" i="2"/>
  <c r="CI9" i="2"/>
  <c r="X9" i="2"/>
  <c r="AR9" i="2"/>
  <c r="BN9" i="2"/>
  <c r="BM9" i="2"/>
  <c r="ET9" i="2"/>
  <c r="EW9" i="2" s="1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R10" i="2" l="1"/>
  <c r="DH9" i="2"/>
  <c r="EC9" i="2"/>
  <c r="EA9" i="2"/>
  <c r="EB9" i="2"/>
  <c r="DF9" i="2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L10" i="2" s="1"/>
  <c r="GJ10" i="2"/>
  <c r="GM10" i="2" s="1"/>
  <c r="ET10" i="2"/>
  <c r="EW10" i="2" s="1"/>
  <c r="FN10" i="2"/>
  <c r="FQ10" i="2" s="1"/>
  <c r="FO10" i="2"/>
  <c r="BN10" i="2"/>
  <c r="ES10" i="2"/>
  <c r="EV10" i="2" s="1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DH10" i="2" l="1"/>
  <c r="FR11" i="2"/>
  <c r="EA10" i="2"/>
  <c r="EB10" i="2"/>
  <c r="EC10" i="2"/>
  <c r="DF10" i="2"/>
  <c r="DG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GM11" i="2" s="1"/>
  <c r="HD11" i="2"/>
  <c r="HG11" i="2" s="1"/>
  <c r="HE11" i="2"/>
  <c r="HH11" i="2" s="1"/>
  <c r="GI11" i="2"/>
  <c r="GL11" i="2" s="1"/>
  <c r="FO11" i="2"/>
  <c r="ES11" i="2"/>
  <c r="EV11" i="2" s="1"/>
  <c r="ET11" i="2"/>
  <c r="EW11" i="2" s="1"/>
  <c r="FN11" i="2"/>
  <c r="FQ11" i="2" s="1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FQ12" i="2"/>
  <c r="FR12" i="2"/>
  <c r="EC11" i="2"/>
  <c r="EB11" i="2"/>
  <c r="EA11" i="2"/>
  <c r="DH11" i="2"/>
  <c r="DF11" i="2"/>
  <c r="DG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G12" i="2" s="1"/>
  <c r="HE12" i="2"/>
  <c r="HH12" i="2" s="1"/>
  <c r="FO12" i="2"/>
  <c r="GI12" i="2"/>
  <c r="GL12" i="2" s="1"/>
  <c r="DY12" i="2"/>
  <c r="GJ12" i="2"/>
  <c r="GM12" i="2" s="1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DH12" i="2" l="1"/>
  <c r="AW12" i="2"/>
  <c r="EB12" i="2"/>
  <c r="EC12" i="2"/>
  <c r="EA12" i="2"/>
  <c r="AU12" i="2"/>
  <c r="DF12" i="2"/>
  <c r="DG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HH13" i="2" s="1"/>
  <c r="GJ13" i="2"/>
  <c r="GM13" i="2" s="1"/>
  <c r="GI13" i="2"/>
  <c r="GL13" i="2" s="1"/>
  <c r="FO13" i="2"/>
  <c r="FR13" i="2" s="1"/>
  <c r="FN13" i="2"/>
  <c r="FQ13" i="2" s="1"/>
  <c r="HD13" i="2"/>
  <c r="HG13" i="2" s="1"/>
  <c r="DY13" i="2"/>
  <c r="ET13" i="2"/>
  <c r="EW13" i="2" s="1"/>
  <c r="ES13" i="2"/>
  <c r="EV13" i="2" s="1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DH13" i="2" l="1"/>
  <c r="EW14" i="2"/>
  <c r="AU13" i="2"/>
  <c r="DG13" i="2"/>
  <c r="DF13" i="2"/>
  <c r="EC13" i="2"/>
  <c r="EA13" i="2"/>
  <c r="EB13" i="2"/>
  <c r="CM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GL14" i="2" s="1"/>
  <c r="ET14" i="2"/>
  <c r="FO14" i="2"/>
  <c r="FR14" i="2" s="1"/>
  <c r="FN14" i="2"/>
  <c r="FQ14" i="2" s="1"/>
  <c r="GJ14" i="2"/>
  <c r="GM14" i="2" s="1"/>
  <c r="DY14" i="2"/>
  <c r="ES14" i="2"/>
  <c r="EV14" i="2" s="1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AW14" i="2" l="1"/>
  <c r="HH15" i="2"/>
  <c r="DH14" i="2"/>
  <c r="EC14" i="2"/>
  <c r="EB14" i="2"/>
  <c r="EA14" i="2"/>
  <c r="CM14" i="2"/>
  <c r="DG14" i="2"/>
  <c r="DF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GM15" i="2" s="1"/>
  <c r="HD15" i="2"/>
  <c r="HG15" i="2" s="1"/>
  <c r="HE15" i="2"/>
  <c r="GI15" i="2"/>
  <c r="GL15" i="2" s="1"/>
  <c r="ES15" i="2"/>
  <c r="EV15" i="2" s="1"/>
  <c r="ET15" i="2"/>
  <c r="EW15" i="2" s="1"/>
  <c r="FN15" i="2"/>
  <c r="FQ15" i="2" s="1"/>
  <c r="DY15" i="2"/>
  <c r="FO15" i="2"/>
  <c r="FR15" i="2" s="1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CM15" i="2" l="1"/>
  <c r="EC15" i="2"/>
  <c r="EA15" i="2"/>
  <c r="EB15" i="2"/>
  <c r="DH15" i="2"/>
  <c r="DG15" i="2"/>
  <c r="DF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HG16" i="2" s="1"/>
  <c r="GJ16" i="2"/>
  <c r="GM16" i="2" s="1"/>
  <c r="HE16" i="2"/>
  <c r="HH16" i="2" s="1"/>
  <c r="FO16" i="2"/>
  <c r="FR16" i="2" s="1"/>
  <c r="GI16" i="2"/>
  <c r="GL16" i="2" s="1"/>
  <c r="DY16" i="2"/>
  <c r="ES16" i="2"/>
  <c r="EV16" i="2" s="1"/>
  <c r="DX16" i="2"/>
  <c r="FN16" i="2"/>
  <c r="FQ16" i="2" s="1"/>
  <c r="ET16" i="2"/>
  <c r="EW16" i="2" s="1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EA16" i="2"/>
  <c r="EB16" i="2"/>
  <c r="DG16" i="2"/>
  <c r="DH16" i="2"/>
  <c r="DF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HH17" i="2" s="1"/>
  <c r="GJ17" i="2"/>
  <c r="GM17" i="2" s="1"/>
  <c r="HD17" i="2"/>
  <c r="HG17" i="2" s="1"/>
  <c r="FO17" i="2"/>
  <c r="FR17" i="2" s="1"/>
  <c r="FN17" i="2"/>
  <c r="FQ17" i="2" s="1"/>
  <c r="GI17" i="2"/>
  <c r="GL17" i="2" s="1"/>
  <c r="DY17" i="2"/>
  <c r="DD17" i="2"/>
  <c r="ET17" i="2"/>
  <c r="EW17" i="2" s="1"/>
  <c r="CH17" i="2"/>
  <c r="AS17" i="2"/>
  <c r="CI17" i="2"/>
  <c r="X17" i="2"/>
  <c r="AR17" i="2"/>
  <c r="ES17" i="2"/>
  <c r="EV17" i="2" s="1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DG17" i="2" l="1"/>
  <c r="EC17" i="2"/>
  <c r="EA17" i="2"/>
  <c r="EB17" i="2"/>
  <c r="DH17" i="2"/>
  <c r="DF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HH18" i="2" s="1"/>
  <c r="GI18" i="2"/>
  <c r="GL18" i="2" s="1"/>
  <c r="GJ18" i="2"/>
  <c r="GM18" i="2" s="1"/>
  <c r="ET18" i="2"/>
  <c r="EW18" i="2" s="1"/>
  <c r="FN18" i="2"/>
  <c r="FQ18" i="2" s="1"/>
  <c r="DY18" i="2"/>
  <c r="DD18" i="2"/>
  <c r="BN18" i="2"/>
  <c r="FO18" i="2"/>
  <c r="FR18" i="2" s="1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C18" i="2" l="1"/>
  <c r="GM19" i="2"/>
  <c r="DG18" i="2"/>
  <c r="EB18" i="2"/>
  <c r="EA18" i="2"/>
  <c r="CM18" i="2"/>
  <c r="DH18" i="2"/>
  <c r="DF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G19" i="2" s="1"/>
  <c r="HE19" i="2"/>
  <c r="HH19" i="2" s="1"/>
  <c r="GI19" i="2"/>
  <c r="GL19" i="2" s="1"/>
  <c r="FO19" i="2"/>
  <c r="FR19" i="2" s="1"/>
  <c r="ES19" i="2"/>
  <c r="EV19" i="2" s="1"/>
  <c r="ET19" i="2"/>
  <c r="EW19" i="2" s="1"/>
  <c r="DX19" i="2"/>
  <c r="DC19" i="2"/>
  <c r="DY19" i="2"/>
  <c r="DD19" i="2"/>
  <c r="BN19" i="2"/>
  <c r="FN19" i="2"/>
  <c r="FQ19" i="2" s="1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C19" i="2" l="1"/>
  <c r="EB19" i="2"/>
  <c r="DG19" i="2"/>
  <c r="GM20" i="2"/>
  <c r="EA19" i="2"/>
  <c r="DH19" i="2"/>
  <c r="DF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FR20" i="2" s="1"/>
  <c r="DY20" i="2"/>
  <c r="ES20" i="2"/>
  <c r="EV20" i="2" s="1"/>
  <c r="DX20" i="2"/>
  <c r="CI20" i="2"/>
  <c r="BM20" i="2"/>
  <c r="GI20" i="2"/>
  <c r="GL20" i="2" s="1"/>
  <c r="ET20" i="2"/>
  <c r="EW20" i="2" s="1"/>
  <c r="DC20" i="2"/>
  <c r="CH20" i="2"/>
  <c r="BN20" i="2"/>
  <c r="AS20" i="2"/>
  <c r="AR20" i="2"/>
  <c r="FN20" i="2"/>
  <c r="FQ20" i="2" s="1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HG21" i="2"/>
  <c r="EW21" i="2"/>
  <c r="DG20" i="2"/>
  <c r="EC20" i="2"/>
  <c r="EA20" i="2"/>
  <c r="EB20" i="2"/>
  <c r="AW20" i="2"/>
  <c r="CM20" i="2"/>
  <c r="DH20" i="2"/>
  <c r="DF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GM21" i="2" s="1"/>
  <c r="HD21" i="2"/>
  <c r="GI21" i="2"/>
  <c r="GL21" i="2" s="1"/>
  <c r="FO21" i="2"/>
  <c r="FR21" i="2" s="1"/>
  <c r="FN21" i="2"/>
  <c r="FQ21" i="2" s="1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C21" i="2" l="1"/>
  <c r="DG21" i="2"/>
  <c r="EA21" i="2"/>
  <c r="EB21" i="2"/>
  <c r="DH21" i="2"/>
  <c r="DF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L22" i="2" s="1"/>
  <c r="GJ22" i="2"/>
  <c r="GM22" i="2" s="1"/>
  <c r="ET22" i="2"/>
  <c r="EW22" i="2" s="1"/>
  <c r="FO22" i="2"/>
  <c r="FR22" i="2" s="1"/>
  <c r="FN22" i="2"/>
  <c r="FQ22" i="2" s="1"/>
  <c r="DY22" i="2"/>
  <c r="ES22" i="2"/>
  <c r="EV22" i="2" s="1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DH22" i="2"/>
  <c r="DG22" i="2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GM23" i="2" s="1"/>
  <c r="HD23" i="2"/>
  <c r="HG23" i="2" s="1"/>
  <c r="HE23" i="2"/>
  <c r="HH23" i="2" s="1"/>
  <c r="GI23" i="2"/>
  <c r="GL23" i="2" s="1"/>
  <c r="ES23" i="2"/>
  <c r="EV23" i="2" s="1"/>
  <c r="ET23" i="2"/>
  <c r="EW23" i="2" s="1"/>
  <c r="FO23" i="2"/>
  <c r="FR23" i="2" s="1"/>
  <c r="FN23" i="2"/>
  <c r="FQ23" i="2" s="1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H24" i="2" l="1"/>
  <c r="DH23" i="2"/>
  <c r="DF23" i="2"/>
  <c r="DG23" i="2"/>
  <c r="EC23" i="2"/>
  <c r="EA23" i="2"/>
  <c r="EB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GM24" i="2" s="1"/>
  <c r="FO24" i="2"/>
  <c r="FR24" i="2" s="1"/>
  <c r="GI24" i="2"/>
  <c r="GL24" i="2" s="1"/>
  <c r="DY24" i="2"/>
  <c r="ES24" i="2"/>
  <c r="EV24" i="2" s="1"/>
  <c r="DX24" i="2"/>
  <c r="FN24" i="2"/>
  <c r="FQ24" i="2" s="1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CM24" i="2" l="1"/>
  <c r="HH25" i="2"/>
  <c r="DH24" i="2"/>
  <c r="EC24" i="2"/>
  <c r="EA24" i="2"/>
  <c r="EB24" i="2"/>
  <c r="DF24" i="2"/>
  <c r="DG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GM25" i="2" s="1"/>
  <c r="FO25" i="2"/>
  <c r="FR25" i="2" s="1"/>
  <c r="FN25" i="2"/>
  <c r="FQ25" i="2" s="1"/>
  <c r="DY25" i="2"/>
  <c r="GI25" i="2"/>
  <c r="GL25" i="2" s="1"/>
  <c r="DD25" i="2"/>
  <c r="HD25" i="2"/>
  <c r="HG25" i="2" s="1"/>
  <c r="ES25" i="2"/>
  <c r="EV25" i="2" s="1"/>
  <c r="DX25" i="2"/>
  <c r="CH25" i="2"/>
  <c r="AS25" i="2"/>
  <c r="CI25" i="2"/>
  <c r="BM25" i="2"/>
  <c r="X25" i="2"/>
  <c r="ET25" i="2"/>
  <c r="EW25" i="2" s="1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CM25" i="2"/>
  <c r="FR26" i="2"/>
  <c r="HH26" i="2"/>
  <c r="EB25" i="2"/>
  <c r="EA25" i="2"/>
  <c r="DH25" i="2"/>
  <c r="DG25" i="2"/>
  <c r="DF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G26" i="2" s="1"/>
  <c r="HE26" i="2"/>
  <c r="GI26" i="2"/>
  <c r="GL26" i="2" s="1"/>
  <c r="GJ26" i="2"/>
  <c r="GM26" i="2" s="1"/>
  <c r="ET26" i="2"/>
  <c r="EW26" i="2" s="1"/>
  <c r="FN26" i="2"/>
  <c r="FQ26" i="2" s="1"/>
  <c r="FO26" i="2"/>
  <c r="BN26" i="2"/>
  <c r="ES26" i="2"/>
  <c r="EV26" i="2" s="1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CM26" i="2"/>
  <c r="EA26" i="2"/>
  <c r="EC26" i="2"/>
  <c r="DG26" i="2"/>
  <c r="DH26" i="2"/>
  <c r="DF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GM27" i="2" s="1"/>
  <c r="HD27" i="2"/>
  <c r="HG27" i="2" s="1"/>
  <c r="HE27" i="2"/>
  <c r="HH27" i="2" s="1"/>
  <c r="GI27" i="2"/>
  <c r="GL27" i="2" s="1"/>
  <c r="FO27" i="2"/>
  <c r="FR27" i="2" s="1"/>
  <c r="ES27" i="2"/>
  <c r="EV27" i="2" s="1"/>
  <c r="ET27" i="2"/>
  <c r="EW27" i="2" s="1"/>
  <c r="FN27" i="2"/>
  <c r="FQ27" i="2" s="1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CM27" i="2"/>
  <c r="GL28" i="2"/>
  <c r="EA27" i="2"/>
  <c r="EB27" i="2"/>
  <c r="AW27" i="2"/>
  <c r="DG27" i="2"/>
  <c r="DH27" i="2"/>
  <c r="DF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HH28" i="2" s="1"/>
  <c r="FO28" i="2"/>
  <c r="FR28" i="2" s="1"/>
  <c r="GI28" i="2"/>
  <c r="DY28" i="2"/>
  <c r="ES28" i="2"/>
  <c r="EV28" i="2" s="1"/>
  <c r="DX28" i="2"/>
  <c r="GJ28" i="2"/>
  <c r="GM28" i="2" s="1"/>
  <c r="DD28" i="2"/>
  <c r="CI28" i="2"/>
  <c r="BM28" i="2"/>
  <c r="FN28" i="2"/>
  <c r="FQ28" i="2" s="1"/>
  <c r="DC28" i="2"/>
  <c r="CH28" i="2"/>
  <c r="BN28" i="2"/>
  <c r="AS28" i="2"/>
  <c r="AR28" i="2"/>
  <c r="ET28" i="2"/>
  <c r="EW28" i="2" s="1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DG28" i="2"/>
  <c r="CM28" i="2"/>
  <c r="DF28" i="2"/>
  <c r="EA28" i="2"/>
  <c r="DH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HH29" i="2" s="1"/>
  <c r="GJ29" i="2"/>
  <c r="GM29" i="2" s="1"/>
  <c r="HD29" i="2"/>
  <c r="HG29" i="2" s="1"/>
  <c r="GI29" i="2"/>
  <c r="GL29" i="2" s="1"/>
  <c r="FO29" i="2"/>
  <c r="FR29" i="2" s="1"/>
  <c r="FN29" i="2"/>
  <c r="FQ29" i="2" s="1"/>
  <c r="DY29" i="2"/>
  <c r="ET29" i="2"/>
  <c r="EW29" i="2" s="1"/>
  <c r="ES29" i="2"/>
  <c r="EV29" i="2" s="1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CM29" i="2"/>
  <c r="EA29" i="2"/>
  <c r="EB29" i="2"/>
  <c r="DH29" i="2"/>
  <c r="DG29" i="2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G30" i="2" s="1"/>
  <c r="HE30" i="2"/>
  <c r="HH30" i="2" s="1"/>
  <c r="GI30" i="2"/>
  <c r="GL30" i="2" s="1"/>
  <c r="GJ30" i="2"/>
  <c r="GM30" i="2" s="1"/>
  <c r="ET30" i="2"/>
  <c r="EW30" i="2" s="1"/>
  <c r="FO30" i="2"/>
  <c r="FR30" i="2" s="1"/>
  <c r="FN30" i="2"/>
  <c r="FQ30" i="2" s="1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CM30" i="2" l="1"/>
  <c r="EA30" i="2"/>
  <c r="EB30" i="2"/>
  <c r="EC30" i="2"/>
  <c r="DH30" i="2"/>
  <c r="DG30" i="2"/>
  <c r="DF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GM31" i="2" s="1"/>
  <c r="HD31" i="2"/>
  <c r="HG31" i="2" s="1"/>
  <c r="HE31" i="2"/>
  <c r="HH31" i="2" s="1"/>
  <c r="GI31" i="2"/>
  <c r="GL31" i="2" s="1"/>
  <c r="ES31" i="2"/>
  <c r="EV31" i="2" s="1"/>
  <c r="ET31" i="2"/>
  <c r="EW31" i="2" s="1"/>
  <c r="FN31" i="2"/>
  <c r="FQ31" i="2" s="1"/>
  <c r="DY31" i="2"/>
  <c r="DC31" i="2"/>
  <c r="DX31" i="2"/>
  <c r="BN31" i="2"/>
  <c r="CI31" i="2"/>
  <c r="CH31" i="2"/>
  <c r="AS31" i="2"/>
  <c r="W31" i="2"/>
  <c r="FO31" i="2"/>
  <c r="FR31" i="2" s="1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B31" i="2" l="1"/>
  <c r="EC31" i="2"/>
  <c r="EA31" i="2"/>
  <c r="CM31" i="2"/>
  <c r="HG32" i="2"/>
  <c r="DH31" i="2"/>
  <c r="DF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GM32" i="2" s="1"/>
  <c r="HE32" i="2"/>
  <c r="HH32" i="2" s="1"/>
  <c r="FO32" i="2"/>
  <c r="FR32" i="2" s="1"/>
  <c r="GI32" i="2"/>
  <c r="GL32" i="2" s="1"/>
  <c r="DY32" i="2"/>
  <c r="ES32" i="2"/>
  <c r="EV32" i="2" s="1"/>
  <c r="DX32" i="2"/>
  <c r="FN32" i="2"/>
  <c r="FQ32" i="2" s="1"/>
  <c r="ET32" i="2"/>
  <c r="EW32" i="2" s="1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CM32" i="2" l="1"/>
  <c r="HG33" i="2"/>
  <c r="EC32" i="2"/>
  <c r="EB32" i="2"/>
  <c r="EA32" i="2"/>
  <c r="DH32" i="2"/>
  <c r="DF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GM33" i="2" s="1"/>
  <c r="HD33" i="2"/>
  <c r="FO33" i="2"/>
  <c r="FR33" i="2" s="1"/>
  <c r="FN33" i="2"/>
  <c r="FQ33" i="2" s="1"/>
  <c r="GI33" i="2"/>
  <c r="GL33" i="2" s="1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4" i="2" l="1"/>
  <c r="EB33" i="2"/>
  <c r="EA33" i="2"/>
  <c r="EC33" i="2"/>
  <c r="DF33" i="2"/>
  <c r="DG33" i="2"/>
  <c r="DH33" i="2"/>
  <c r="DH34" i="2" s="1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HH34" i="2" s="1"/>
  <c r="GI34" i="2"/>
  <c r="GL34" i="2" s="1"/>
  <c r="GJ34" i="2"/>
  <c r="GM34" i="2" s="1"/>
  <c r="ET34" i="2"/>
  <c r="EW34" i="2" s="1"/>
  <c r="FN34" i="2"/>
  <c r="FQ34" i="2" s="1"/>
  <c r="DD34" i="2"/>
  <c r="BN34" i="2"/>
  <c r="DY34" i="2"/>
  <c r="CH34" i="2"/>
  <c r="AS34" i="2"/>
  <c r="DC34" i="2"/>
  <c r="W34" i="2"/>
  <c r="X34" i="2"/>
  <c r="ES34" i="2"/>
  <c r="EV34" i="2" s="1"/>
  <c r="DX34" i="2"/>
  <c r="FO34" i="2"/>
  <c r="FR34" i="2" s="1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HG35" i="2"/>
  <c r="EB34" i="2"/>
  <c r="EA34" i="2"/>
  <c r="EC34" i="2"/>
  <c r="DF34" i="2"/>
  <c r="DG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GM35" i="2" s="1"/>
  <c r="HD35" i="2"/>
  <c r="HE35" i="2"/>
  <c r="HH35" i="2" s="1"/>
  <c r="GI35" i="2"/>
  <c r="GL35" i="2" s="1"/>
  <c r="FO35" i="2"/>
  <c r="FR35" i="2" s="1"/>
  <c r="ES35" i="2"/>
  <c r="EV35" i="2" s="1"/>
  <c r="ET35" i="2"/>
  <c r="EW35" i="2" s="1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DH35" i="2" s="1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HG36" i="2"/>
  <c r="EC35" i="2"/>
  <c r="DG35" i="2"/>
  <c r="DF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HH36" i="2" s="1"/>
  <c r="GJ36" i="2"/>
  <c r="GM36" i="2" s="1"/>
  <c r="FO36" i="2"/>
  <c r="FR36" i="2" s="1"/>
  <c r="DY36" i="2"/>
  <c r="ES36" i="2"/>
  <c r="EV36" i="2" s="1"/>
  <c r="DX36" i="2"/>
  <c r="GI36" i="2"/>
  <c r="GL36" i="2" s="1"/>
  <c r="CI36" i="2"/>
  <c r="BM36" i="2"/>
  <c r="ET36" i="2"/>
  <c r="EW36" i="2" s="1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EA36" i="2" l="1"/>
  <c r="DH36" i="2"/>
  <c r="EB36" i="2"/>
  <c r="EC36" i="2"/>
  <c r="DF36" i="2"/>
  <c r="DG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HH37" i="2" s="1"/>
  <c r="GJ37" i="2"/>
  <c r="GM37" i="2" s="1"/>
  <c r="HD37" i="2"/>
  <c r="HG37" i="2" s="1"/>
  <c r="GI37" i="2"/>
  <c r="GL37" i="2" s="1"/>
  <c r="FO37" i="2"/>
  <c r="FR37" i="2" s="1"/>
  <c r="FN37" i="2"/>
  <c r="FQ37" i="2" s="1"/>
  <c r="DY37" i="2"/>
  <c r="ET37" i="2"/>
  <c r="EW37" i="2" s="1"/>
  <c r="ES37" i="2"/>
  <c r="EV37" i="2" s="1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DH37" i="2" l="1"/>
  <c r="EB37" i="2"/>
  <c r="EA37" i="2"/>
  <c r="EC37" i="2"/>
  <c r="DG37" i="2"/>
  <c r="DF37" i="2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L38" i="2" s="1"/>
  <c r="GJ38" i="2"/>
  <c r="GM38" i="2" s="1"/>
  <c r="ET38" i="2"/>
  <c r="EW38" i="2" s="1"/>
  <c r="FO38" i="2"/>
  <c r="FR38" i="2" s="1"/>
  <c r="FN38" i="2"/>
  <c r="FQ38" i="2" s="1"/>
  <c r="DY38" i="2"/>
  <c r="ES38" i="2"/>
  <c r="EV38" i="2" s="1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B38" i="2" l="1"/>
  <c r="EA38" i="2"/>
  <c r="EC38" i="2"/>
  <c r="CM38" i="2"/>
  <c r="DH38" i="2"/>
  <c r="DG38" i="2"/>
  <c r="DF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GM39" i="2" s="1"/>
  <c r="HD39" i="2"/>
  <c r="HG39" i="2" s="1"/>
  <c r="HE39" i="2"/>
  <c r="HH39" i="2" s="1"/>
  <c r="GI39" i="2"/>
  <c r="GL39" i="2" s="1"/>
  <c r="ES39" i="2"/>
  <c r="EV39" i="2" s="1"/>
  <c r="ET39" i="2"/>
  <c r="EW39" i="2" s="1"/>
  <c r="FO39" i="2"/>
  <c r="FR39" i="2" s="1"/>
  <c r="FN39" i="2"/>
  <c r="FQ39" i="2" s="1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CM39" i="2"/>
  <c r="EV40" i="2"/>
  <c r="EB39" i="2"/>
  <c r="EA39" i="2"/>
  <c r="EC39" i="2"/>
  <c r="DH39" i="2"/>
  <c r="DF39" i="2"/>
  <c r="DG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GM40" i="2" s="1"/>
  <c r="FO40" i="2"/>
  <c r="FR40" i="2" s="1"/>
  <c r="HE40" i="2"/>
  <c r="HH40" i="2" s="1"/>
  <c r="GI40" i="2"/>
  <c r="GL40" i="2" s="1"/>
  <c r="DY40" i="2"/>
  <c r="ES40" i="2"/>
  <c r="DX40" i="2"/>
  <c r="FN40" i="2"/>
  <c r="FQ40" i="2" s="1"/>
  <c r="ET40" i="2"/>
  <c r="EW40" i="2" s="1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CM40" i="2" l="1"/>
  <c r="EA40" i="2"/>
  <c r="EB40" i="2"/>
  <c r="EC40" i="2"/>
  <c r="DH40" i="2"/>
  <c r="DF40" i="2"/>
  <c r="DG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HH41" i="2" s="1"/>
  <c r="GJ41" i="2"/>
  <c r="GM41" i="2" s="1"/>
  <c r="HD41" i="2"/>
  <c r="HG41" i="2" s="1"/>
  <c r="FO41" i="2"/>
  <c r="FR41" i="2" s="1"/>
  <c r="FN41" i="2"/>
  <c r="FQ41" i="2" s="1"/>
  <c r="DY41" i="2"/>
  <c r="DD41" i="2"/>
  <c r="ES41" i="2"/>
  <c r="EV41" i="2" s="1"/>
  <c r="DX41" i="2"/>
  <c r="CH41" i="2"/>
  <c r="AS41" i="2"/>
  <c r="CI41" i="2"/>
  <c r="BM41" i="2"/>
  <c r="GI41" i="2"/>
  <c r="GL41" i="2" s="1"/>
  <c r="X41" i="2"/>
  <c r="AR41" i="2"/>
  <c r="BN41" i="2"/>
  <c r="DC41" i="2"/>
  <c r="W41" i="2"/>
  <c r="ET41" i="2"/>
  <c r="EW41" i="2" s="1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CM41" i="2" l="1"/>
  <c r="AW41" i="2"/>
  <c r="EA41" i="2"/>
  <c r="EB41" i="2"/>
  <c r="EC41" i="2"/>
  <c r="DH41" i="2"/>
  <c r="DG41" i="2"/>
  <c r="DF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HH42" i="2" s="1"/>
  <c r="GI42" i="2"/>
  <c r="GL42" i="2" s="1"/>
  <c r="GJ42" i="2"/>
  <c r="GM42" i="2" s="1"/>
  <c r="ET42" i="2"/>
  <c r="EW42" i="2" s="1"/>
  <c r="FN42" i="2"/>
  <c r="FQ42" i="2" s="1"/>
  <c r="FO42" i="2"/>
  <c r="FR42" i="2" s="1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CM42" i="2" l="1"/>
  <c r="EA42" i="2"/>
  <c r="EB42" i="2"/>
  <c r="EC42" i="2"/>
  <c r="DH42" i="2"/>
  <c r="DF42" i="2"/>
  <c r="DG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HH43" i="2" s="1"/>
  <c r="GI43" i="2"/>
  <c r="GL43" i="2" s="1"/>
  <c r="FO43" i="2"/>
  <c r="FR43" i="2" s="1"/>
  <c r="ES43" i="2"/>
  <c r="EV43" i="2" s="1"/>
  <c r="GJ43" i="2"/>
  <c r="GM43" i="2" s="1"/>
  <c r="ET43" i="2"/>
  <c r="EW43" i="2" s="1"/>
  <c r="FN43" i="2"/>
  <c r="FQ43" i="2" s="1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B43" i="2"/>
  <c r="CM43" i="2"/>
  <c r="EC43" i="2"/>
  <c r="AW43" i="2"/>
  <c r="DH43" i="2"/>
  <c r="DF43" i="2"/>
  <c r="DG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FR44" i="2" s="1"/>
  <c r="GI44" i="2"/>
  <c r="GL44" i="2" s="1"/>
  <c r="DY44" i="2"/>
  <c r="ES44" i="2"/>
  <c r="EV44" i="2" s="1"/>
  <c r="DX44" i="2"/>
  <c r="DD44" i="2"/>
  <c r="CI44" i="2"/>
  <c r="BM44" i="2"/>
  <c r="FN44" i="2"/>
  <c r="FQ44" i="2" s="1"/>
  <c r="DC44" i="2"/>
  <c r="ET44" i="2"/>
  <c r="EW44" i="2" s="1"/>
  <c r="CH44" i="2"/>
  <c r="BN44" i="2"/>
  <c r="AS44" i="2"/>
  <c r="AR44" i="2"/>
  <c r="GJ44" i="2"/>
  <c r="GM44" i="2" s="1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AU44" i="2" l="1"/>
  <c r="CM44" i="2"/>
  <c r="HG45" i="2"/>
  <c r="DH44" i="2"/>
  <c r="EB44" i="2"/>
  <c r="EA44" i="2"/>
  <c r="EC44" i="2"/>
  <c r="DG44" i="2"/>
  <c r="DF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HH45" i="2" s="1"/>
  <c r="GJ45" i="2"/>
  <c r="GM45" i="2" s="1"/>
  <c r="GI45" i="2"/>
  <c r="GL45" i="2" s="1"/>
  <c r="FO45" i="2"/>
  <c r="FR45" i="2" s="1"/>
  <c r="FN45" i="2"/>
  <c r="FQ45" i="2" s="1"/>
  <c r="DY45" i="2"/>
  <c r="ET45" i="2"/>
  <c r="EW45" i="2" s="1"/>
  <c r="ES45" i="2"/>
  <c r="EV45" i="2" s="1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CM45" i="2" l="1"/>
  <c r="DH45" i="2"/>
  <c r="EB45" i="2"/>
  <c r="EA45" i="2"/>
  <c r="EC45" i="2"/>
  <c r="DF45" i="2"/>
  <c r="DG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HH46" i="2" s="1"/>
  <c r="GI46" i="2"/>
  <c r="GL46" i="2" s="1"/>
  <c r="GJ46" i="2"/>
  <c r="GM46" i="2" s="1"/>
  <c r="ET46" i="2"/>
  <c r="EW46" i="2" s="1"/>
  <c r="FO46" i="2"/>
  <c r="FR46" i="2" s="1"/>
  <c r="FN46" i="2"/>
  <c r="FQ46" i="2" s="1"/>
  <c r="DY46" i="2"/>
  <c r="ES46" i="2"/>
  <c r="EV46" i="2" s="1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CM46" i="2" l="1"/>
  <c r="FR47" i="2"/>
  <c r="EB46" i="2"/>
  <c r="EA46" i="2"/>
  <c r="EC46" i="2"/>
  <c r="DH46" i="2"/>
  <c r="DF46" i="2"/>
  <c r="DG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HH47" i="2" s="1"/>
  <c r="GI47" i="2"/>
  <c r="GL47" i="2" s="1"/>
  <c r="GJ47" i="2"/>
  <c r="GM47" i="2" s="1"/>
  <c r="ES47" i="2"/>
  <c r="EV47" i="2" s="1"/>
  <c r="ET47" i="2"/>
  <c r="EW47" i="2" s="1"/>
  <c r="FN47" i="2"/>
  <c r="FQ47" i="2" s="1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CM47" i="2" l="1"/>
  <c r="FR48" i="2"/>
  <c r="EA47" i="2"/>
  <c r="EB47" i="2"/>
  <c r="EC47" i="2"/>
  <c r="DH47" i="2"/>
  <c r="DF47" i="2"/>
  <c r="DG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M48" i="2" s="1"/>
  <c r="GI48" i="2"/>
  <c r="GL48" i="2" s="1"/>
  <c r="DY48" i="2"/>
  <c r="ES48" i="2"/>
  <c r="EV48" i="2" s="1"/>
  <c r="DX48" i="2"/>
  <c r="FN48" i="2"/>
  <c r="FQ48" i="2" s="1"/>
  <c r="ET48" i="2"/>
  <c r="EW48" i="2" s="1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CM48" i="2" l="1"/>
  <c r="GM49" i="2"/>
  <c r="HH49" i="2"/>
  <c r="EA48" i="2"/>
  <c r="EB48" i="2"/>
  <c r="EC48" i="2"/>
  <c r="DH48" i="2"/>
  <c r="DG48" i="2"/>
  <c r="DF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HG49" i="2" s="1"/>
  <c r="GJ49" i="2"/>
  <c r="FO49" i="2"/>
  <c r="FR49" i="2" s="1"/>
  <c r="FN49" i="2"/>
  <c r="FQ49" i="2" s="1"/>
  <c r="GI49" i="2"/>
  <c r="GL49" i="2" s="1"/>
  <c r="DY49" i="2"/>
  <c r="DD49" i="2"/>
  <c r="ET49" i="2"/>
  <c r="EW49" i="2" s="1"/>
  <c r="CH49" i="2"/>
  <c r="AS49" i="2"/>
  <c r="CI49" i="2"/>
  <c r="BM49" i="2"/>
  <c r="X49" i="2"/>
  <c r="AR49" i="2"/>
  <c r="ES49" i="2"/>
  <c r="EV49" i="2" s="1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CM49" i="2" l="1"/>
  <c r="DH49" i="2"/>
  <c r="EB49" i="2"/>
  <c r="EC49" i="2"/>
  <c r="EA49" i="2"/>
  <c r="DG49" i="2"/>
  <c r="DF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HH50" i="2" s="1"/>
  <c r="GI50" i="2"/>
  <c r="GL50" i="2" s="1"/>
  <c r="GJ50" i="2"/>
  <c r="GM50" i="2" s="1"/>
  <c r="ET50" i="2"/>
  <c r="EW50" i="2" s="1"/>
  <c r="FN50" i="2"/>
  <c r="FQ50" i="2" s="1"/>
  <c r="DD50" i="2"/>
  <c r="BN50" i="2"/>
  <c r="FO50" i="2"/>
  <c r="FR50" i="2" s="1"/>
  <c r="CH50" i="2"/>
  <c r="AS50" i="2"/>
  <c r="ES50" i="2"/>
  <c r="EV50" i="2" s="1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GM51" i="2" l="1"/>
  <c r="DH50" i="2"/>
  <c r="EA50" i="2"/>
  <c r="EB50" i="2"/>
  <c r="EC50" i="2"/>
  <c r="DG50" i="2"/>
  <c r="DF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G51" i="2" s="1"/>
  <c r="HE51" i="2"/>
  <c r="HH51" i="2" s="1"/>
  <c r="GI51" i="2"/>
  <c r="GL51" i="2" s="1"/>
  <c r="FO51" i="2"/>
  <c r="FR51" i="2" s="1"/>
  <c r="ES51" i="2"/>
  <c r="EV51" i="2" s="1"/>
  <c r="ET51" i="2"/>
  <c r="EW51" i="2" s="1"/>
  <c r="GJ51" i="2"/>
  <c r="DY51" i="2"/>
  <c r="DX51" i="2"/>
  <c r="DC51" i="2"/>
  <c r="DD51" i="2"/>
  <c r="BN51" i="2"/>
  <c r="FN51" i="2"/>
  <c r="FQ51" i="2" s="1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DH51" i="2"/>
  <c r="EB51" i="2"/>
  <c r="EA51" i="2"/>
  <c r="EC51" i="2"/>
  <c r="DF51" i="2"/>
  <c r="DG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HG52" i="2" s="1"/>
  <c r="FO52" i="2"/>
  <c r="FR52" i="2" s="1"/>
  <c r="HE52" i="2"/>
  <c r="HH52" i="2" s="1"/>
  <c r="GJ52" i="2"/>
  <c r="GM52" i="2" s="1"/>
  <c r="DY52" i="2"/>
  <c r="ES52" i="2"/>
  <c r="EV52" i="2" s="1"/>
  <c r="DX52" i="2"/>
  <c r="CI52" i="2"/>
  <c r="BM52" i="2"/>
  <c r="ET52" i="2"/>
  <c r="EW52" i="2" s="1"/>
  <c r="DC52" i="2"/>
  <c r="CH52" i="2"/>
  <c r="BN52" i="2"/>
  <c r="AS52" i="2"/>
  <c r="AR52" i="2"/>
  <c r="GI52" i="2"/>
  <c r="GL52" i="2" s="1"/>
  <c r="FN52" i="2"/>
  <c r="FQ52" i="2" s="1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AU52" i="2" l="1"/>
  <c r="DH52" i="2"/>
  <c r="GM53" i="2"/>
  <c r="FQ53" i="2"/>
  <c r="EB52" i="2"/>
  <c r="EA52" i="2"/>
  <c r="EC52" i="2"/>
  <c r="DF52" i="2"/>
  <c r="DG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HH53" i="2" s="1"/>
  <c r="GJ53" i="2"/>
  <c r="HD53" i="2"/>
  <c r="HG53" i="2" s="1"/>
  <c r="GI53" i="2"/>
  <c r="GL53" i="2" s="1"/>
  <c r="FO53" i="2"/>
  <c r="FR53" i="2" s="1"/>
  <c r="FN53" i="2"/>
  <c r="DY53" i="2"/>
  <c r="ET53" i="2"/>
  <c r="EW53" i="2" s="1"/>
  <c r="ES53" i="2"/>
  <c r="EV53" i="2" s="1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GM54" i="2" l="1"/>
  <c r="EB53" i="2"/>
  <c r="EC53" i="2"/>
  <c r="EA53" i="2"/>
  <c r="AW53" i="2"/>
  <c r="DH53" i="2"/>
  <c r="DG53" i="2"/>
  <c r="DF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G54" i="2" s="1"/>
  <c r="HE54" i="2"/>
  <c r="HH54" i="2" s="1"/>
  <c r="GI54" i="2"/>
  <c r="GL54" i="2" s="1"/>
  <c r="GJ54" i="2"/>
  <c r="ET54" i="2"/>
  <c r="EW54" i="2" s="1"/>
  <c r="FO54" i="2"/>
  <c r="FR54" i="2" s="1"/>
  <c r="FN54" i="2"/>
  <c r="FQ54" i="2" s="1"/>
  <c r="DY54" i="2"/>
  <c r="ES54" i="2"/>
  <c r="EV54" i="2" s="1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V55" i="2" l="1"/>
  <c r="EA54" i="2"/>
  <c r="EB54" i="2"/>
  <c r="EC54" i="2"/>
  <c r="DH54" i="2"/>
  <c r="DF54" i="2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G55" i="2" s="1"/>
  <c r="HE55" i="2"/>
  <c r="HH55" i="2" s="1"/>
  <c r="GI55" i="2"/>
  <c r="GL55" i="2" s="1"/>
  <c r="GJ55" i="2"/>
  <c r="GM55" i="2" s="1"/>
  <c r="ES55" i="2"/>
  <c r="ET55" i="2"/>
  <c r="EW55" i="2" s="1"/>
  <c r="FO55" i="2"/>
  <c r="FR55" i="2" s="1"/>
  <c r="FN55" i="2"/>
  <c r="FQ55" i="2" s="1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B55" i="2" l="1"/>
  <c r="EA55" i="2"/>
  <c r="FR56" i="2"/>
  <c r="EC55" i="2"/>
  <c r="DH55" i="2"/>
  <c r="DG55" i="2"/>
  <c r="DF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M56" i="2" s="1"/>
  <c r="GI56" i="2"/>
  <c r="GL56" i="2" s="1"/>
  <c r="DY56" i="2"/>
  <c r="HE56" i="2"/>
  <c r="HH56" i="2" s="1"/>
  <c r="ES56" i="2"/>
  <c r="EV56" i="2" s="1"/>
  <c r="DX56" i="2"/>
  <c r="FN56" i="2"/>
  <c r="FQ56" i="2" s="1"/>
  <c r="ET56" i="2"/>
  <c r="EW56" i="2" s="1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EB56" i="2" l="1"/>
  <c r="EA56" i="2"/>
  <c r="EC56" i="2"/>
  <c r="DH56" i="2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GM57" i="2" s="1"/>
  <c r="FO57" i="2"/>
  <c r="FR57" i="2" s="1"/>
  <c r="HD57" i="2"/>
  <c r="HG57" i="2" s="1"/>
  <c r="FN57" i="2"/>
  <c r="FQ57" i="2" s="1"/>
  <c r="DY57" i="2"/>
  <c r="GI57" i="2"/>
  <c r="GL57" i="2" s="1"/>
  <c r="DD57" i="2"/>
  <c r="ES57" i="2"/>
  <c r="EV57" i="2" s="1"/>
  <c r="DX57" i="2"/>
  <c r="CH57" i="2"/>
  <c r="AS57" i="2"/>
  <c r="CI57" i="2"/>
  <c r="BM57" i="2"/>
  <c r="X57" i="2"/>
  <c r="ET57" i="2"/>
  <c r="EW57" i="2" s="1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GL58" i="2" l="1"/>
  <c r="EA57" i="2"/>
  <c r="EC57" i="2"/>
  <c r="EB57" i="2"/>
  <c r="DH57" i="2"/>
  <c r="DF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G58" i="2" s="1"/>
  <c r="HE58" i="2"/>
  <c r="HH58" i="2" s="1"/>
  <c r="GI58" i="2"/>
  <c r="GJ58" i="2"/>
  <c r="GM58" i="2" s="1"/>
  <c r="ET58" i="2"/>
  <c r="EW58" i="2" s="1"/>
  <c r="FN58" i="2"/>
  <c r="FQ58" i="2" s="1"/>
  <c r="FO58" i="2"/>
  <c r="FR58" i="2" s="1"/>
  <c r="BN58" i="2"/>
  <c r="ES58" i="2"/>
  <c r="EV58" i="2" s="1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HH59" i="2"/>
  <c r="EA58" i="2"/>
  <c r="EC58" i="2"/>
  <c r="DH58" i="2"/>
  <c r="DF58" i="2"/>
  <c r="DG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G59" i="2" s="1"/>
  <c r="HE59" i="2"/>
  <c r="GI59" i="2"/>
  <c r="GL59" i="2" s="1"/>
  <c r="FO59" i="2"/>
  <c r="FR59" i="2" s="1"/>
  <c r="ES59" i="2"/>
  <c r="EV59" i="2" s="1"/>
  <c r="GJ59" i="2"/>
  <c r="GM59" i="2" s="1"/>
  <c r="ET59" i="2"/>
  <c r="EW59" i="2" s="1"/>
  <c r="FN59" i="2"/>
  <c r="FQ59" i="2" s="1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60" i="2" l="1"/>
  <c r="DH59" i="2"/>
  <c r="EB59" i="2"/>
  <c r="EA59" i="2"/>
  <c r="EC59" i="2"/>
  <c r="DG59" i="2"/>
  <c r="DF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FR60" i="2" s="1"/>
  <c r="GI60" i="2"/>
  <c r="GL60" i="2" s="1"/>
  <c r="DY60" i="2"/>
  <c r="ES60" i="2"/>
  <c r="EV60" i="2" s="1"/>
  <c r="GJ60" i="2"/>
  <c r="GM60" i="2" s="1"/>
  <c r="DX60" i="2"/>
  <c r="DD60" i="2"/>
  <c r="CI60" i="2"/>
  <c r="BM60" i="2"/>
  <c r="FN60" i="2"/>
  <c r="FQ60" i="2" s="1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1" i="2" l="1"/>
  <c r="DH60" i="2"/>
  <c r="EA60" i="2"/>
  <c r="EB60" i="2"/>
  <c r="EC60" i="2"/>
  <c r="DG60" i="2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GM61" i="2" s="1"/>
  <c r="HD61" i="2"/>
  <c r="HG61" i="2" s="1"/>
  <c r="GI61" i="2"/>
  <c r="GL61" i="2" s="1"/>
  <c r="FO61" i="2"/>
  <c r="FR61" i="2" s="1"/>
  <c r="FN61" i="2"/>
  <c r="FQ61" i="2" s="1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DH61" i="2"/>
  <c r="GM62" i="2"/>
  <c r="EB61" i="2"/>
  <c r="EC61" i="2"/>
  <c r="DF61" i="2"/>
  <c r="DG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G62" i="2" s="1"/>
  <c r="HE62" i="2"/>
  <c r="HH62" i="2" s="1"/>
  <c r="GI62" i="2"/>
  <c r="GL62" i="2" s="1"/>
  <c r="GJ62" i="2"/>
  <c r="ET62" i="2"/>
  <c r="EW62" i="2" s="1"/>
  <c r="FO62" i="2"/>
  <c r="FR62" i="2" s="1"/>
  <c r="FN62" i="2"/>
  <c r="FQ62" i="2" s="1"/>
  <c r="DY62" i="2"/>
  <c r="ES62" i="2"/>
  <c r="EV62" i="2" s="1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EA62" i="2"/>
  <c r="DH62" i="2"/>
  <c r="DF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HH63" i="2" s="1"/>
  <c r="GI63" i="2"/>
  <c r="GL63" i="2" s="1"/>
  <c r="GJ63" i="2"/>
  <c r="GM63" i="2" s="1"/>
  <c r="ES63" i="2"/>
  <c r="EV63" i="2" s="1"/>
  <c r="ET63" i="2"/>
  <c r="EW63" i="2" s="1"/>
  <c r="FN63" i="2"/>
  <c r="FQ63" i="2" s="1"/>
  <c r="DY63" i="2"/>
  <c r="DC63" i="2"/>
  <c r="DX63" i="2"/>
  <c r="BN63" i="2"/>
  <c r="FO63" i="2"/>
  <c r="FR63" i="2" s="1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FQ64" i="2" l="1"/>
  <c r="EC63" i="2"/>
  <c r="EA63" i="2"/>
  <c r="EB63" i="2"/>
  <c r="DH63" i="2"/>
  <c r="DG63" i="2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G64" i="2" s="1"/>
  <c r="HE64" i="2"/>
  <c r="HH64" i="2" s="1"/>
  <c r="FO64" i="2"/>
  <c r="FR64" i="2" s="1"/>
  <c r="GJ64" i="2"/>
  <c r="GM64" i="2" s="1"/>
  <c r="GI64" i="2"/>
  <c r="GL64" i="2" s="1"/>
  <c r="DY64" i="2"/>
  <c r="ES64" i="2"/>
  <c r="EV64" i="2" s="1"/>
  <c r="DX64" i="2"/>
  <c r="FN64" i="2"/>
  <c r="ET64" i="2"/>
  <c r="EW64" i="2" s="1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FQ65" i="2" l="1"/>
  <c r="EC64" i="2"/>
  <c r="EA64" i="2"/>
  <c r="EB64" i="2"/>
  <c r="DH64" i="2"/>
  <c r="DG64" i="2"/>
  <c r="DF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H65" i="2" s="1"/>
  <c r="HD65" i="2"/>
  <c r="HG65" i="2" s="1"/>
  <c r="GJ65" i="2"/>
  <c r="GM65" i="2" s="1"/>
  <c r="FO65" i="2"/>
  <c r="FR65" i="2" s="1"/>
  <c r="FN65" i="2"/>
  <c r="GI65" i="2"/>
  <c r="GL65" i="2" s="1"/>
  <c r="DD65" i="2"/>
  <c r="ET65" i="2"/>
  <c r="EW65" i="2" s="1"/>
  <c r="CH65" i="2"/>
  <c r="AS65" i="2"/>
  <c r="DY65" i="2"/>
  <c r="CI65" i="2"/>
  <c r="BM65" i="2"/>
  <c r="X65" i="2"/>
  <c r="ES65" i="2"/>
  <c r="EV65" i="2" s="1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C65" i="2" l="1"/>
  <c r="DH65" i="2"/>
  <c r="FQ66" i="2"/>
  <c r="EB65" i="2"/>
  <c r="EA65" i="2"/>
  <c r="DG65" i="2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G66" i="2" s="1"/>
  <c r="HE66" i="2"/>
  <c r="HH66" i="2" s="1"/>
  <c r="GI66" i="2"/>
  <c r="GL66" i="2" s="1"/>
  <c r="GJ66" i="2"/>
  <c r="GM66" i="2" s="1"/>
  <c r="ET66" i="2"/>
  <c r="EW66" i="2" s="1"/>
  <c r="FN66" i="2"/>
  <c r="DD66" i="2"/>
  <c r="BN66" i="2"/>
  <c r="CH66" i="2"/>
  <c r="AS66" i="2"/>
  <c r="DY66" i="2"/>
  <c r="DC66" i="2"/>
  <c r="W66" i="2"/>
  <c r="FO66" i="2"/>
  <c r="FR66" i="2" s="1"/>
  <c r="X66" i="2"/>
  <c r="ES66" i="2"/>
  <c r="EV66" i="2" s="1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A66" i="2" l="1"/>
  <c r="EB66" i="2"/>
  <c r="FQ67" i="2"/>
  <c r="DH66" i="2"/>
  <c r="EC66" i="2"/>
  <c r="DG66" i="2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G67" i="2" s="1"/>
  <c r="HE67" i="2"/>
  <c r="HH67" i="2" s="1"/>
  <c r="GI67" i="2"/>
  <c r="GL67" i="2" s="1"/>
  <c r="FO67" i="2"/>
  <c r="FR67" i="2" s="1"/>
  <c r="ES67" i="2"/>
  <c r="EV67" i="2" s="1"/>
  <c r="ET67" i="2"/>
  <c r="EW67" i="2" s="1"/>
  <c r="DY67" i="2"/>
  <c r="GJ67" i="2"/>
  <c r="GM67" i="2" s="1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A67" i="2" l="1"/>
  <c r="DH67" i="2"/>
  <c r="FQ68" i="2"/>
  <c r="EC67" i="2"/>
  <c r="EB67" i="2"/>
  <c r="DG67" i="2"/>
  <c r="DF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G68" i="2" s="1"/>
  <c r="HE68" i="2"/>
  <c r="HH68" i="2" s="1"/>
  <c r="FO68" i="2"/>
  <c r="FR68" i="2" s="1"/>
  <c r="GJ68" i="2"/>
  <c r="GM68" i="2" s="1"/>
  <c r="ES68" i="2"/>
  <c r="EV68" i="2" s="1"/>
  <c r="DX68" i="2"/>
  <c r="GI68" i="2"/>
  <c r="GL68" i="2" s="1"/>
  <c r="CI68" i="2"/>
  <c r="BM68" i="2"/>
  <c r="ET68" i="2"/>
  <c r="EW68" i="2" s="1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EC68" i="2" l="1"/>
  <c r="EB68" i="2"/>
  <c r="DH68" i="2"/>
  <c r="EA68" i="2"/>
  <c r="DG68" i="2"/>
  <c r="DF68" i="2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HH69" i="2" s="1"/>
  <c r="GJ69" i="2"/>
  <c r="GM69" i="2" s="1"/>
  <c r="HD69" i="2"/>
  <c r="HG69" i="2" s="1"/>
  <c r="GI69" i="2"/>
  <c r="GL69" i="2" s="1"/>
  <c r="FO69" i="2"/>
  <c r="FR69" i="2" s="1"/>
  <c r="FN69" i="2"/>
  <c r="FQ69" i="2" s="1"/>
  <c r="ET69" i="2"/>
  <c r="EW69" i="2" s="1"/>
  <c r="ES69" i="2"/>
  <c r="EV69" i="2" s="1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C69" i="2"/>
  <c r="FQ70" i="2"/>
  <c r="EB69" i="2"/>
  <c r="DH69" i="2"/>
  <c r="DG69" i="2"/>
  <c r="DF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HH70" i="2" s="1"/>
  <c r="GI70" i="2"/>
  <c r="GL70" i="2" s="1"/>
  <c r="GJ70" i="2"/>
  <c r="GM70" i="2" s="1"/>
  <c r="ET70" i="2"/>
  <c r="EW70" i="2" s="1"/>
  <c r="FO70" i="2"/>
  <c r="FR70" i="2" s="1"/>
  <c r="FN70" i="2"/>
  <c r="ES70" i="2"/>
  <c r="EV70" i="2" s="1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EA70" i="2"/>
  <c r="EB70" i="2"/>
  <c r="DH70" i="2"/>
  <c r="DF70" i="2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G71" i="2" s="1"/>
  <c r="HE71" i="2"/>
  <c r="HH71" i="2" s="1"/>
  <c r="GI71" i="2"/>
  <c r="GL71" i="2" s="1"/>
  <c r="GJ71" i="2"/>
  <c r="GM71" i="2" s="1"/>
  <c r="ES71" i="2"/>
  <c r="EV71" i="2" s="1"/>
  <c r="ET71" i="2"/>
  <c r="EW71" i="2" s="1"/>
  <c r="FO71" i="2"/>
  <c r="FR71" i="2" s="1"/>
  <c r="FN71" i="2"/>
  <c r="FQ71" i="2" s="1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C71" i="2" l="1"/>
  <c r="EV72" i="2"/>
  <c r="EB71" i="2"/>
  <c r="EA71" i="2"/>
  <c r="DH71" i="2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HG72" i="2" s="1"/>
  <c r="FO72" i="2"/>
  <c r="FR72" i="2" s="1"/>
  <c r="HE72" i="2"/>
  <c r="HH72" i="2" s="1"/>
  <c r="GJ72" i="2"/>
  <c r="GM72" i="2" s="1"/>
  <c r="GI72" i="2"/>
  <c r="GL72" i="2" s="1"/>
  <c r="ES72" i="2"/>
  <c r="DX72" i="2"/>
  <c r="FN72" i="2"/>
  <c r="FQ72" i="2" s="1"/>
  <c r="ET72" i="2"/>
  <c r="EW72" i="2" s="1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V73" i="2" l="1"/>
  <c r="EC72" i="2"/>
  <c r="EB72" i="2"/>
  <c r="EA72" i="2"/>
  <c r="DH72" i="2"/>
  <c r="DF72" i="2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HH73" i="2" s="1"/>
  <c r="GJ73" i="2"/>
  <c r="GM73" i="2" s="1"/>
  <c r="HD73" i="2"/>
  <c r="HG73" i="2" s="1"/>
  <c r="FO73" i="2"/>
  <c r="FR73" i="2" s="1"/>
  <c r="FN73" i="2"/>
  <c r="FQ73" i="2" s="1"/>
  <c r="DD73" i="2"/>
  <c r="GI73" i="2"/>
  <c r="GL73" i="2" s="1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B73" i="2" l="1"/>
  <c r="EV74" i="2"/>
  <c r="EC73" i="2"/>
  <c r="EA73" i="2"/>
  <c r="DH73" i="2"/>
  <c r="DF73" i="2"/>
  <c r="DG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HH74" i="2" s="1"/>
  <c r="GI74" i="2"/>
  <c r="GL74" i="2" s="1"/>
  <c r="GJ74" i="2"/>
  <c r="GM74" i="2" s="1"/>
  <c r="ET74" i="2"/>
  <c r="EW74" i="2" s="1"/>
  <c r="FN74" i="2"/>
  <c r="FQ74" i="2" s="1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V75" i="2" l="1"/>
  <c r="DH74" i="2"/>
  <c r="EA74" i="2"/>
  <c r="EC74" i="2"/>
  <c r="EB74" i="2"/>
  <c r="DF74" i="2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GL75" i="2" s="1"/>
  <c r="FO75" i="2"/>
  <c r="FR75" i="2" s="1"/>
  <c r="ES75" i="2"/>
  <c r="GJ75" i="2"/>
  <c r="GM75" i="2" s="1"/>
  <c r="ET75" i="2"/>
  <c r="EW75" i="2" s="1"/>
  <c r="DY75" i="2"/>
  <c r="FN75" i="2"/>
  <c r="FQ75" i="2" s="1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H75" i="2" s="1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V76" i="2"/>
  <c r="EC75" i="2"/>
  <c r="DF75" i="2"/>
  <c r="DG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G76" i="2" s="1"/>
  <c r="HE76" i="2"/>
  <c r="HH76" i="2" s="1"/>
  <c r="FO76" i="2"/>
  <c r="FR76" i="2" s="1"/>
  <c r="GI76" i="2"/>
  <c r="GL76" i="2" s="1"/>
  <c r="ES76" i="2"/>
  <c r="DX76" i="2"/>
  <c r="DD76" i="2"/>
  <c r="CI76" i="2"/>
  <c r="BM76" i="2"/>
  <c r="GJ76" i="2"/>
  <c r="GM76" i="2" s="1"/>
  <c r="FN76" i="2"/>
  <c r="FQ76" i="2" s="1"/>
  <c r="DY76" i="2"/>
  <c r="DC76" i="2"/>
  <c r="ET76" i="2"/>
  <c r="EW76" i="2" s="1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B76" i="2" l="1"/>
  <c r="EA76" i="2"/>
  <c r="DH76" i="2"/>
  <c r="EC76" i="2"/>
  <c r="DG76" i="2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HH77" i="2" s="1"/>
  <c r="GJ77" i="2"/>
  <c r="GM77" i="2" s="1"/>
  <c r="GI77" i="2"/>
  <c r="GL77" i="2" s="1"/>
  <c r="FO77" i="2"/>
  <c r="FR77" i="2" s="1"/>
  <c r="FN77" i="2"/>
  <c r="FQ77" i="2" s="1"/>
  <c r="HD77" i="2"/>
  <c r="HG77" i="2" s="1"/>
  <c r="ET77" i="2"/>
  <c r="EW77" i="2" s="1"/>
  <c r="ES77" i="2"/>
  <c r="EV77" i="2" s="1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HH78" i="2"/>
  <c r="EA77" i="2"/>
  <c r="EC77" i="2"/>
  <c r="DH77" i="2"/>
  <c r="DG77" i="2"/>
  <c r="DF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G78" i="2" s="1"/>
  <c r="HE78" i="2"/>
  <c r="GI78" i="2"/>
  <c r="GL78" i="2" s="1"/>
  <c r="GJ78" i="2"/>
  <c r="GM78" i="2" s="1"/>
  <c r="ET78" i="2"/>
  <c r="EW78" i="2" s="1"/>
  <c r="FO78" i="2"/>
  <c r="FR78" i="2" s="1"/>
  <c r="FN78" i="2"/>
  <c r="FQ78" i="2" s="1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A78" i="2"/>
  <c r="DH78" i="2"/>
  <c r="DF78" i="2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L79" i="2" s="1"/>
  <c r="GJ79" i="2"/>
  <c r="GM79" i="2" s="1"/>
  <c r="ES79" i="2"/>
  <c r="EV79" i="2" s="1"/>
  <c r="ET79" i="2"/>
  <c r="EW79" i="2" s="1"/>
  <c r="FN79" i="2"/>
  <c r="FQ79" i="2" s="1"/>
  <c r="DY79" i="2"/>
  <c r="FO79" i="2"/>
  <c r="FR79" i="2" s="1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C79" i="2" l="1"/>
  <c r="EA79" i="2"/>
  <c r="EB79" i="2"/>
  <c r="DH79" i="2"/>
  <c r="DF79" i="2"/>
  <c r="DG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FR80" i="2" s="1"/>
  <c r="GJ80" i="2"/>
  <c r="GM80" i="2" s="1"/>
  <c r="GI80" i="2"/>
  <c r="GL80" i="2" s="1"/>
  <c r="ES80" i="2"/>
  <c r="EV80" i="2" s="1"/>
  <c r="DX80" i="2"/>
  <c r="FN80" i="2"/>
  <c r="FQ80" i="2" s="1"/>
  <c r="ET80" i="2"/>
  <c r="EW80" i="2" s="1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EA80" i="2"/>
  <c r="EB80" i="2"/>
  <c r="DH80" i="2"/>
  <c r="DG80" i="2"/>
  <c r="DF80" i="2"/>
  <c r="AU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H81" i="2" s="1"/>
  <c r="HD81" i="2"/>
  <c r="HG81" i="2" s="1"/>
  <c r="GJ81" i="2"/>
  <c r="GM81" i="2" s="1"/>
  <c r="FO81" i="2"/>
  <c r="FR81" i="2" s="1"/>
  <c r="FN81" i="2"/>
  <c r="FQ81" i="2" s="1"/>
  <c r="GI81" i="2"/>
  <c r="GL81" i="2" s="1"/>
  <c r="DD81" i="2"/>
  <c r="ET81" i="2"/>
  <c r="EW81" i="2" s="1"/>
  <c r="CH81" i="2"/>
  <c r="AS81" i="2"/>
  <c r="DY81" i="2"/>
  <c r="CI81" i="2"/>
  <c r="BM81" i="2"/>
  <c r="X81" i="2"/>
  <c r="AR81" i="2"/>
  <c r="DX81" i="2"/>
  <c r="BN81" i="2"/>
  <c r="ES81" i="2"/>
  <c r="EV81" i="2" s="1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FR82" i="2"/>
  <c r="EB81" i="2"/>
  <c r="EA81" i="2"/>
  <c r="AW81" i="2"/>
  <c r="DH81" i="2"/>
  <c r="DG81" i="2"/>
  <c r="DF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L82" i="2" s="1"/>
  <c r="GJ82" i="2"/>
  <c r="GM82" i="2" s="1"/>
  <c r="ET82" i="2"/>
  <c r="EW82" i="2" s="1"/>
  <c r="FN82" i="2"/>
  <c r="FQ82" i="2" s="1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C82" i="2" l="1"/>
  <c r="EB82" i="2"/>
  <c r="EA82" i="2"/>
  <c r="DH82" i="2"/>
  <c r="DG82" i="2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G83" i="2" s="1"/>
  <c r="HE83" i="2"/>
  <c r="HH83" i="2" s="1"/>
  <c r="GI83" i="2"/>
  <c r="GL83" i="2" s="1"/>
  <c r="FO83" i="2"/>
  <c r="FR83" i="2" s="1"/>
  <c r="ES83" i="2"/>
  <c r="EV83" i="2" s="1"/>
  <c r="ET83" i="2"/>
  <c r="EW83" i="2" s="1"/>
  <c r="DY83" i="2"/>
  <c r="DX83" i="2"/>
  <c r="DC83" i="2"/>
  <c r="DD83" i="2"/>
  <c r="BN83" i="2"/>
  <c r="GJ83" i="2"/>
  <c r="GM83" i="2" s="1"/>
  <c r="FN83" i="2"/>
  <c r="FQ83" i="2" s="1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R84" i="2" l="1"/>
  <c r="EC83" i="2"/>
  <c r="EA83" i="2"/>
  <c r="EB83" i="2"/>
  <c r="DH83" i="2"/>
  <c r="DF83" i="2"/>
  <c r="DG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GM84" i="2" s="1"/>
  <c r="ES84" i="2"/>
  <c r="EV84" i="2" s="1"/>
  <c r="HE84" i="2"/>
  <c r="HH84" i="2" s="1"/>
  <c r="DX84" i="2"/>
  <c r="CI84" i="2"/>
  <c r="BM84" i="2"/>
  <c r="GI84" i="2"/>
  <c r="GL84" i="2" s="1"/>
  <c r="ET84" i="2"/>
  <c r="EW84" i="2" s="1"/>
  <c r="DC84" i="2"/>
  <c r="CH84" i="2"/>
  <c r="BN84" i="2"/>
  <c r="AS84" i="2"/>
  <c r="AR84" i="2"/>
  <c r="FN84" i="2"/>
  <c r="FQ84" i="2" s="1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B84" i="2" l="1"/>
  <c r="EA84" i="2"/>
  <c r="EC84" i="2"/>
  <c r="DH84" i="2"/>
  <c r="DF84" i="2"/>
  <c r="DG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GM85" i="2" s="1"/>
  <c r="HD85" i="2"/>
  <c r="HG85" i="2" s="1"/>
  <c r="GI85" i="2"/>
  <c r="GL85" i="2" s="1"/>
  <c r="FO85" i="2"/>
  <c r="FR85" i="2" s="1"/>
  <c r="FN85" i="2"/>
  <c r="FQ85" i="2" s="1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DH85" i="2" l="1"/>
  <c r="FQ86" i="2"/>
  <c r="EA85" i="2"/>
  <c r="EC85" i="2"/>
  <c r="EB85" i="2"/>
  <c r="DF85" i="2"/>
  <c r="DG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G86" i="2" s="1"/>
  <c r="HE86" i="2"/>
  <c r="HH86" i="2" s="1"/>
  <c r="GI86" i="2"/>
  <c r="GL86" i="2" s="1"/>
  <c r="GJ86" i="2"/>
  <c r="GM86" i="2" s="1"/>
  <c r="ET86" i="2"/>
  <c r="EW86" i="2" s="1"/>
  <c r="FO86" i="2"/>
  <c r="FR86" i="2" s="1"/>
  <c r="FN86" i="2"/>
  <c r="ES86" i="2"/>
  <c r="EV86" i="2" s="1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DH86" i="2"/>
  <c r="EB86" i="2"/>
  <c r="EA86" i="2"/>
  <c r="DF86" i="2"/>
  <c r="DG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HH87" i="2" s="1"/>
  <c r="GI87" i="2"/>
  <c r="GL87" i="2" s="1"/>
  <c r="GJ87" i="2"/>
  <c r="GM87" i="2" s="1"/>
  <c r="ES87" i="2"/>
  <c r="EV87" i="2" s="1"/>
  <c r="ET87" i="2"/>
  <c r="EW87" i="2" s="1"/>
  <c r="FO87" i="2"/>
  <c r="FR87" i="2" s="1"/>
  <c r="FN87" i="2"/>
  <c r="FQ87" i="2" s="1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H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C87" i="2"/>
  <c r="EB87" i="2"/>
  <c r="DG87" i="2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FR88" i="2" s="1"/>
  <c r="GJ88" i="2"/>
  <c r="GM88" i="2" s="1"/>
  <c r="GI88" i="2"/>
  <c r="GL88" i="2" s="1"/>
  <c r="ES88" i="2"/>
  <c r="EV88" i="2" s="1"/>
  <c r="DX88" i="2"/>
  <c r="HE88" i="2"/>
  <c r="HH88" i="2" s="1"/>
  <c r="FN88" i="2"/>
  <c r="FQ88" i="2" s="1"/>
  <c r="ET88" i="2"/>
  <c r="EW88" i="2" s="1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A88" i="2" l="1"/>
  <c r="EB88" i="2"/>
  <c r="DH88" i="2"/>
  <c r="EC88" i="2"/>
  <c r="DG88" i="2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HH89" i="2" s="1"/>
  <c r="GJ89" i="2"/>
  <c r="GM89" i="2" s="1"/>
  <c r="FO89" i="2"/>
  <c r="FR89" i="2" s="1"/>
  <c r="FN89" i="2"/>
  <c r="FQ89" i="2" s="1"/>
  <c r="GI89" i="2"/>
  <c r="GL89" i="2" s="1"/>
  <c r="DD89" i="2"/>
  <c r="HD89" i="2"/>
  <c r="HG89" i="2" s="1"/>
  <c r="ES89" i="2"/>
  <c r="EV89" i="2" s="1"/>
  <c r="DX89" i="2"/>
  <c r="CH89" i="2"/>
  <c r="AS89" i="2"/>
  <c r="CI89" i="2"/>
  <c r="BM89" i="2"/>
  <c r="X89" i="2"/>
  <c r="ET89" i="2"/>
  <c r="EW89" i="2" s="1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DH89" i="2" l="1"/>
  <c r="EC89" i="2"/>
  <c r="EA89" i="2"/>
  <c r="EB89" i="2"/>
  <c r="DF89" i="2"/>
  <c r="DG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HH90" i="2" s="1"/>
  <c r="GI90" i="2"/>
  <c r="GL90" i="2" s="1"/>
  <c r="GJ90" i="2"/>
  <c r="GM90" i="2" s="1"/>
  <c r="ET90" i="2"/>
  <c r="EW90" i="2" s="1"/>
  <c r="FN90" i="2"/>
  <c r="FQ90" i="2" s="1"/>
  <c r="FO90" i="2"/>
  <c r="FR90" i="2" s="1"/>
  <c r="DY90" i="2"/>
  <c r="BN90" i="2"/>
  <c r="ES90" i="2"/>
  <c r="EV90" i="2" s="1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DH90" i="2"/>
  <c r="EA90" i="2"/>
  <c r="EB90" i="2"/>
  <c r="DF90" i="2"/>
  <c r="DG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G91" i="2" s="1"/>
  <c r="HE91" i="2"/>
  <c r="HH91" i="2" s="1"/>
  <c r="GI91" i="2"/>
  <c r="GL91" i="2" s="1"/>
  <c r="FO91" i="2"/>
  <c r="FR91" i="2" s="1"/>
  <c r="ES91" i="2"/>
  <c r="EV91" i="2" s="1"/>
  <c r="GJ91" i="2"/>
  <c r="GM91" i="2" s="1"/>
  <c r="ET91" i="2"/>
  <c r="EW91" i="2" s="1"/>
  <c r="DY91" i="2"/>
  <c r="FN91" i="2"/>
  <c r="FQ91" i="2" s="1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V92" i="2" l="1"/>
  <c r="DH91" i="2"/>
  <c r="EC91" i="2"/>
  <c r="EA91" i="2"/>
  <c r="EB91" i="2"/>
  <c r="DG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G92" i="2" s="1"/>
  <c r="HE92" i="2"/>
  <c r="HH92" i="2" s="1"/>
  <c r="FO92" i="2"/>
  <c r="FR92" i="2" s="1"/>
  <c r="GI92" i="2"/>
  <c r="GL92" i="2" s="1"/>
  <c r="ES92" i="2"/>
  <c r="GJ92" i="2"/>
  <c r="GM92" i="2" s="1"/>
  <c r="DX92" i="2"/>
  <c r="DD92" i="2"/>
  <c r="CI92" i="2"/>
  <c r="BM92" i="2"/>
  <c r="FN92" i="2"/>
  <c r="FQ92" i="2" s="1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DH92" i="2" s="1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B92" i="2" l="1"/>
  <c r="EV93" i="2"/>
  <c r="EC92" i="2"/>
  <c r="EA92" i="2"/>
  <c r="DF92" i="2"/>
  <c r="DG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HH93" i="2" s="1"/>
  <c r="GJ93" i="2"/>
  <c r="GM93" i="2" s="1"/>
  <c r="HD93" i="2"/>
  <c r="HG93" i="2" s="1"/>
  <c r="GI93" i="2"/>
  <c r="GL93" i="2" s="1"/>
  <c r="FO93" i="2"/>
  <c r="FR93" i="2" s="1"/>
  <c r="FN93" i="2"/>
  <c r="FQ93" i="2" s="1"/>
  <c r="ET93" i="2"/>
  <c r="EW93" i="2" s="1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B93" i="2"/>
  <c r="EC93" i="2"/>
  <c r="EA93" i="2"/>
  <c r="DH93" i="2"/>
  <c r="DG93" i="2"/>
  <c r="DF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HH94" i="2" s="1"/>
  <c r="GI94" i="2"/>
  <c r="GL94" i="2" s="1"/>
  <c r="GJ94" i="2"/>
  <c r="GM94" i="2" s="1"/>
  <c r="ET94" i="2"/>
  <c r="EW94" i="2" s="1"/>
  <c r="FO94" i="2"/>
  <c r="FR94" i="2" s="1"/>
  <c r="FN94" i="2"/>
  <c r="FQ94" i="2" s="1"/>
  <c r="ES94" i="2"/>
  <c r="EV94" i="2" s="1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C94" i="2" l="1"/>
  <c r="EB94" i="2"/>
  <c r="EA94" i="2"/>
  <c r="DH94" i="2"/>
  <c r="DF94" i="2"/>
  <c r="DG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HH95" i="2" s="1"/>
  <c r="GI95" i="2"/>
  <c r="GL95" i="2" s="1"/>
  <c r="GJ95" i="2"/>
  <c r="GM95" i="2" s="1"/>
  <c r="ES95" i="2"/>
  <c r="EV95" i="2" s="1"/>
  <c r="ET95" i="2"/>
  <c r="EW95" i="2" s="1"/>
  <c r="FN95" i="2"/>
  <c r="FQ95" i="2" s="1"/>
  <c r="DY95" i="2"/>
  <c r="DC95" i="2"/>
  <c r="DX95" i="2"/>
  <c r="BN95" i="2"/>
  <c r="BM95" i="2"/>
  <c r="CH95" i="2"/>
  <c r="AS95" i="2"/>
  <c r="W95" i="2"/>
  <c r="FO95" i="2"/>
  <c r="FR95" i="2" s="1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DH95" i="2" l="1"/>
  <c r="EB95" i="2"/>
  <c r="EC95" i="2"/>
  <c r="EA95" i="2"/>
  <c r="DF95" i="2"/>
  <c r="DG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G96" i="2" s="1"/>
  <c r="HE96" i="2"/>
  <c r="HH96" i="2" s="1"/>
  <c r="FO96" i="2"/>
  <c r="FR96" i="2" s="1"/>
  <c r="GJ96" i="2"/>
  <c r="GM96" i="2" s="1"/>
  <c r="GI96" i="2"/>
  <c r="GL96" i="2" s="1"/>
  <c r="ES96" i="2"/>
  <c r="EV96" i="2" s="1"/>
  <c r="DX96" i="2"/>
  <c r="FN96" i="2"/>
  <c r="FQ96" i="2" s="1"/>
  <c r="ET96" i="2"/>
  <c r="EW96" i="2" s="1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B96" i="2" l="1"/>
  <c r="EW97" i="2"/>
  <c r="DH96" i="2"/>
  <c r="EA96" i="2"/>
  <c r="EC96" i="2"/>
  <c r="DF96" i="2"/>
  <c r="DG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H97" i="2" s="1"/>
  <c r="HD97" i="2"/>
  <c r="HG97" i="2" s="1"/>
  <c r="GJ97" i="2"/>
  <c r="GM97" i="2" s="1"/>
  <c r="FO97" i="2"/>
  <c r="FR97" i="2" s="1"/>
  <c r="FN97" i="2"/>
  <c r="FQ97" i="2" s="1"/>
  <c r="GI97" i="2"/>
  <c r="GL97" i="2" s="1"/>
  <c r="DD97" i="2"/>
  <c r="ET97" i="2"/>
  <c r="CH97" i="2"/>
  <c r="AS97" i="2"/>
  <c r="DY97" i="2"/>
  <c r="CI97" i="2"/>
  <c r="BM97" i="2"/>
  <c r="X97" i="2"/>
  <c r="ES97" i="2"/>
  <c r="EV97" i="2" s="1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AW97" i="2" l="1"/>
  <c r="EC97" i="2"/>
  <c r="EB97" i="2"/>
  <c r="EA97" i="2"/>
  <c r="DH97" i="2"/>
  <c r="DG97" i="2"/>
  <c r="DF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G98" i="2" s="1"/>
  <c r="HE98" i="2"/>
  <c r="HH98" i="2" s="1"/>
  <c r="GI98" i="2"/>
  <c r="GL98" i="2" s="1"/>
  <c r="GJ98" i="2"/>
  <c r="GM98" i="2" s="1"/>
  <c r="ET98" i="2"/>
  <c r="EW98" i="2" s="1"/>
  <c r="FN98" i="2"/>
  <c r="FQ98" i="2" s="1"/>
  <c r="DD98" i="2"/>
  <c r="BN98" i="2"/>
  <c r="CH98" i="2"/>
  <c r="AS98" i="2"/>
  <c r="DY98" i="2"/>
  <c r="DC98" i="2"/>
  <c r="W98" i="2"/>
  <c r="X98" i="2"/>
  <c r="ES98" i="2"/>
  <c r="EV98" i="2" s="1"/>
  <c r="DX98" i="2"/>
  <c r="CI98" i="2"/>
  <c r="FO98" i="2"/>
  <c r="FR98" i="2" s="1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B98" i="2" l="1"/>
  <c r="EC98" i="2"/>
  <c r="EA98" i="2"/>
  <c r="DH98" i="2"/>
  <c r="EW99" i="2"/>
  <c r="DG98" i="2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G99" i="2" s="1"/>
  <c r="HE99" i="2"/>
  <c r="HH99" i="2" s="1"/>
  <c r="GI99" i="2"/>
  <c r="GL99" i="2" s="1"/>
  <c r="FO99" i="2"/>
  <c r="FR99" i="2" s="1"/>
  <c r="ES99" i="2"/>
  <c r="EV99" i="2" s="1"/>
  <c r="ET99" i="2"/>
  <c r="DY99" i="2"/>
  <c r="GJ99" i="2"/>
  <c r="GM99" i="2" s="1"/>
  <c r="DX99" i="2"/>
  <c r="DC99" i="2"/>
  <c r="DD99" i="2"/>
  <c r="BN99" i="2"/>
  <c r="CI99" i="2"/>
  <c r="BM99" i="2"/>
  <c r="W99" i="2"/>
  <c r="FN99" i="2"/>
  <c r="FQ99" i="2" s="1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C99" i="2" l="1"/>
  <c r="DH99" i="2"/>
  <c r="EW100" i="2"/>
  <c r="EA99" i="2"/>
  <c r="EB99" i="2"/>
  <c r="DG99" i="2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G100" i="2" s="1"/>
  <c r="HE100" i="2"/>
  <c r="HH100" i="2" s="1"/>
  <c r="FO100" i="2"/>
  <c r="FR100" i="2" s="1"/>
  <c r="GJ100" i="2"/>
  <c r="GM100" i="2" s="1"/>
  <c r="ES100" i="2"/>
  <c r="EV100" i="2" s="1"/>
  <c r="DX100" i="2"/>
  <c r="GI100" i="2"/>
  <c r="GL100" i="2" s="1"/>
  <c r="CI100" i="2"/>
  <c r="BM100" i="2"/>
  <c r="ET100" i="2"/>
  <c r="DC100" i="2"/>
  <c r="DD100" i="2"/>
  <c r="CH100" i="2"/>
  <c r="BN100" i="2"/>
  <c r="AS100" i="2"/>
  <c r="AR100" i="2"/>
  <c r="DY100" i="2"/>
  <c r="FN100" i="2"/>
  <c r="FQ100" i="2" s="1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1" i="2" l="1"/>
  <c r="DH100" i="2"/>
  <c r="EA100" i="2"/>
  <c r="EC100" i="2"/>
  <c r="EB100" i="2"/>
  <c r="DG100" i="2"/>
  <c r="DF100" i="2"/>
  <c r="AU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HH101" i="2" s="1"/>
  <c r="GJ101" i="2"/>
  <c r="GM101" i="2" s="1"/>
  <c r="HD101" i="2"/>
  <c r="HG101" i="2" s="1"/>
  <c r="GI101" i="2"/>
  <c r="GL101" i="2" s="1"/>
  <c r="FO101" i="2"/>
  <c r="FR101" i="2" s="1"/>
  <c r="FN101" i="2"/>
  <c r="FQ101" i="2" s="1"/>
  <c r="ET101" i="2"/>
  <c r="ES101" i="2"/>
  <c r="EV101" i="2" s="1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W102" i="2" l="1"/>
  <c r="DH101" i="2"/>
  <c r="EC101" i="2"/>
  <c r="EB101" i="2"/>
  <c r="EA101" i="2"/>
  <c r="AW101" i="2"/>
  <c r="DF101" i="2"/>
  <c r="DG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G102" i="2" s="1"/>
  <c r="HE102" i="2"/>
  <c r="HH102" i="2" s="1"/>
  <c r="GI102" i="2"/>
  <c r="GL102" i="2" s="1"/>
  <c r="GJ102" i="2"/>
  <c r="GM102" i="2" s="1"/>
  <c r="ET102" i="2"/>
  <c r="FO102" i="2"/>
  <c r="FR102" i="2" s="1"/>
  <c r="FN102" i="2"/>
  <c r="FQ102" i="2" s="1"/>
  <c r="ES102" i="2"/>
  <c r="EV102" i="2" s="1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DH102" i="2" s="1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EA102" i="2"/>
  <c r="EB102" i="2"/>
  <c r="AU102" i="2"/>
  <c r="DF102" i="2"/>
  <c r="DG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G103" i="2" s="1"/>
  <c r="HE103" i="2"/>
  <c r="HH103" i="2" s="1"/>
  <c r="GI103" i="2"/>
  <c r="GL103" i="2" s="1"/>
  <c r="GJ103" i="2"/>
  <c r="GM103" i="2" s="1"/>
  <c r="ES103" i="2"/>
  <c r="EV103" i="2" s="1"/>
  <c r="ET103" i="2"/>
  <c r="EW103" i="2" s="1"/>
  <c r="FO103" i="2"/>
  <c r="FR103" i="2" s="1"/>
  <c r="FN103" i="2"/>
  <c r="FQ103" i="2" s="1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H103" i="2" s="1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AW103" i="2"/>
  <c r="EW104" i="2"/>
  <c r="EB103" i="2"/>
  <c r="EC103" i="2"/>
  <c r="DF103" i="2"/>
  <c r="DG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HG104" i="2" s="1"/>
  <c r="FO104" i="2"/>
  <c r="FR104" i="2" s="1"/>
  <c r="HE104" i="2"/>
  <c r="HH104" i="2" s="1"/>
  <c r="GJ104" i="2"/>
  <c r="GM104" i="2" s="1"/>
  <c r="GI104" i="2"/>
  <c r="GL104" i="2" s="1"/>
  <c r="ES104" i="2"/>
  <c r="EV104" i="2" s="1"/>
  <c r="DX104" i="2"/>
  <c r="FN104" i="2"/>
  <c r="FQ104" i="2" s="1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H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AU104" i="2" l="1"/>
  <c r="EB104" i="2"/>
  <c r="EW105" i="2"/>
  <c r="EA104" i="2"/>
  <c r="EC104" i="2"/>
  <c r="DG104" i="2"/>
  <c r="DF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GM105" i="2" s="1"/>
  <c r="HD105" i="2"/>
  <c r="HG105" i="2" s="1"/>
  <c r="FO105" i="2"/>
  <c r="FR105" i="2" s="1"/>
  <c r="FN105" i="2"/>
  <c r="FQ105" i="2" s="1"/>
  <c r="ES105" i="2"/>
  <c r="EV105" i="2" s="1"/>
  <c r="DX105" i="2"/>
  <c r="CH105" i="2"/>
  <c r="AS105" i="2"/>
  <c r="CI105" i="2"/>
  <c r="BM105" i="2"/>
  <c r="X105" i="2"/>
  <c r="AR105" i="2"/>
  <c r="GI105" i="2"/>
  <c r="GL105" i="2" s="1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Q106" i="2"/>
  <c r="EW106" i="2"/>
  <c r="EA105" i="2"/>
  <c r="EC105" i="2"/>
  <c r="DH105" i="2"/>
  <c r="DG105" i="2"/>
  <c r="DF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HH106" i="2" s="1"/>
  <c r="GI106" i="2"/>
  <c r="GL106" i="2" s="1"/>
  <c r="GJ106" i="2"/>
  <c r="GM106" i="2" s="1"/>
  <c r="ET106" i="2"/>
  <c r="FN106" i="2"/>
  <c r="FO106" i="2"/>
  <c r="FR106" i="2" s="1"/>
  <c r="DY106" i="2"/>
  <c r="DD106" i="2"/>
  <c r="BN106" i="2"/>
  <c r="ES106" i="2"/>
  <c r="EV106" i="2" s="1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EC106" i="2"/>
  <c r="EA106" i="2"/>
  <c r="EB106" i="2"/>
  <c r="DH106" i="2"/>
  <c r="DF106" i="2"/>
  <c r="DG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HH107" i="2" s="1"/>
  <c r="GI107" i="2"/>
  <c r="GL107" i="2" s="1"/>
  <c r="FO107" i="2"/>
  <c r="FR107" i="2" s="1"/>
  <c r="ES107" i="2"/>
  <c r="EV107" i="2" s="1"/>
  <c r="GJ107" i="2"/>
  <c r="GM107" i="2" s="1"/>
  <c r="ET107" i="2"/>
  <c r="EW107" i="2" s="1"/>
  <c r="DY107" i="2"/>
  <c r="FN107" i="2"/>
  <c r="FQ107" i="2" s="1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DH107" i="2"/>
  <c r="DG107" i="2"/>
  <c r="DF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G108" i="2" s="1"/>
  <c r="HE108" i="2"/>
  <c r="HH108" i="2" s="1"/>
  <c r="FO108" i="2"/>
  <c r="FR108" i="2" s="1"/>
  <c r="GI108" i="2"/>
  <c r="GL108" i="2" s="1"/>
  <c r="ES108" i="2"/>
  <c r="EV108" i="2" s="1"/>
  <c r="DX108" i="2"/>
  <c r="CI108" i="2"/>
  <c r="BM108" i="2"/>
  <c r="FN108" i="2"/>
  <c r="FQ108" i="2" s="1"/>
  <c r="DY108" i="2"/>
  <c r="DC108" i="2"/>
  <c r="ET108" i="2"/>
  <c r="EW108" i="2" s="1"/>
  <c r="DD108" i="2"/>
  <c r="CH108" i="2"/>
  <c r="BN108" i="2"/>
  <c r="AS108" i="2"/>
  <c r="AR108" i="2"/>
  <c r="GJ108" i="2"/>
  <c r="GM108" i="2" s="1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HG109" i="2" l="1"/>
  <c r="EB108" i="2"/>
  <c r="EC108" i="2"/>
  <c r="EA108" i="2"/>
  <c r="DH108" i="2"/>
  <c r="DG108" i="2"/>
  <c r="DF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HH109" i="2" s="1"/>
  <c r="GJ109" i="2"/>
  <c r="GM109" i="2" s="1"/>
  <c r="GI109" i="2"/>
  <c r="GL109" i="2" s="1"/>
  <c r="FO109" i="2"/>
  <c r="FR109" i="2" s="1"/>
  <c r="FN109" i="2"/>
  <c r="FQ109" i="2" s="1"/>
  <c r="HD109" i="2"/>
  <c r="ET109" i="2"/>
  <c r="EW109" i="2" s="1"/>
  <c r="ES109" i="2"/>
  <c r="EV109" i="2" s="1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G110" i="2" l="1"/>
  <c r="EC109" i="2"/>
  <c r="EA109" i="2"/>
  <c r="EB109" i="2"/>
  <c r="DH109" i="2"/>
  <c r="DG109" i="2"/>
  <c r="DF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L110" i="2" s="1"/>
  <c r="GJ110" i="2"/>
  <c r="GM110" i="2" s="1"/>
  <c r="ET110" i="2"/>
  <c r="EW110" i="2" s="1"/>
  <c r="FO110" i="2"/>
  <c r="FR110" i="2" s="1"/>
  <c r="FN110" i="2"/>
  <c r="FQ110" i="2" s="1"/>
  <c r="ES110" i="2"/>
  <c r="EV110" i="2" s="1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C110" i="2" l="1"/>
  <c r="EA110" i="2"/>
  <c r="EB110" i="2"/>
  <c r="DH110" i="2"/>
  <c r="DF110" i="2"/>
  <c r="DG110" i="2"/>
  <c r="AU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G111" i="2" s="1"/>
  <c r="HE111" i="2"/>
  <c r="HH111" i="2" s="1"/>
  <c r="GI111" i="2"/>
  <c r="GL111" i="2" s="1"/>
  <c r="GJ111" i="2"/>
  <c r="GM111" i="2" s="1"/>
  <c r="ES111" i="2"/>
  <c r="EV111" i="2" s="1"/>
  <c r="ET111" i="2"/>
  <c r="EW111" i="2" s="1"/>
  <c r="FN111" i="2"/>
  <c r="FQ111" i="2" s="1"/>
  <c r="DY111" i="2"/>
  <c r="FO111" i="2"/>
  <c r="FR111" i="2" s="1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C111" i="2" l="1"/>
  <c r="EV112" i="2"/>
  <c r="EA111" i="2"/>
  <c r="EB111" i="2"/>
  <c r="AW111" i="2"/>
  <c r="DH111" i="2"/>
  <c r="DG111" i="2"/>
  <c r="DF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G112" i="2" s="1"/>
  <c r="HE112" i="2"/>
  <c r="HH112" i="2" s="1"/>
  <c r="FO112" i="2"/>
  <c r="FR112" i="2" s="1"/>
  <c r="GJ112" i="2"/>
  <c r="GM112" i="2" s="1"/>
  <c r="GI112" i="2"/>
  <c r="GL112" i="2" s="1"/>
  <c r="ES112" i="2"/>
  <c r="DX112" i="2"/>
  <c r="FN112" i="2"/>
  <c r="FQ112" i="2" s="1"/>
  <c r="ET112" i="2"/>
  <c r="EW112" i="2" s="1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V113" i="2" l="1"/>
  <c r="EC112" i="2"/>
  <c r="EA112" i="2"/>
  <c r="EB112" i="2"/>
  <c r="DH112" i="2"/>
  <c r="DG112" i="2"/>
  <c r="DF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H113" i="2" s="1"/>
  <c r="HD113" i="2"/>
  <c r="HG113" i="2" s="1"/>
  <c r="GJ113" i="2"/>
  <c r="GM113" i="2" s="1"/>
  <c r="FO113" i="2"/>
  <c r="FR113" i="2" s="1"/>
  <c r="FN113" i="2"/>
  <c r="FQ113" i="2" s="1"/>
  <c r="GI113" i="2"/>
  <c r="GL113" i="2" s="1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C113" i="2"/>
  <c r="HH114" i="2"/>
  <c r="EA113" i="2"/>
  <c r="EB113" i="2"/>
  <c r="DH113" i="2"/>
  <c r="DG113" i="2"/>
  <c r="DF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L114" i="2" s="1"/>
  <c r="GJ114" i="2"/>
  <c r="GM114" i="2" s="1"/>
  <c r="ET114" i="2"/>
  <c r="EW114" i="2" s="1"/>
  <c r="FN114" i="2"/>
  <c r="FQ114" i="2" s="1"/>
  <c r="DD114" i="2"/>
  <c r="BN114" i="2"/>
  <c r="FO114" i="2"/>
  <c r="FR114" i="2" s="1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FQ115" i="2"/>
  <c r="AU114" i="2"/>
  <c r="EA114" i="2"/>
  <c r="EB114" i="2"/>
  <c r="DH114" i="2"/>
  <c r="DG114" i="2"/>
  <c r="DF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G115" i="2" s="1"/>
  <c r="HE115" i="2"/>
  <c r="HH115" i="2" s="1"/>
  <c r="GI115" i="2"/>
  <c r="GL115" i="2" s="1"/>
  <c r="FO115" i="2"/>
  <c r="FR115" i="2" s="1"/>
  <c r="ES115" i="2"/>
  <c r="EV115" i="2" s="1"/>
  <c r="ET115" i="2"/>
  <c r="EW115" i="2" s="1"/>
  <c r="DY115" i="2"/>
  <c r="GJ115" i="2"/>
  <c r="GM115" i="2" s="1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Q116" i="2" l="1"/>
  <c r="EC115" i="2"/>
  <c r="EA115" i="2"/>
  <c r="EB115" i="2"/>
  <c r="AW115" i="2"/>
  <c r="DH115" i="2"/>
  <c r="DG115" i="2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FR116" i="2" s="1"/>
  <c r="HE116" i="2"/>
  <c r="HH116" i="2" s="1"/>
  <c r="GJ116" i="2"/>
  <c r="GM116" i="2" s="1"/>
  <c r="ES116" i="2"/>
  <c r="EV116" i="2" s="1"/>
  <c r="DX116" i="2"/>
  <c r="CI116" i="2"/>
  <c r="BM116" i="2"/>
  <c r="ET116" i="2"/>
  <c r="EW116" i="2" s="1"/>
  <c r="DC116" i="2"/>
  <c r="DD116" i="2"/>
  <c r="CH116" i="2"/>
  <c r="BN116" i="2"/>
  <c r="AS116" i="2"/>
  <c r="AR116" i="2"/>
  <c r="FN116" i="2"/>
  <c r="DY116" i="2"/>
  <c r="GI116" i="2"/>
  <c r="GL116" i="2" s="1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B116" i="2"/>
  <c r="DH116" i="2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HH117" i="2" s="1"/>
  <c r="GJ117" i="2"/>
  <c r="GM117" i="2" s="1"/>
  <c r="HD117" i="2"/>
  <c r="HG117" i="2" s="1"/>
  <c r="GI117" i="2"/>
  <c r="GL117" i="2" s="1"/>
  <c r="FO117" i="2"/>
  <c r="FR117" i="2" s="1"/>
  <c r="FN117" i="2"/>
  <c r="FQ117" i="2" s="1"/>
  <c r="ET117" i="2"/>
  <c r="EW117" i="2" s="1"/>
  <c r="ES117" i="2"/>
  <c r="EV117" i="2" s="1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8" i="2" l="1"/>
  <c r="GM118" i="2"/>
  <c r="EC117" i="2"/>
  <c r="EB117" i="2"/>
  <c r="EA117" i="2"/>
  <c r="DH117" i="2"/>
  <c r="DF117" i="2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L118" i="2" s="1"/>
  <c r="GJ118" i="2"/>
  <c r="ET118" i="2"/>
  <c r="EW118" i="2" s="1"/>
  <c r="FO118" i="2"/>
  <c r="FR118" i="2" s="1"/>
  <c r="FN118" i="2"/>
  <c r="FQ118" i="2" s="1"/>
  <c r="ES118" i="2"/>
  <c r="EV118" i="2" s="1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9" i="2"/>
  <c r="GM119" i="2"/>
  <c r="EB118" i="2"/>
  <c r="EA118" i="2"/>
  <c r="DH118" i="2"/>
  <c r="DF118" i="2"/>
  <c r="DG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HH119" i="2" s="1"/>
  <c r="GI119" i="2"/>
  <c r="GL119" i="2" s="1"/>
  <c r="GJ119" i="2"/>
  <c r="ES119" i="2"/>
  <c r="EV119" i="2" s="1"/>
  <c r="ET119" i="2"/>
  <c r="EW119" i="2" s="1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GM120" i="2" l="1"/>
  <c r="DH119" i="2"/>
  <c r="EC119" i="2"/>
  <c r="EA119" i="2"/>
  <c r="EB119" i="2"/>
  <c r="DG119" i="2"/>
  <c r="DF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HG120" i="2" s="1"/>
  <c r="FO120" i="2"/>
  <c r="FR120" i="2" s="1"/>
  <c r="GJ120" i="2"/>
  <c r="GI120" i="2"/>
  <c r="GL120" i="2" s="1"/>
  <c r="HE120" i="2"/>
  <c r="HH120" i="2" s="1"/>
  <c r="ES120" i="2"/>
  <c r="EV120" i="2" s="1"/>
  <c r="DX120" i="2"/>
  <c r="FN120" i="2"/>
  <c r="FQ120" i="2" s="1"/>
  <c r="ET120" i="2"/>
  <c r="EW120" i="2" s="1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AU120" i="2" l="1"/>
  <c r="EC120" i="2"/>
  <c r="EB120" i="2"/>
  <c r="EA120" i="2"/>
  <c r="DH120" i="2"/>
  <c r="DG120" i="2"/>
  <c r="DF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HH121" i="2" s="1"/>
  <c r="GJ121" i="2"/>
  <c r="GM121" i="2" s="1"/>
  <c r="FO121" i="2"/>
  <c r="FR121" i="2" s="1"/>
  <c r="HD121" i="2"/>
  <c r="HG121" i="2" s="1"/>
  <c r="FN121" i="2"/>
  <c r="FQ121" i="2" s="1"/>
  <c r="GI121" i="2"/>
  <c r="GL121" i="2" s="1"/>
  <c r="ES121" i="2"/>
  <c r="EV121" i="2" s="1"/>
  <c r="DX121" i="2"/>
  <c r="CH121" i="2"/>
  <c r="AS121" i="2"/>
  <c r="CI121" i="2"/>
  <c r="BM121" i="2"/>
  <c r="X121" i="2"/>
  <c r="ET121" i="2"/>
  <c r="EW121" i="2" s="1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C121" i="2"/>
  <c r="EA121" i="2"/>
  <c r="EB121" i="2"/>
  <c r="DH121" i="2"/>
  <c r="DF121" i="2"/>
  <c r="DG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G122" i="2" s="1"/>
  <c r="HE122" i="2"/>
  <c r="HH122" i="2" s="1"/>
  <c r="GI122" i="2"/>
  <c r="GL122" i="2" s="1"/>
  <c r="GJ122" i="2"/>
  <c r="GM122" i="2" s="1"/>
  <c r="ET122" i="2"/>
  <c r="EW122" i="2" s="1"/>
  <c r="FN122" i="2"/>
  <c r="FQ122" i="2" s="1"/>
  <c r="FO122" i="2"/>
  <c r="FR122" i="2" s="1"/>
  <c r="DY122" i="2"/>
  <c r="DD122" i="2"/>
  <c r="BN122" i="2"/>
  <c r="ES122" i="2"/>
  <c r="EV122" i="2" s="1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W123" i="2"/>
  <c r="EC122" i="2"/>
  <c r="EB122" i="2"/>
  <c r="EA122" i="2"/>
  <c r="DH122" i="2"/>
  <c r="DG122" i="2"/>
  <c r="DF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G123" i="2" s="1"/>
  <c r="HE123" i="2"/>
  <c r="HH123" i="2" s="1"/>
  <c r="GI123" i="2"/>
  <c r="GL123" i="2" s="1"/>
  <c r="FO123" i="2"/>
  <c r="FR123" i="2" s="1"/>
  <c r="ES123" i="2"/>
  <c r="EV123" i="2" s="1"/>
  <c r="GJ123" i="2"/>
  <c r="GM123" i="2" s="1"/>
  <c r="ET123" i="2"/>
  <c r="DY123" i="2"/>
  <c r="FN123" i="2"/>
  <c r="FQ123" i="2" s="1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G124" i="2" l="1"/>
  <c r="EW124" i="2"/>
  <c r="EC123" i="2"/>
  <c r="EA123" i="2"/>
  <c r="EB123" i="2"/>
  <c r="DH123" i="2"/>
  <c r="DG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FR124" i="2" s="1"/>
  <c r="GI124" i="2"/>
  <c r="GL124" i="2" s="1"/>
  <c r="ES124" i="2"/>
  <c r="EV124" i="2" s="1"/>
  <c r="GJ124" i="2"/>
  <c r="GM124" i="2" s="1"/>
  <c r="DX124" i="2"/>
  <c r="CI124" i="2"/>
  <c r="BM124" i="2"/>
  <c r="FN124" i="2"/>
  <c r="FQ124" i="2" s="1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A124" i="2" l="1"/>
  <c r="EC124" i="2"/>
  <c r="EB124" i="2"/>
  <c r="DH124" i="2"/>
  <c r="DF124" i="2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HH125" i="2" s="1"/>
  <c r="GJ125" i="2"/>
  <c r="GM125" i="2" s="1"/>
  <c r="HD125" i="2"/>
  <c r="HG125" i="2" s="1"/>
  <c r="GI125" i="2"/>
  <c r="GL125" i="2" s="1"/>
  <c r="FO125" i="2"/>
  <c r="FR125" i="2" s="1"/>
  <c r="FN125" i="2"/>
  <c r="FQ125" i="2" s="1"/>
  <c r="ET125" i="2"/>
  <c r="EW125" i="2" s="1"/>
  <c r="ES125" i="2"/>
  <c r="EV125" i="2" s="1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EB125" i="2"/>
  <c r="EA125" i="2"/>
  <c r="DH125" i="2"/>
  <c r="DG125" i="2"/>
  <c r="DF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HH126" i="2" s="1"/>
  <c r="GI126" i="2"/>
  <c r="GL126" i="2" s="1"/>
  <c r="GJ126" i="2"/>
  <c r="GM126" i="2" s="1"/>
  <c r="ET126" i="2"/>
  <c r="EW126" i="2" s="1"/>
  <c r="FO126" i="2"/>
  <c r="FR126" i="2" s="1"/>
  <c r="FN126" i="2"/>
  <c r="FQ126" i="2" s="1"/>
  <c r="ES126" i="2"/>
  <c r="EV126" i="2" s="1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B126" i="2" l="1"/>
  <c r="HH127" i="2"/>
  <c r="EA126" i="2"/>
  <c r="EC126" i="2"/>
  <c r="DH126" i="2"/>
  <c r="DG126" i="2"/>
  <c r="DF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G127" i="2" s="1"/>
  <c r="HE127" i="2"/>
  <c r="GI127" i="2"/>
  <c r="GL127" i="2" s="1"/>
  <c r="GJ127" i="2"/>
  <c r="GM127" i="2" s="1"/>
  <c r="ES127" i="2"/>
  <c r="EV127" i="2" s="1"/>
  <c r="ET127" i="2"/>
  <c r="EW127" i="2" s="1"/>
  <c r="FN127" i="2"/>
  <c r="FQ127" i="2" s="1"/>
  <c r="DY127" i="2"/>
  <c r="DC127" i="2"/>
  <c r="DX127" i="2"/>
  <c r="DD127" i="2"/>
  <c r="BN127" i="2"/>
  <c r="FO127" i="2"/>
  <c r="FR127" i="2" s="1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H128" i="2" l="1"/>
  <c r="EC127" i="2"/>
  <c r="EA127" i="2"/>
  <c r="EB127" i="2"/>
  <c r="DH127" i="2"/>
  <c r="DG127" i="2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FR128" i="2" s="1"/>
  <c r="GJ128" i="2"/>
  <c r="GM128" i="2" s="1"/>
  <c r="GI128" i="2"/>
  <c r="GL128" i="2" s="1"/>
  <c r="ES128" i="2"/>
  <c r="EV128" i="2" s="1"/>
  <c r="DX128" i="2"/>
  <c r="FN128" i="2"/>
  <c r="FQ128" i="2" s="1"/>
  <c r="ET128" i="2"/>
  <c r="EW128" i="2" s="1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DH128" i="2" l="1"/>
  <c r="EB128" i="2"/>
  <c r="EA128" i="2"/>
  <c r="EC128" i="2"/>
  <c r="DF128" i="2"/>
  <c r="DG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H129" i="2" s="1"/>
  <c r="HD129" i="2"/>
  <c r="HG129" i="2" s="1"/>
  <c r="GJ129" i="2"/>
  <c r="GM129" i="2" s="1"/>
  <c r="FO129" i="2"/>
  <c r="FR129" i="2" s="1"/>
  <c r="FN129" i="2"/>
  <c r="FQ129" i="2" s="1"/>
  <c r="GI129" i="2"/>
  <c r="GL129" i="2" s="1"/>
  <c r="ET129" i="2"/>
  <c r="EW129" i="2" s="1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C129" i="2" l="1"/>
  <c r="DH129" i="2"/>
  <c r="EB129" i="2"/>
  <c r="EA129" i="2"/>
  <c r="DF129" i="2"/>
  <c r="DG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L130" i="2" s="1"/>
  <c r="GJ130" i="2"/>
  <c r="GM130" i="2" s="1"/>
  <c r="ET130" i="2"/>
  <c r="EW130" i="2" s="1"/>
  <c r="FN130" i="2"/>
  <c r="FQ130" i="2" s="1"/>
  <c r="DD130" i="2"/>
  <c r="BN130" i="2"/>
  <c r="CH130" i="2"/>
  <c r="AS130" i="2"/>
  <c r="DY130" i="2"/>
  <c r="DC130" i="2"/>
  <c r="W130" i="2"/>
  <c r="FO130" i="2"/>
  <c r="FR130" i="2" s="1"/>
  <c r="X130" i="2"/>
  <c r="ES130" i="2"/>
  <c r="EV130" i="2" s="1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FQ131" i="2"/>
  <c r="DH130" i="2"/>
  <c r="EC130" i="2"/>
  <c r="DF130" i="2"/>
  <c r="DG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H131" i="2" s="1"/>
  <c r="HD131" i="2"/>
  <c r="HG131" i="2" s="1"/>
  <c r="GI131" i="2"/>
  <c r="GL131" i="2" s="1"/>
  <c r="FO131" i="2"/>
  <c r="FR131" i="2" s="1"/>
  <c r="ES131" i="2"/>
  <c r="EV131" i="2" s="1"/>
  <c r="ET131" i="2"/>
  <c r="EW131" i="2" s="1"/>
  <c r="DY131" i="2"/>
  <c r="GJ131" i="2"/>
  <c r="GM131" i="2" s="1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B131" i="2" l="1"/>
  <c r="EA131" i="2"/>
  <c r="DH131" i="2"/>
  <c r="FQ132" i="2"/>
  <c r="EC131" i="2"/>
  <c r="DF131" i="2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HH132" i="2" s="1"/>
  <c r="FO132" i="2"/>
  <c r="FR132" i="2" s="1"/>
  <c r="GJ132" i="2"/>
  <c r="GM132" i="2" s="1"/>
  <c r="ES132" i="2"/>
  <c r="EV132" i="2" s="1"/>
  <c r="DX132" i="2"/>
  <c r="GI132" i="2"/>
  <c r="GL132" i="2" s="1"/>
  <c r="CI132" i="2"/>
  <c r="BM132" i="2"/>
  <c r="ET132" i="2"/>
  <c r="EW132" i="2" s="1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EB132" i="2"/>
  <c r="FQ133" i="2"/>
  <c r="EA132" i="2"/>
  <c r="DH132" i="2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M133" i="2" s="1"/>
  <c r="GI133" i="2"/>
  <c r="GL133" i="2" s="1"/>
  <c r="HD133" i="2"/>
  <c r="HG133" i="2" s="1"/>
  <c r="FO133" i="2"/>
  <c r="FR133" i="2" s="1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DH133" i="2" l="1"/>
  <c r="EC133" i="2"/>
  <c r="EA133" i="2"/>
  <c r="EB133" i="2"/>
  <c r="DF133" i="2"/>
  <c r="DG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HH134" i="2" s="1"/>
  <c r="GI134" i="2"/>
  <c r="GL134" i="2" s="1"/>
  <c r="GJ134" i="2"/>
  <c r="GM134" i="2" s="1"/>
  <c r="ET134" i="2"/>
  <c r="EW134" i="2" s="1"/>
  <c r="FO134" i="2"/>
  <c r="FR134" i="2" s="1"/>
  <c r="FN134" i="2"/>
  <c r="FQ134" i="2" s="1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FQ135" i="2" l="1"/>
  <c r="EC134" i="2"/>
  <c r="EB134" i="2"/>
  <c r="EA134" i="2"/>
  <c r="DH134" i="2"/>
  <c r="DG134" i="2"/>
  <c r="DF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HH135" i="2" s="1"/>
  <c r="GI135" i="2"/>
  <c r="GL135" i="2" s="1"/>
  <c r="GJ135" i="2"/>
  <c r="GM135" i="2" s="1"/>
  <c r="ES135" i="2"/>
  <c r="EV135" i="2" s="1"/>
  <c r="HD135" i="2"/>
  <c r="HG135" i="2" s="1"/>
  <c r="ET135" i="2"/>
  <c r="EW135" i="2" s="1"/>
  <c r="FO135" i="2"/>
  <c r="FR135" i="2" s="1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C135" i="2" l="1"/>
  <c r="FQ136" i="2"/>
  <c r="EA135" i="2"/>
  <c r="EB135" i="2"/>
  <c r="DH135" i="2"/>
  <c r="DG135" i="2"/>
  <c r="DF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HG136" i="2" s="1"/>
  <c r="FO136" i="2"/>
  <c r="FR136" i="2" s="1"/>
  <c r="HE136" i="2"/>
  <c r="HH136" i="2" s="1"/>
  <c r="GJ136" i="2"/>
  <c r="GM136" i="2" s="1"/>
  <c r="GI136" i="2"/>
  <c r="GL136" i="2" s="1"/>
  <c r="ES136" i="2"/>
  <c r="EV136" i="2" s="1"/>
  <c r="DX136" i="2"/>
  <c r="FN136" i="2"/>
  <c r="ET136" i="2"/>
  <c r="EW136" i="2" s="1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Q137" i="2" l="1"/>
  <c r="EC136" i="2"/>
  <c r="EB136" i="2"/>
  <c r="EA136" i="2"/>
  <c r="DH136" i="2"/>
  <c r="DF136" i="2"/>
  <c r="DG136" i="2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HG137" i="2" s="1"/>
  <c r="GJ137" i="2"/>
  <c r="GM137" i="2" s="1"/>
  <c r="FO137" i="2"/>
  <c r="FR137" i="2" s="1"/>
  <c r="FN137" i="2"/>
  <c r="GI137" i="2"/>
  <c r="GL137" i="2" s="1"/>
  <c r="ES137" i="2"/>
  <c r="EV137" i="2" s="1"/>
  <c r="DX137" i="2"/>
  <c r="CH137" i="2"/>
  <c r="AS137" i="2"/>
  <c r="CI137" i="2"/>
  <c r="BM137" i="2"/>
  <c r="X137" i="2"/>
  <c r="AR137" i="2"/>
  <c r="BN137" i="2"/>
  <c r="ET137" i="2"/>
  <c r="EW137" i="2" s="1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Q138" i="2" l="1"/>
  <c r="EC137" i="2"/>
  <c r="EA137" i="2"/>
  <c r="EB137" i="2"/>
  <c r="DH137" i="2"/>
  <c r="DF137" i="2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G138" i="2" s="1"/>
  <c r="HE138" i="2"/>
  <c r="HH138" i="2" s="1"/>
  <c r="GJ138" i="2"/>
  <c r="GM138" i="2" s="1"/>
  <c r="GI138" i="2"/>
  <c r="GL138" i="2" s="1"/>
  <c r="ET138" i="2"/>
  <c r="EW138" i="2" s="1"/>
  <c r="FN138" i="2"/>
  <c r="FO138" i="2"/>
  <c r="FR138" i="2" s="1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FQ139" i="2" l="1"/>
  <c r="EC138" i="2"/>
  <c r="EB138" i="2"/>
  <c r="EA138" i="2"/>
  <c r="DH138" i="2"/>
  <c r="DG138" i="2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HG139" i="2" s="1"/>
  <c r="GI139" i="2"/>
  <c r="GL139" i="2" s="1"/>
  <c r="FO139" i="2"/>
  <c r="FR139" i="2" s="1"/>
  <c r="ES139" i="2"/>
  <c r="EV139" i="2" s="1"/>
  <c r="GJ139" i="2"/>
  <c r="GM139" i="2" s="1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C139" i="2"/>
  <c r="DH139" i="2"/>
  <c r="DG139" i="2"/>
  <c r="DF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GL140" i="2" s="1"/>
  <c r="ES140" i="2"/>
  <c r="EV140" i="2" s="1"/>
  <c r="DX140" i="2"/>
  <c r="CI140" i="2"/>
  <c r="BM140" i="2"/>
  <c r="GJ140" i="2"/>
  <c r="GM140" i="2" s="1"/>
  <c r="FN140" i="2"/>
  <c r="FQ140" i="2" s="1"/>
  <c r="DY140" i="2"/>
  <c r="DC140" i="2"/>
  <c r="ET140" i="2"/>
  <c r="EW140" i="2" s="1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A140" i="2"/>
  <c r="EB140" i="2"/>
  <c r="DH140" i="2"/>
  <c r="DG140" i="2"/>
  <c r="DF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GM141" i="2" s="1"/>
  <c r="FO141" i="2"/>
  <c r="FR141" i="2" s="1"/>
  <c r="FN141" i="2"/>
  <c r="FQ141" i="2" s="1"/>
  <c r="GI141" i="2"/>
  <c r="GL141" i="2" s="1"/>
  <c r="ET141" i="2"/>
  <c r="EW141" i="2" s="1"/>
  <c r="ES141" i="2"/>
  <c r="EV141" i="2" s="1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C141" i="2" l="1"/>
  <c r="EB141" i="2"/>
  <c r="EA141" i="2"/>
  <c r="DH141" i="2"/>
  <c r="DF141" i="2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HH142" i="2" s="1"/>
  <c r="GJ142" i="2"/>
  <c r="GM142" i="2" s="1"/>
  <c r="ET142" i="2"/>
  <c r="EW142" i="2" s="1"/>
  <c r="FO142" i="2"/>
  <c r="FR142" i="2" s="1"/>
  <c r="FN142" i="2"/>
  <c r="FQ142" i="2" s="1"/>
  <c r="ES142" i="2"/>
  <c r="EV142" i="2" s="1"/>
  <c r="DX142" i="2"/>
  <c r="DD142" i="2"/>
  <c r="BN142" i="2"/>
  <c r="GI142" i="2"/>
  <c r="GL142" i="2" s="1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A142" i="2"/>
  <c r="EB142" i="2"/>
  <c r="DH142" i="2"/>
  <c r="DG142" i="2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H143" i="2" s="1"/>
  <c r="HD143" i="2"/>
  <c r="HG143" i="2" s="1"/>
  <c r="GJ143" i="2"/>
  <c r="GM143" i="2" s="1"/>
  <c r="GI143" i="2"/>
  <c r="GL143" i="2" s="1"/>
  <c r="ES143" i="2"/>
  <c r="EV143" i="2" s="1"/>
  <c r="ET143" i="2"/>
  <c r="EW143" i="2" s="1"/>
  <c r="FN143" i="2"/>
  <c r="FQ143" i="2" s="1"/>
  <c r="DY143" i="2"/>
  <c r="FO143" i="2"/>
  <c r="FR143" i="2" s="1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EB143" i="2"/>
  <c r="EA143" i="2"/>
  <c r="DH143" i="2"/>
  <c r="DG143" i="2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M144" i="2" s="1"/>
  <c r="GI144" i="2"/>
  <c r="GL144" i="2" s="1"/>
  <c r="ES144" i="2"/>
  <c r="EV144" i="2" s="1"/>
  <c r="DX144" i="2"/>
  <c r="FN144" i="2"/>
  <c r="FQ144" i="2" s="1"/>
  <c r="ET144" i="2"/>
  <c r="EW144" i="2" s="1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C144" i="2" l="1"/>
  <c r="EB144" i="2"/>
  <c r="EA144" i="2"/>
  <c r="DH144" i="2"/>
  <c r="DG144" i="2"/>
  <c r="DF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GM145" i="2" s="1"/>
  <c r="FO145" i="2"/>
  <c r="FR145" i="2" s="1"/>
  <c r="FN145" i="2"/>
  <c r="FQ145" i="2" s="1"/>
  <c r="GI145" i="2"/>
  <c r="GL145" i="2" s="1"/>
  <c r="ET145" i="2"/>
  <c r="EW145" i="2" s="1"/>
  <c r="CH145" i="2"/>
  <c r="DY145" i="2"/>
  <c r="CI145" i="2"/>
  <c r="BM145" i="2"/>
  <c r="X145" i="2"/>
  <c r="AR145" i="2"/>
  <c r="ES145" i="2"/>
  <c r="EV145" i="2" s="1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W146" i="2" l="1"/>
  <c r="EC145" i="2"/>
  <c r="EA145" i="2"/>
  <c r="EB145" i="2"/>
  <c r="DH145" i="2"/>
  <c r="DG145" i="2"/>
  <c r="DF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M146" i="2" s="1"/>
  <c r="GI146" i="2"/>
  <c r="GL146" i="2" s="1"/>
  <c r="ET146" i="2"/>
  <c r="FN146" i="2"/>
  <c r="FQ146" i="2" s="1"/>
  <c r="DD146" i="2"/>
  <c r="BN146" i="2"/>
  <c r="FO146" i="2"/>
  <c r="FR146" i="2" s="1"/>
  <c r="CH146" i="2"/>
  <c r="ES146" i="2"/>
  <c r="EV146" i="2" s="1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C146" i="2" l="1"/>
  <c r="EB146" i="2"/>
  <c r="EA146" i="2"/>
  <c r="DH146" i="2"/>
  <c r="DF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H147" i="2" s="1"/>
  <c r="HD147" i="2"/>
  <c r="HG147" i="2" s="1"/>
  <c r="GI147" i="2"/>
  <c r="GL147" i="2" s="1"/>
  <c r="FO147" i="2"/>
  <c r="FR147" i="2" s="1"/>
  <c r="ES147" i="2"/>
  <c r="EV147" i="2" s="1"/>
  <c r="ET147" i="2"/>
  <c r="EW147" i="2" s="1"/>
  <c r="DY147" i="2"/>
  <c r="DX147" i="2"/>
  <c r="DC147" i="2"/>
  <c r="DD147" i="2"/>
  <c r="BN147" i="2"/>
  <c r="FN147" i="2"/>
  <c r="FQ147" i="2" s="1"/>
  <c r="CI147" i="2"/>
  <c r="BM147" i="2"/>
  <c r="AS147" i="2"/>
  <c r="W147" i="2"/>
  <c r="GJ147" i="2"/>
  <c r="GM147" i="2" s="1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G148" i="2" l="1"/>
  <c r="EB147" i="2"/>
  <c r="EC147" i="2"/>
  <c r="EA147" i="2"/>
  <c r="DH147" i="2"/>
  <c r="DG147" i="2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FR148" i="2" s="1"/>
  <c r="GI148" i="2"/>
  <c r="GL148" i="2" s="1"/>
  <c r="GJ148" i="2"/>
  <c r="GM148" i="2" s="1"/>
  <c r="ES148" i="2"/>
  <c r="EV148" i="2" s="1"/>
  <c r="DX148" i="2"/>
  <c r="HE148" i="2"/>
  <c r="HH148" i="2" s="1"/>
  <c r="CI148" i="2"/>
  <c r="BM148" i="2"/>
  <c r="ET148" i="2"/>
  <c r="EW148" i="2" s="1"/>
  <c r="DC148" i="2"/>
  <c r="DD148" i="2"/>
  <c r="CH148" i="2"/>
  <c r="BN148" i="2"/>
  <c r="AR148" i="2"/>
  <c r="FN148" i="2"/>
  <c r="FQ148" i="2" s="1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G149" i="2" l="1"/>
  <c r="EC148" i="2"/>
  <c r="EB148" i="2"/>
  <c r="EA148" i="2"/>
  <c r="DH148" i="2"/>
  <c r="DG148" i="2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GM149" i="2" s="1"/>
  <c r="HD149" i="2"/>
  <c r="FN149" i="2"/>
  <c r="FQ149" i="2" s="1"/>
  <c r="GI149" i="2"/>
  <c r="GL149" i="2" s="1"/>
  <c r="FO149" i="2"/>
  <c r="FR149" i="2" s="1"/>
  <c r="ET149" i="2"/>
  <c r="EW149" i="2" s="1"/>
  <c r="ES149" i="2"/>
  <c r="EV149" i="2" s="1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B149" i="2"/>
  <c r="EA149" i="2"/>
  <c r="DH149" i="2"/>
  <c r="DG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GM150" i="2" s="1"/>
  <c r="ET150" i="2"/>
  <c r="EW150" i="2" s="1"/>
  <c r="FN150" i="2"/>
  <c r="FQ150" i="2" s="1"/>
  <c r="FO150" i="2"/>
  <c r="FR150" i="2" s="1"/>
  <c r="GI150" i="2"/>
  <c r="GL150" i="2" s="1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A150" i="2"/>
  <c r="EB150" i="2"/>
  <c r="DH150" i="2"/>
  <c r="DG150" i="2"/>
  <c r="DF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HH151" i="2" s="1"/>
  <c r="GJ151" i="2"/>
  <c r="GM151" i="2" s="1"/>
  <c r="GI151" i="2"/>
  <c r="GL151" i="2" s="1"/>
  <c r="ES151" i="2"/>
  <c r="EV151" i="2" s="1"/>
  <c r="ET151" i="2"/>
  <c r="EW151" i="2" s="1"/>
  <c r="FN151" i="2"/>
  <c r="FQ151" i="2" s="1"/>
  <c r="DY151" i="2"/>
  <c r="FO151" i="2"/>
  <c r="FR151" i="2" s="1"/>
  <c r="DC151" i="2"/>
  <c r="HD151" i="2"/>
  <c r="HG151" i="2" s="1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EC151" i="2" l="1"/>
  <c r="EA151" i="2"/>
  <c r="EB151" i="2"/>
  <c r="AW151" i="2"/>
  <c r="DH151" i="2"/>
  <c r="DG151" i="2"/>
  <c r="DF151" i="2"/>
  <c r="BQ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HG152" i="2" s="1"/>
  <c r="GJ152" i="2"/>
  <c r="GM152" i="2" s="1"/>
  <c r="GI152" i="2"/>
  <c r="GL152" i="2" s="1"/>
  <c r="FO152" i="2"/>
  <c r="FR152" i="2" s="1"/>
  <c r="ES152" i="2"/>
  <c r="EV152" i="2" s="1"/>
  <c r="DX152" i="2"/>
  <c r="FN152" i="2"/>
  <c r="FQ152" i="2" s="1"/>
  <c r="ET152" i="2"/>
  <c r="EW152" i="2" s="1"/>
  <c r="CI152" i="2"/>
  <c r="BM152" i="2"/>
  <c r="HE152" i="2"/>
  <c r="HH152" i="2" s="1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GM153" i="2" l="1"/>
  <c r="EC152" i="2"/>
  <c r="EB152" i="2"/>
  <c r="EA152" i="2"/>
  <c r="DH152" i="2"/>
  <c r="DG152" i="2"/>
  <c r="DF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H153" i="2" s="1"/>
  <c r="HD153" i="2"/>
  <c r="HG153" i="2" s="1"/>
  <c r="GJ153" i="2"/>
  <c r="FN153" i="2"/>
  <c r="FQ153" i="2" s="1"/>
  <c r="FO153" i="2"/>
  <c r="FR153" i="2" s="1"/>
  <c r="ES153" i="2"/>
  <c r="EV153" i="2" s="1"/>
  <c r="DX153" i="2"/>
  <c r="CH153" i="2"/>
  <c r="CI153" i="2"/>
  <c r="BM153" i="2"/>
  <c r="GI153" i="2"/>
  <c r="GL153" i="2" s="1"/>
  <c r="X153" i="2"/>
  <c r="ET153" i="2"/>
  <c r="EW153" i="2" s="1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C153" i="2"/>
  <c r="DH153" i="2"/>
  <c r="DG153" i="2"/>
  <c r="DF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FQ154" i="2" s="1"/>
  <c r="HB154" i="2"/>
  <c r="HC154" i="2"/>
  <c r="GI154" i="2"/>
  <c r="GL154" i="2" s="1"/>
  <c r="FP154" i="2"/>
  <c r="HD154" i="2"/>
  <c r="HG154" i="2" s="1"/>
  <c r="GJ154" i="2"/>
  <c r="GM154" i="2" s="1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V154" i="2" s="1"/>
  <c r="EU154" i="2"/>
  <c r="DZ154" i="2"/>
  <c r="FO154" i="2"/>
  <c r="FR154" i="2" s="1"/>
  <c r="DL154" i="2"/>
  <c r="DD154" i="2"/>
  <c r="CJ154" i="2"/>
  <c r="EG154" i="2"/>
  <c r="DM154" i="2"/>
  <c r="DE154" i="2"/>
  <c r="ET154" i="2"/>
  <c r="EW154" i="2" s="1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EB154" i="2" l="1"/>
  <c r="EA154" i="2"/>
  <c r="EC154" i="2"/>
  <c r="DH154" i="2"/>
  <c r="DG154" i="2"/>
  <c r="DF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FQ155" i="2" s="1"/>
  <c r="HB155" i="2"/>
  <c r="GH155" i="2"/>
  <c r="FO155" i="2"/>
  <c r="FR155" i="2" s="1"/>
  <c r="HC155" i="2"/>
  <c r="HD155" i="2"/>
  <c r="HG155" i="2" s="1"/>
  <c r="GJ155" i="2"/>
  <c r="GM155" i="2" s="1"/>
  <c r="HE155" i="2"/>
  <c r="HH155" i="2" s="1"/>
  <c r="GK155" i="2"/>
  <c r="FB155" i="2"/>
  <c r="HF155" i="2"/>
  <c r="FC155" i="2"/>
  <c r="FW155" i="2"/>
  <c r="FL155" i="2"/>
  <c r="ES155" i="2"/>
  <c r="EV155" i="2" s="1"/>
  <c r="ER155" i="2"/>
  <c r="DW155" i="2"/>
  <c r="ET155" i="2"/>
  <c r="EW155" i="2" s="1"/>
  <c r="GI155" i="2"/>
  <c r="GL155" i="2" s="1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AC154" i="2"/>
  <c r="HJ154" i="2"/>
  <c r="EY154" i="2"/>
  <c r="GO154" i="2"/>
  <c r="FT154" i="2"/>
  <c r="D194" i="2"/>
  <c r="G194" i="2" s="1"/>
  <c r="DI153" i="2"/>
  <c r="FT153" i="2"/>
  <c r="CN153" i="2"/>
  <c r="HJ153" i="2"/>
  <c r="GO153" i="2"/>
  <c r="EY153" i="2"/>
  <c r="ED153" i="2"/>
  <c r="AC153" i="2"/>
  <c r="AX151" i="2"/>
  <c r="Z155" i="2" l="1"/>
  <c r="ED154" i="2"/>
  <c r="AW155" i="2"/>
  <c r="FQ156" i="2"/>
  <c r="CN154" i="2"/>
  <c r="DI154" i="2"/>
  <c r="EC155" i="2"/>
  <c r="EB155" i="2"/>
  <c r="EA155" i="2"/>
  <c r="DH155" i="2"/>
  <c r="DG155" i="2"/>
  <c r="DF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FR156" i="2" s="1"/>
  <c r="HC156" i="2"/>
  <c r="GI156" i="2"/>
  <c r="GL156" i="2" s="1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W156" i="2" s="1"/>
  <c r="EU156" i="2"/>
  <c r="DX156" i="2"/>
  <c r="GJ156" i="2"/>
  <c r="GM156" i="2" s="1"/>
  <c r="EH156" i="2"/>
  <c r="DL156" i="2"/>
  <c r="EQ156" i="2"/>
  <c r="ER156" i="2"/>
  <c r="DV156" i="2"/>
  <c r="BV156" i="2"/>
  <c r="ES156" i="2"/>
  <c r="EV156" i="2" s="1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GO155" i="2"/>
  <c r="AX152" i="2"/>
  <c r="AB156" i="2" l="1"/>
  <c r="FQ157" i="2"/>
  <c r="EC156" i="2"/>
  <c r="ED155" i="2"/>
  <c r="EA156" i="2"/>
  <c r="EB156" i="2"/>
  <c r="DH156" i="2"/>
  <c r="DI155" i="2"/>
  <c r="DF156" i="2"/>
  <c r="DG156" i="2"/>
  <c r="CN155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FR157" i="2" s="1"/>
  <c r="HC157" i="2"/>
  <c r="GI157" i="2"/>
  <c r="GL157" i="2" s="1"/>
  <c r="FP157" i="2"/>
  <c r="HD157" i="2"/>
  <c r="HG157" i="2" s="1"/>
  <c r="GJ157" i="2"/>
  <c r="GM157" i="2" s="1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V157" i="2" s="1"/>
  <c r="ET157" i="2"/>
  <c r="EW157" i="2" s="1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Q158" i="2" l="1"/>
  <c r="CN156" i="2"/>
  <c r="EC157" i="2"/>
  <c r="EB157" i="2"/>
  <c r="EA157" i="2"/>
  <c r="DH157" i="2"/>
  <c r="DF157" i="2"/>
  <c r="DG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GL158" i="2" s="1"/>
  <c r="FP158" i="2"/>
  <c r="HD158" i="2"/>
  <c r="HG158" i="2" s="1"/>
  <c r="GJ158" i="2"/>
  <c r="GM158" i="2" s="1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R158" i="2" s="1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FQ159" i="2"/>
  <c r="EB158" i="2"/>
  <c r="EA158" i="2"/>
  <c r="DH158" i="2"/>
  <c r="DI157" i="2"/>
  <c r="DG158" i="2"/>
  <c r="DF158" i="2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HG159" i="2" s="1"/>
  <c r="GJ159" i="2"/>
  <c r="GM159" i="2" s="1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FR159" i="2" s="1"/>
  <c r="HC159" i="2"/>
  <c r="GI159" i="2"/>
  <c r="GL159" i="2" s="1"/>
  <c r="FP159" i="2"/>
  <c r="EG159" i="2"/>
  <c r="ER159" i="2"/>
  <c r="FL159" i="2"/>
  <c r="ES159" i="2"/>
  <c r="EV159" i="2" s="1"/>
  <c r="ET159" i="2"/>
  <c r="EW159" i="2" s="1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Q160" i="2" l="1"/>
  <c r="DI158" i="2"/>
  <c r="EA159" i="2"/>
  <c r="ED158" i="2"/>
  <c r="EC159" i="2"/>
  <c r="EB159" i="2"/>
  <c r="DH159" i="2"/>
  <c r="DG159" i="2"/>
  <c r="DF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FR160" i="2" s="1"/>
  <c r="HC160" i="2"/>
  <c r="GI160" i="2"/>
  <c r="GL160" i="2" s="1"/>
  <c r="FP160" i="2"/>
  <c r="HD160" i="2"/>
  <c r="HG160" i="2" s="1"/>
  <c r="GJ160" i="2"/>
  <c r="GM160" i="2" s="1"/>
  <c r="EH160" i="2"/>
  <c r="ET160" i="2"/>
  <c r="EW160" i="2" s="1"/>
  <c r="DL160" i="2"/>
  <c r="FM160" i="2"/>
  <c r="EG160" i="2"/>
  <c r="DX160" i="2"/>
  <c r="EQ160" i="2"/>
  <c r="FX160" i="2"/>
  <c r="ER160" i="2"/>
  <c r="DZ160" i="2"/>
  <c r="DB160" i="2"/>
  <c r="CH160" i="2"/>
  <c r="ES160" i="2"/>
  <c r="EV160" i="2" s="1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ED159" i="2" l="1"/>
  <c r="EB160" i="2"/>
  <c r="DI159" i="2"/>
  <c r="DH160" i="2"/>
  <c r="EA160" i="2"/>
  <c r="EC160" i="2"/>
  <c r="DG160" i="2"/>
  <c r="DF160" i="2"/>
  <c r="AU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FR161" i="2" s="1"/>
  <c r="HC161" i="2"/>
  <c r="GI161" i="2"/>
  <c r="GL161" i="2" s="1"/>
  <c r="FP161" i="2"/>
  <c r="HD161" i="2"/>
  <c r="HG161" i="2" s="1"/>
  <c r="GJ161" i="2"/>
  <c r="GM161" i="2" s="1"/>
  <c r="HE161" i="2"/>
  <c r="HH161" i="2" s="1"/>
  <c r="GK161" i="2"/>
  <c r="FB161" i="2"/>
  <c r="EQ161" i="2"/>
  <c r="DM161" i="2"/>
  <c r="EG161" i="2"/>
  <c r="ER161" i="2"/>
  <c r="DY161" i="2"/>
  <c r="ET161" i="2"/>
  <c r="EW161" i="2" s="1"/>
  <c r="DC161" i="2"/>
  <c r="CI161" i="2"/>
  <c r="GG161" i="2"/>
  <c r="EU161" i="2"/>
  <c r="DL161" i="2"/>
  <c r="DD161" i="2"/>
  <c r="CJ161" i="2"/>
  <c r="EH161" i="2"/>
  <c r="CR161" i="2"/>
  <c r="ES161" i="2"/>
  <c r="EV161" i="2" s="1"/>
  <c r="DB161" i="2"/>
  <c r="CH161" i="2"/>
  <c r="BB161" i="2"/>
  <c r="AP161" i="2"/>
  <c r="DV161" i="2"/>
  <c r="DE161" i="2"/>
  <c r="AQ161" i="2"/>
  <c r="FN161" i="2"/>
  <c r="FQ161" i="2" s="1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A161" i="2"/>
  <c r="ED160" i="2"/>
  <c r="EC161" i="2"/>
  <c r="EB161" i="2"/>
  <c r="DH161" i="2"/>
  <c r="DF161" i="2"/>
  <c r="DG161" i="2"/>
  <c r="CN160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FQ162" i="2" s="1"/>
  <c r="HB162" i="2"/>
  <c r="HC162" i="2"/>
  <c r="GI162" i="2"/>
  <c r="GL162" i="2" s="1"/>
  <c r="FP162" i="2"/>
  <c r="HD162" i="2"/>
  <c r="HG162" i="2" s="1"/>
  <c r="GJ162" i="2"/>
  <c r="GM162" i="2" s="1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FR162" i="2" s="1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EV162" i="2" s="1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AU162" i="2" l="1"/>
  <c r="ED161" i="2"/>
  <c r="EA162" i="2"/>
  <c r="EB162" i="2"/>
  <c r="EC162" i="2"/>
  <c r="DH162" i="2"/>
  <c r="DI161" i="2"/>
  <c r="DG162" i="2"/>
  <c r="DF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FQ163" i="2" s="1"/>
  <c r="HB163" i="2"/>
  <c r="GH163" i="2"/>
  <c r="FO163" i="2"/>
  <c r="FR163" i="2" s="1"/>
  <c r="HC163" i="2"/>
  <c r="HD163" i="2"/>
  <c r="HG163" i="2" s="1"/>
  <c r="GJ163" i="2"/>
  <c r="GM163" i="2" s="1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GL163" i="2" s="1"/>
  <c r="ET163" i="2"/>
  <c r="EW163" i="2" s="1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D162" i="2"/>
  <c r="EA163" i="2"/>
  <c r="EC163" i="2"/>
  <c r="DH163" i="2"/>
  <c r="DG163" i="2"/>
  <c r="DF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FQ164" i="2" s="1"/>
  <c r="HB164" i="2"/>
  <c r="GH164" i="2"/>
  <c r="FO164" i="2"/>
  <c r="FR164" i="2" s="1"/>
  <c r="HC164" i="2"/>
  <c r="GI164" i="2"/>
  <c r="GL164" i="2" s="1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W164" i="2" s="1"/>
  <c r="ES164" i="2"/>
  <c r="EV164" i="2" s="1"/>
  <c r="DX164" i="2"/>
  <c r="GJ164" i="2"/>
  <c r="GM164" i="2" s="1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FQ165" i="2" l="1"/>
  <c r="DI163" i="2"/>
  <c r="EB164" i="2"/>
  <c r="ED163" i="2"/>
  <c r="EA164" i="2"/>
  <c r="EC164" i="2"/>
  <c r="DH164" i="2"/>
  <c r="DF164" i="2"/>
  <c r="DG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FR165" i="2" s="1"/>
  <c r="HC165" i="2"/>
  <c r="GI165" i="2"/>
  <c r="GL165" i="2" s="1"/>
  <c r="FP165" i="2"/>
  <c r="HD165" i="2"/>
  <c r="HG165" i="2" s="1"/>
  <c r="GJ165" i="2"/>
  <c r="GM165" i="2" s="1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EV165" i="2" s="1"/>
  <c r="DW165" i="2"/>
  <c r="CQ165" i="2"/>
  <c r="BW165" i="2"/>
  <c r="ET165" i="2"/>
  <c r="EW165" i="2" s="1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EB165" i="2"/>
  <c r="EA165" i="2"/>
  <c r="DH165" i="2"/>
  <c r="DI164" i="2"/>
  <c r="DF165" i="2"/>
  <c r="DG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GL166" i="2" s="1"/>
  <c r="FP166" i="2"/>
  <c r="HD166" i="2"/>
  <c r="HG166" i="2" s="1"/>
  <c r="GJ166" i="2"/>
  <c r="GM166" i="2" s="1"/>
  <c r="HE166" i="2"/>
  <c r="HH166" i="2" s="1"/>
  <c r="GK166" i="2"/>
  <c r="FB166" i="2"/>
  <c r="HF166" i="2"/>
  <c r="FW166" i="2"/>
  <c r="FL166" i="2"/>
  <c r="GR166" i="2"/>
  <c r="FX166" i="2"/>
  <c r="FM166" i="2"/>
  <c r="GS166" i="2"/>
  <c r="GG166" i="2"/>
  <c r="FN166" i="2"/>
  <c r="FQ166" i="2" s="1"/>
  <c r="HB166" i="2"/>
  <c r="GH166" i="2"/>
  <c r="FO166" i="2"/>
  <c r="FR166" i="2" s="1"/>
  <c r="EG166" i="2"/>
  <c r="DZ166" i="2"/>
  <c r="ES166" i="2"/>
  <c r="EV166" i="2" s="1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EW166" i="2" s="1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CN165" i="2" l="1"/>
  <c r="FQ167" i="2"/>
  <c r="EC166" i="2"/>
  <c r="ED165" i="2"/>
  <c r="EB166" i="2"/>
  <c r="EA166" i="2"/>
  <c r="DH166" i="2"/>
  <c r="DF166" i="2"/>
  <c r="DG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HG167" i="2" s="1"/>
  <c r="GJ167" i="2"/>
  <c r="GM167" i="2" s="1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GL167" i="2" s="1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EV167" i="2" s="1"/>
  <c r="DM167" i="2"/>
  <c r="CR167" i="2"/>
  <c r="ET167" i="2"/>
  <c r="EW167" i="2" s="1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H167" i="2" l="1"/>
  <c r="EA167" i="2"/>
  <c r="EC167" i="2"/>
  <c r="EB167" i="2"/>
  <c r="DI166" i="2"/>
  <c r="DF167" i="2"/>
  <c r="D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FQ168" i="2" s="1"/>
  <c r="HB168" i="2"/>
  <c r="GH168" i="2"/>
  <c r="FO168" i="2"/>
  <c r="FR168" i="2" s="1"/>
  <c r="HC168" i="2"/>
  <c r="GI168" i="2"/>
  <c r="GL168" i="2" s="1"/>
  <c r="FP168" i="2"/>
  <c r="HD168" i="2"/>
  <c r="HG168" i="2" s="1"/>
  <c r="GJ168" i="2"/>
  <c r="GM168" i="2" s="1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G169" i="2"/>
  <c r="DH168" i="2"/>
  <c r="DI167" i="2"/>
  <c r="EA168" i="2"/>
  <c r="EB168" i="2"/>
  <c r="DG168" i="2"/>
  <c r="DF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FR169" i="2" s="1"/>
  <c r="HC169" i="2"/>
  <c r="GI169" i="2"/>
  <c r="GL169" i="2" s="1"/>
  <c r="FP169" i="2"/>
  <c r="HD169" i="2"/>
  <c r="GJ169" i="2"/>
  <c r="GM169" i="2" s="1"/>
  <c r="HE169" i="2"/>
  <c r="HH169" i="2" s="1"/>
  <c r="GK169" i="2"/>
  <c r="FB169" i="2"/>
  <c r="EQ169" i="2"/>
  <c r="EU169" i="2"/>
  <c r="DM169" i="2"/>
  <c r="FN169" i="2"/>
  <c r="FQ169" i="2" s="1"/>
  <c r="EH169" i="2"/>
  <c r="DY169" i="2"/>
  <c r="GG169" i="2"/>
  <c r="ES169" i="2"/>
  <c r="EV169" i="2" s="1"/>
  <c r="DC169" i="2"/>
  <c r="CI169" i="2"/>
  <c r="ET169" i="2"/>
  <c r="EW169" i="2" s="1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C169" i="2" l="1"/>
  <c r="DH169" i="2"/>
  <c r="HG170" i="2"/>
  <c r="DI168" i="2"/>
  <c r="EA169" i="2"/>
  <c r="EB169" i="2"/>
  <c r="DF169" i="2"/>
  <c r="DG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FQ170" i="2" s="1"/>
  <c r="HB170" i="2"/>
  <c r="HC170" i="2"/>
  <c r="GI170" i="2"/>
  <c r="GL170" i="2" s="1"/>
  <c r="FP170" i="2"/>
  <c r="HD170" i="2"/>
  <c r="GJ170" i="2"/>
  <c r="GM170" i="2" s="1"/>
  <c r="HE170" i="2"/>
  <c r="HH170" i="2" s="1"/>
  <c r="GK170" i="2"/>
  <c r="FB170" i="2"/>
  <c r="HF170" i="2"/>
  <c r="FC170" i="2"/>
  <c r="ER170" i="2"/>
  <c r="DV170" i="2"/>
  <c r="ES170" i="2"/>
  <c r="EV170" i="2" s="1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EW170" i="2" s="1"/>
  <c r="DC170" i="2"/>
  <c r="CI170" i="2"/>
  <c r="BL170" i="2"/>
  <c r="DW170" i="2"/>
  <c r="BM170" i="2"/>
  <c r="BA170" i="2"/>
  <c r="DX170" i="2"/>
  <c r="FO170" i="2"/>
  <c r="FR170" i="2" s="1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H170" i="2" s="1"/>
  <c r="BN170" i="2"/>
  <c r="BO170" i="2"/>
  <c r="X170" i="2"/>
  <c r="CF170" i="2"/>
  <c r="Y170" i="2"/>
  <c r="AQ170" i="2"/>
  <c r="AX167" i="2"/>
  <c r="EC170" i="2" l="1"/>
  <c r="EA170" i="2"/>
  <c r="HG171" i="2"/>
  <c r="CN169" i="2"/>
  <c r="EB170" i="2"/>
  <c r="DF170" i="2"/>
  <c r="DG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FQ171" i="2" s="1"/>
  <c r="HB171" i="2"/>
  <c r="GH171" i="2"/>
  <c r="FO171" i="2"/>
  <c r="FR171" i="2" s="1"/>
  <c r="HC171" i="2"/>
  <c r="HD171" i="2"/>
  <c r="GJ171" i="2"/>
  <c r="GM171" i="2" s="1"/>
  <c r="HE171" i="2"/>
  <c r="HH171" i="2" s="1"/>
  <c r="GK171" i="2"/>
  <c r="FB171" i="2"/>
  <c r="HF171" i="2"/>
  <c r="FC171" i="2"/>
  <c r="FW171" i="2"/>
  <c r="FL171" i="2"/>
  <c r="ES171" i="2"/>
  <c r="EV171" i="2" s="1"/>
  <c r="GI171" i="2"/>
  <c r="GL171" i="2" s="1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EW171" i="2" s="1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DH171" i="2"/>
  <c r="EC171" i="2"/>
  <c r="DI170" i="2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FQ172" i="2" s="1"/>
  <c r="HB172" i="2"/>
  <c r="GH172" i="2"/>
  <c r="FO172" i="2"/>
  <c r="FR172" i="2" s="1"/>
  <c r="HC172" i="2"/>
  <c r="GI172" i="2"/>
  <c r="GL172" i="2" s="1"/>
  <c r="FP172" i="2"/>
  <c r="HD172" i="2"/>
  <c r="HG172" i="2" s="1"/>
  <c r="HE172" i="2"/>
  <c r="HH172" i="2" s="1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GM172" i="2" s="1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FQ173" i="2"/>
  <c r="DH172" i="2"/>
  <c r="EC172" i="2"/>
  <c r="DF172" i="2"/>
  <c r="DG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FR173" i="2" s="1"/>
  <c r="HC173" i="2"/>
  <c r="GI173" i="2"/>
  <c r="GL173" i="2" s="1"/>
  <c r="FP173" i="2"/>
  <c r="HD173" i="2"/>
  <c r="HG173" i="2" s="1"/>
  <c r="GJ173" i="2"/>
  <c r="GM173" i="2" s="1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EV173" i="2" s="1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DH173" i="2" l="1"/>
  <c r="ED172" i="2"/>
  <c r="CL173" i="2"/>
  <c r="FQ174" i="2"/>
  <c r="EC173" i="2"/>
  <c r="EA173" i="2"/>
  <c r="EB173" i="2"/>
  <c r="DF173" i="2"/>
  <c r="DG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GL174" i="2" s="1"/>
  <c r="FP174" i="2"/>
  <c r="HD174" i="2"/>
  <c r="HG174" i="2" s="1"/>
  <c r="GJ174" i="2"/>
  <c r="GM174" i="2" s="1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FR174" i="2" s="1"/>
  <c r="DZ174" i="2"/>
  <c r="ER174" i="2"/>
  <c r="DV174" i="2"/>
  <c r="FC174" i="2"/>
  <c r="ET174" i="2"/>
  <c r="EW174" i="2" s="1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EV174" i="2" s="1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FQ175" i="2" l="1"/>
  <c r="DI173" i="2"/>
  <c r="DH174" i="2"/>
  <c r="EA174" i="2"/>
  <c r="EB174" i="2"/>
  <c r="EC174" i="2"/>
  <c r="DF174" i="2"/>
  <c r="DG174" i="2"/>
  <c r="CL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HG175" i="2" s="1"/>
  <c r="GJ175" i="2"/>
  <c r="GM175" i="2" s="1"/>
  <c r="HE175" i="2"/>
  <c r="HH175" i="2" s="1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FR175" i="2" s="1"/>
  <c r="HC175" i="2"/>
  <c r="GI175" i="2"/>
  <c r="GL175" i="2" s="1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V175" i="2" s="1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CN174" i="2"/>
  <c r="FQ176" i="2"/>
  <c r="EC175" i="2"/>
  <c r="EA175" i="2"/>
  <c r="EB175" i="2"/>
  <c r="DH175" i="2"/>
  <c r="DI174" i="2"/>
  <c r="DG175" i="2"/>
  <c r="DF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FR176" i="2" s="1"/>
  <c r="HC176" i="2"/>
  <c r="GI176" i="2"/>
  <c r="GL176" i="2" s="1"/>
  <c r="FP176" i="2"/>
  <c r="HD176" i="2"/>
  <c r="HG176" i="2" s="1"/>
  <c r="GJ176" i="2"/>
  <c r="GM176" i="2" s="1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EV176" i="2" s="1"/>
  <c r="BO176" i="2"/>
  <c r="ET176" i="2"/>
  <c r="EW176" i="2" s="1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DI175" i="2" l="1"/>
  <c r="DH176" i="2"/>
  <c r="EC176" i="2"/>
  <c r="EA176" i="2"/>
  <c r="EB176" i="2"/>
  <c r="AU176" i="2"/>
  <c r="DG176" i="2"/>
  <c r="DF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FR177" i="2" s="1"/>
  <c r="HC177" i="2"/>
  <c r="GI177" i="2"/>
  <c r="GL177" i="2" s="1"/>
  <c r="FP177" i="2"/>
  <c r="HD177" i="2"/>
  <c r="HG177" i="2" s="1"/>
  <c r="GJ177" i="2"/>
  <c r="GM177" i="2" s="1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EV177" i="2" s="1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A177" i="2" l="1"/>
  <c r="EC177" i="2"/>
  <c r="EB177" i="2"/>
  <c r="DH177" i="2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GL178" i="2" s="1"/>
  <c r="FP178" i="2"/>
  <c r="HD178" i="2"/>
  <c r="HG178" i="2" s="1"/>
  <c r="GJ178" i="2"/>
  <c r="GM178" i="2" s="1"/>
  <c r="HE178" i="2"/>
  <c r="HH178" i="2" s="1"/>
  <c r="GK178" i="2"/>
  <c r="FB178" i="2"/>
  <c r="HF178" i="2"/>
  <c r="FC178" i="2"/>
  <c r="ER178" i="2"/>
  <c r="DV178" i="2"/>
  <c r="FO178" i="2"/>
  <c r="FR178" i="2" s="1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EV178" i="2" s="1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DH178" i="2"/>
  <c r="EB178" i="2"/>
  <c r="EA178" i="2"/>
  <c r="EC178" i="2"/>
  <c r="DF178" i="2"/>
  <c r="DG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FQ179" i="2" s="1"/>
  <c r="HB179" i="2"/>
  <c r="GH179" i="2"/>
  <c r="FO179" i="2"/>
  <c r="FR179" i="2" s="1"/>
  <c r="HC179" i="2"/>
  <c r="HD179" i="2"/>
  <c r="HG179" i="2" s="1"/>
  <c r="GJ179" i="2"/>
  <c r="GM179" i="2" s="1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EW179" i="2" s="1"/>
  <c r="DM179" i="2"/>
  <c r="DE179" i="2"/>
  <c r="GI179" i="2"/>
  <c r="GL179" i="2" s="1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AW179" i="2" l="1"/>
  <c r="GL180" i="2"/>
  <c r="DH179" i="2"/>
  <c r="ED178" i="2"/>
  <c r="EC179" i="2"/>
  <c r="EA179" i="2"/>
  <c r="EB179" i="2"/>
  <c r="DF179" i="2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FQ180" i="2" s="1"/>
  <c r="HB180" i="2"/>
  <c r="GH180" i="2"/>
  <c r="FO180" i="2"/>
  <c r="FR180" i="2" s="1"/>
  <c r="HC180" i="2"/>
  <c r="GI180" i="2"/>
  <c r="FP180" i="2"/>
  <c r="HD180" i="2"/>
  <c r="HG180" i="2" s="1"/>
  <c r="HE180" i="2"/>
  <c r="HH180" i="2" s="1"/>
  <c r="GK180" i="2"/>
  <c r="FB180" i="2"/>
  <c r="HF180" i="2"/>
  <c r="FC180" i="2"/>
  <c r="FW180" i="2"/>
  <c r="FL180" i="2"/>
  <c r="GR180" i="2"/>
  <c r="FX180" i="2"/>
  <c r="FM180" i="2"/>
  <c r="ET180" i="2"/>
  <c r="EW180" i="2" s="1"/>
  <c r="GJ180" i="2"/>
  <c r="GM180" i="2" s="1"/>
  <c r="EQ180" i="2"/>
  <c r="DX180" i="2"/>
  <c r="DL180" i="2"/>
  <c r="EG180" i="2"/>
  <c r="DV180" i="2"/>
  <c r="BV180" i="2"/>
  <c r="EH180" i="2"/>
  <c r="DW180" i="2"/>
  <c r="CQ180" i="2"/>
  <c r="BW180" i="2"/>
  <c r="ES180" i="2"/>
  <c r="EV180" i="2" s="1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DH180" i="2" l="1"/>
  <c r="GL181" i="2"/>
  <c r="EB180" i="2"/>
  <c r="ED179" i="2"/>
  <c r="EA180" i="2"/>
  <c r="EC180" i="2"/>
  <c r="DI179" i="2"/>
  <c r="DG180" i="2"/>
  <c r="DF180" i="2"/>
  <c r="CN179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FR181" i="2" s="1"/>
  <c r="HC181" i="2"/>
  <c r="GI181" i="2"/>
  <c r="FP181" i="2"/>
  <c r="HD181" i="2"/>
  <c r="HG181" i="2" s="1"/>
  <c r="GJ181" i="2"/>
  <c r="GM181" i="2" s="1"/>
  <c r="HE181" i="2"/>
  <c r="HH181" i="2" s="1"/>
  <c r="HF181" i="2"/>
  <c r="FC181" i="2"/>
  <c r="FW181" i="2"/>
  <c r="FL181" i="2"/>
  <c r="GR181" i="2"/>
  <c r="FX181" i="2"/>
  <c r="FM181" i="2"/>
  <c r="GS181" i="2"/>
  <c r="GG181" i="2"/>
  <c r="FN181" i="2"/>
  <c r="FQ181" i="2" s="1"/>
  <c r="EU181" i="2"/>
  <c r="ES181" i="2"/>
  <c r="EV181" i="2" s="1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CN180" i="2"/>
  <c r="EC181" i="2"/>
  <c r="EA181" i="2"/>
  <c r="EB181" i="2"/>
  <c r="DH181" i="2"/>
  <c r="DI180" i="2"/>
  <c r="DG181" i="2"/>
  <c r="DF181" i="2"/>
  <c r="AU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GL182" i="2" s="1"/>
  <c r="FP182" i="2"/>
  <c r="HD182" i="2"/>
  <c r="HG182" i="2" s="1"/>
  <c r="GJ182" i="2"/>
  <c r="GM182" i="2" s="1"/>
  <c r="HE182" i="2"/>
  <c r="HH182" i="2" s="1"/>
  <c r="GK182" i="2"/>
  <c r="FB182" i="2"/>
  <c r="HF182" i="2"/>
  <c r="FW182" i="2"/>
  <c r="FL182" i="2"/>
  <c r="GR182" i="2"/>
  <c r="FX182" i="2"/>
  <c r="FM182" i="2"/>
  <c r="GS182" i="2"/>
  <c r="GG182" i="2"/>
  <c r="FN182" i="2"/>
  <c r="FQ182" i="2" s="1"/>
  <c r="HB182" i="2"/>
  <c r="GH182" i="2"/>
  <c r="FO182" i="2"/>
  <c r="FR182" i="2" s="1"/>
  <c r="EU182" i="2"/>
  <c r="EQ182" i="2"/>
  <c r="DV182" i="2"/>
  <c r="FC182" i="2"/>
  <c r="ES182" i="2"/>
  <c r="EV182" i="2" s="1"/>
  <c r="DX182" i="2"/>
  <c r="CR182" i="2"/>
  <c r="ET182" i="2"/>
  <c r="EW182" i="2" s="1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EA182" i="2" l="1"/>
  <c r="HG183" i="2"/>
  <c r="EC182" i="2"/>
  <c r="EB182" i="2"/>
  <c r="AW182" i="2"/>
  <c r="DH182" i="2"/>
  <c r="DF182" i="2"/>
  <c r="DG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GM183" i="2" s="1"/>
  <c r="HE183" i="2"/>
  <c r="HH183" i="2" s="1"/>
  <c r="GK183" i="2"/>
  <c r="FB183" i="2"/>
  <c r="HF183" i="2"/>
  <c r="FC183" i="2"/>
  <c r="GR183" i="2"/>
  <c r="FX183" i="2"/>
  <c r="FM183" i="2"/>
  <c r="GS183" i="2"/>
  <c r="GG183" i="2"/>
  <c r="FN183" i="2"/>
  <c r="FQ183" i="2" s="1"/>
  <c r="HB183" i="2"/>
  <c r="GH183" i="2"/>
  <c r="FO183" i="2"/>
  <c r="FR183" i="2" s="1"/>
  <c r="HC183" i="2"/>
  <c r="GI183" i="2"/>
  <c r="GL183" i="2" s="1"/>
  <c r="FP183" i="2"/>
  <c r="EG183" i="2"/>
  <c r="FW183" i="2"/>
  <c r="ES183" i="2"/>
  <c r="EV183" i="2" s="1"/>
  <c r="FL183" i="2"/>
  <c r="EU183" i="2"/>
  <c r="DY183" i="2"/>
  <c r="DA183" i="2"/>
  <c r="DZ183" i="2"/>
  <c r="DB183" i="2"/>
  <c r="EQ183" i="2"/>
  <c r="DL183" i="2"/>
  <c r="ER183" i="2"/>
  <c r="DM183" i="2"/>
  <c r="ET183" i="2"/>
  <c r="EW183" i="2" s="1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DH183" i="2"/>
  <c r="EC183" i="2"/>
  <c r="DI182" i="2"/>
  <c r="DG183" i="2"/>
  <c r="DF183" i="2"/>
  <c r="CM183" i="2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HH184" i="2" s="1"/>
  <c r="GK184" i="2"/>
  <c r="FB184" i="2"/>
  <c r="HF184" i="2"/>
  <c r="FC184" i="2"/>
  <c r="FW184" i="2"/>
  <c r="FL184" i="2"/>
  <c r="GR184" i="2"/>
  <c r="GS184" i="2"/>
  <c r="GG184" i="2"/>
  <c r="FN184" i="2"/>
  <c r="FQ184" i="2" s="1"/>
  <c r="HB184" i="2"/>
  <c r="GH184" i="2"/>
  <c r="FO184" i="2"/>
  <c r="FR184" i="2" s="1"/>
  <c r="HC184" i="2"/>
  <c r="GI184" i="2"/>
  <c r="GL184" i="2" s="1"/>
  <c r="FP184" i="2"/>
  <c r="HD184" i="2"/>
  <c r="HG184" i="2" s="1"/>
  <c r="GJ184" i="2"/>
  <c r="GM184" i="2" s="1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EV184" i="2" s="1"/>
  <c r="DE184" i="2"/>
  <c r="ET184" i="2"/>
  <c r="EW184" i="2" s="1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DH184" i="2" l="1"/>
  <c r="EC184" i="2"/>
  <c r="EA184" i="2"/>
  <c r="EB184" i="2"/>
  <c r="AW184" i="2"/>
  <c r="DI183" i="2"/>
  <c r="DG184" i="2"/>
  <c r="DF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FR185" i="2" s="1"/>
  <c r="HC185" i="2"/>
  <c r="GI185" i="2"/>
  <c r="GL185" i="2" s="1"/>
  <c r="FP185" i="2"/>
  <c r="HD185" i="2"/>
  <c r="HG185" i="2" s="1"/>
  <c r="GJ185" i="2"/>
  <c r="GM185" i="2" s="1"/>
  <c r="HE185" i="2"/>
  <c r="HH185" i="2" s="1"/>
  <c r="GK185" i="2"/>
  <c r="FB185" i="2"/>
  <c r="EQ185" i="2"/>
  <c r="FN185" i="2"/>
  <c r="FQ185" i="2" s="1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AU185" i="2" l="1"/>
  <c r="EB185" i="2"/>
  <c r="EA185" i="2"/>
  <c r="FR186" i="2"/>
  <c r="DI184" i="2"/>
  <c r="EC185" i="2"/>
  <c r="ED184" i="2"/>
  <c r="DH185" i="2"/>
  <c r="DF185" i="2"/>
  <c r="DG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FQ186" i="2" s="1"/>
  <c r="HB186" i="2"/>
  <c r="HC186" i="2"/>
  <c r="GI186" i="2"/>
  <c r="GL186" i="2" s="1"/>
  <c r="FP186" i="2"/>
  <c r="HD186" i="2"/>
  <c r="HG186" i="2" s="1"/>
  <c r="GJ186" i="2"/>
  <c r="GM186" i="2" s="1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EV186" i="2" s="1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EA186" i="2"/>
  <c r="FR187" i="2"/>
  <c r="EC186" i="2"/>
  <c r="DH186" i="2"/>
  <c r="DI185" i="2"/>
  <c r="DF186" i="2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FQ187" i="2" s="1"/>
  <c r="HB187" i="2"/>
  <c r="GH187" i="2"/>
  <c r="FO187" i="2"/>
  <c r="HC187" i="2"/>
  <c r="HD187" i="2"/>
  <c r="HG187" i="2" s="1"/>
  <c r="GJ187" i="2"/>
  <c r="GM187" i="2" s="1"/>
  <c r="HE187" i="2"/>
  <c r="HH187" i="2" s="1"/>
  <c r="GK187" i="2"/>
  <c r="FB187" i="2"/>
  <c r="HF187" i="2"/>
  <c r="FC187" i="2"/>
  <c r="FW187" i="2"/>
  <c r="FL187" i="2"/>
  <c r="ES187" i="2"/>
  <c r="EV187" i="2" s="1"/>
  <c r="FP187" i="2"/>
  <c r="ER187" i="2"/>
  <c r="GI187" i="2"/>
  <c r="GL187" i="2" s="1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EW187" i="2" s="1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EA187" i="2" l="1"/>
  <c r="DH187" i="2"/>
  <c r="EC187" i="2"/>
  <c r="EB187" i="2"/>
  <c r="DI186" i="2"/>
  <c r="DF187" i="2"/>
  <c r="DG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FQ188" i="2" s="1"/>
  <c r="HB188" i="2"/>
  <c r="GH188" i="2"/>
  <c r="FO188" i="2"/>
  <c r="FR188" i="2" s="1"/>
  <c r="HC188" i="2"/>
  <c r="GI188" i="2"/>
  <c r="GL188" i="2" s="1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W188" i="2" s="1"/>
  <c r="EH188" i="2"/>
  <c r="EU188" i="2"/>
  <c r="DV188" i="2"/>
  <c r="GJ188" i="2"/>
  <c r="GM188" i="2" s="1"/>
  <c r="EG188" i="2"/>
  <c r="DW188" i="2"/>
  <c r="CQ188" i="2"/>
  <c r="ER188" i="2"/>
  <c r="ES188" i="2"/>
  <c r="EV188" i="2" s="1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DH188" i="2" s="1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EW189" i="2"/>
  <c r="ED187" i="2"/>
  <c r="EB188" i="2"/>
  <c r="EA188" i="2"/>
  <c r="DI187" i="2"/>
  <c r="DG188" i="2"/>
  <c r="DF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FR189" i="2" s="1"/>
  <c r="HC189" i="2"/>
  <c r="GI189" i="2"/>
  <c r="GL189" i="2" s="1"/>
  <c r="FP189" i="2"/>
  <c r="HD189" i="2"/>
  <c r="HG189" i="2" s="1"/>
  <c r="GJ189" i="2"/>
  <c r="GM189" i="2" s="1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FQ189" i="2" s="1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DH189" i="2"/>
  <c r="EA189" i="2"/>
  <c r="EC189" i="2"/>
  <c r="DF189" i="2"/>
  <c r="DG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GL190" i="2" s="1"/>
  <c r="HD190" i="2"/>
  <c r="HG190" i="2" s="1"/>
  <c r="GJ190" i="2"/>
  <c r="GM190" i="2" s="1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FR190" i="2" s="1"/>
  <c r="ET190" i="2"/>
  <c r="EW190" i="2" s="1"/>
  <c r="FC190" i="2"/>
  <c r="EH190" i="2"/>
  <c r="FN190" i="2"/>
  <c r="FQ190" i="2" s="1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GM191" i="2"/>
  <c r="CN189" i="2"/>
  <c r="ED189" i="2"/>
  <c r="EC190" i="2"/>
  <c r="EA190" i="2"/>
  <c r="DH190" i="2"/>
  <c r="DG190" i="2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GL191" i="2" s="1"/>
  <c r="FP191" i="2"/>
  <c r="EG191" i="2"/>
  <c r="FC191" i="2"/>
  <c r="FW191" i="2"/>
  <c r="FL191" i="2"/>
  <c r="FM191" i="2"/>
  <c r="FO191" i="2"/>
  <c r="FR191" i="2" s="1"/>
  <c r="ER191" i="2"/>
  <c r="ET191" i="2"/>
  <c r="EW191" i="2" s="1"/>
  <c r="DY191" i="2"/>
  <c r="DA191" i="2"/>
  <c r="FB191" i="2"/>
  <c r="EU191" i="2"/>
  <c r="DZ191" i="2"/>
  <c r="DB191" i="2"/>
  <c r="FN191" i="2"/>
  <c r="FQ191" i="2" s="1"/>
  <c r="EH191" i="2"/>
  <c r="EQ191" i="2"/>
  <c r="ES191" i="2"/>
  <c r="EV191" i="2" s="1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A191" i="2"/>
  <c r="EB191" i="2"/>
  <c r="EC191" i="2"/>
  <c r="DH191" i="2"/>
  <c r="DG191" i="2"/>
  <c r="DF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GL192" i="2" s="1"/>
  <c r="HD192" i="2"/>
  <c r="HG192" i="2" s="1"/>
  <c r="GJ192" i="2"/>
  <c r="GM192" i="2" s="1"/>
  <c r="EH192" i="2"/>
  <c r="FM192" i="2"/>
  <c r="EG192" i="2"/>
  <c r="FN192" i="2"/>
  <c r="FQ192" i="2" s="1"/>
  <c r="FX192" i="2"/>
  <c r="FO192" i="2"/>
  <c r="FR192" i="2" s="1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DI191" i="2"/>
  <c r="EA192" i="2"/>
  <c r="EC192" i="2"/>
  <c r="AW192" i="2"/>
  <c r="DH192" i="2"/>
  <c r="DF192" i="2"/>
  <c r="DG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GL193" i="2" s="1"/>
  <c r="HD193" i="2"/>
  <c r="HG193" i="2" s="1"/>
  <c r="GJ193" i="2"/>
  <c r="GM193" i="2" s="1"/>
  <c r="HE193" i="2"/>
  <c r="HH193" i="2" s="1"/>
  <c r="GK193" i="2"/>
  <c r="FB193" i="2"/>
  <c r="EQ193" i="2"/>
  <c r="FO193" i="2"/>
  <c r="FR193" i="2" s="1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EW193" i="2" s="1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EV193" i="2" s="1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FR194" i="2" l="1"/>
  <c r="EA193" i="2"/>
  <c r="DH193" i="2"/>
  <c r="ED192" i="2"/>
  <c r="EC193" i="2"/>
  <c r="EB193" i="2"/>
  <c r="DI192" i="2"/>
  <c r="DF193" i="2"/>
  <c r="DG193" i="2"/>
  <c r="CN192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GL194" i="2" s="1"/>
  <c r="HD194" i="2"/>
  <c r="HG194" i="2" s="1"/>
  <c r="GJ194" i="2"/>
  <c r="GM194" i="2" s="1"/>
  <c r="HE194" i="2"/>
  <c r="HH194" i="2" s="1"/>
  <c r="GK194" i="2"/>
  <c r="HF194" i="2"/>
  <c r="FC194" i="2"/>
  <c r="ER194" i="2"/>
  <c r="ET194" i="2"/>
  <c r="EW194" i="2" s="1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EV194" i="2" s="1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DH194" i="2"/>
  <c r="CN193" i="2"/>
  <c r="FR195" i="2"/>
  <c r="EC194" i="2"/>
  <c r="EA194" i="2"/>
  <c r="AW194" i="2"/>
  <c r="DI193" i="2"/>
  <c r="DF194" i="2"/>
  <c r="DG194" i="2"/>
  <c r="CM194" i="2"/>
  <c r="AV194" i="2"/>
  <c r="AU194" i="2"/>
  <c r="BR194" i="2"/>
  <c r="BQ194" i="2"/>
  <c r="BP194" i="2"/>
  <c r="CL194" i="2"/>
  <c r="CK194" i="2"/>
  <c r="FT193" i="2"/>
  <c r="GO193" i="2"/>
  <c r="HJ193" i="2"/>
  <c r="EY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GM195" i="2" s="1"/>
  <c r="HE195" i="2"/>
  <c r="HH195" i="2" s="1"/>
  <c r="GK195" i="2"/>
  <c r="HF195" i="2"/>
  <c r="FW195" i="2"/>
  <c r="FL195" i="2"/>
  <c r="ES195" i="2"/>
  <c r="EV195" i="2" s="1"/>
  <c r="FB195" i="2"/>
  <c r="FC195" i="2"/>
  <c r="FM195" i="2"/>
  <c r="FO195" i="2"/>
  <c r="EQ195" i="2"/>
  <c r="GI195" i="2"/>
  <c r="GL195" i="2" s="1"/>
  <c r="FP195" i="2"/>
  <c r="ET195" i="2"/>
  <c r="EW195" i="2" s="1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A195" i="2"/>
  <c r="EB195" i="2"/>
  <c r="FR196" i="2"/>
  <c r="ED194" i="2"/>
  <c r="EC195" i="2"/>
  <c r="DF195" i="2"/>
  <c r="DG195" i="2"/>
  <c r="AU195" i="2"/>
  <c r="CN194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GL196" i="2" s="1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Q196" i="2" s="1"/>
  <c r="FO196" i="2"/>
  <c r="ES196" i="2"/>
  <c r="EV196" i="2" s="1"/>
  <c r="GJ196" i="2"/>
  <c r="GM196" i="2" s="1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EA196" i="2"/>
  <c r="EB196" i="2"/>
  <c r="FR197" i="2"/>
  <c r="DF196" i="2"/>
  <c r="EC196" i="2"/>
  <c r="DH196" i="2"/>
  <c r="DG196" i="2"/>
  <c r="DI196" i="2" s="1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GL197" i="2" s="1"/>
  <c r="HD197" i="2"/>
  <c r="HG197" i="2" s="1"/>
  <c r="GJ197" i="2"/>
  <c r="GM197" i="2" s="1"/>
  <c r="HE197" i="2"/>
  <c r="HH197" i="2" s="1"/>
  <c r="HF197" i="2"/>
  <c r="FW197" i="2"/>
  <c r="GR197" i="2"/>
  <c r="FX197" i="2"/>
  <c r="GS197" i="2"/>
  <c r="GG197" i="2"/>
  <c r="FN197" i="2"/>
  <c r="FQ197" i="2" s="1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EV197" i="2" s="1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D196" i="2" l="1"/>
  <c r="Z197" i="2"/>
  <c r="DF197" i="2"/>
  <c r="EA197" i="2"/>
  <c r="EB197" i="2"/>
  <c r="EC197" i="2"/>
  <c r="DH197" i="2"/>
  <c r="DG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GL198" i="2" s="1"/>
  <c r="HD198" i="2"/>
  <c r="HG198" i="2" s="1"/>
  <c r="GJ198" i="2"/>
  <c r="GM198" i="2" s="1"/>
  <c r="HE198" i="2"/>
  <c r="HH198" i="2" s="1"/>
  <c r="GK198" i="2"/>
  <c r="HF198" i="2"/>
  <c r="FW198" i="2"/>
  <c r="GR198" i="2"/>
  <c r="FX198" i="2"/>
  <c r="GS198" i="2"/>
  <c r="GG198" i="2"/>
  <c r="HB198" i="2"/>
  <c r="GH198" i="2"/>
  <c r="FO198" i="2"/>
  <c r="FR198" i="2" s="1"/>
  <c r="ES198" i="2"/>
  <c r="EV198" i="2" s="1"/>
  <c r="FB198" i="2"/>
  <c r="FL198" i="2"/>
  <c r="EG198" i="2"/>
  <c r="FM198" i="2"/>
  <c r="FN198" i="2"/>
  <c r="FQ198" i="2" s="1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AC197" i="2" l="1"/>
  <c r="ED197" i="2"/>
  <c r="Z198" i="2"/>
  <c r="EC198" i="2"/>
  <c r="EA198" i="2"/>
  <c r="EB198" i="2"/>
  <c r="AW198" i="2"/>
  <c r="DH198" i="2"/>
  <c r="DG198" i="2"/>
  <c r="DF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GM199" i="2" s="1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GL199" i="2" s="1"/>
  <c r="FP199" i="2"/>
  <c r="FW199" i="2"/>
  <c r="FB199" i="2"/>
  <c r="ET199" i="2"/>
  <c r="EW199" i="2" s="1"/>
  <c r="FC199" i="2"/>
  <c r="FL199" i="2"/>
  <c r="FN199" i="2"/>
  <c r="FQ199" i="2" s="1"/>
  <c r="EH199" i="2"/>
  <c r="FO199" i="2"/>
  <c r="FR199" i="2" s="1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AU199" i="2" l="1"/>
  <c r="DI198" i="2"/>
  <c r="EB199" i="2"/>
  <c r="EA199" i="2"/>
  <c r="EC199" i="2"/>
  <c r="DH199" i="2"/>
  <c r="DF199" i="2"/>
  <c r="DG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HH200" i="2" s="1"/>
  <c r="GK200" i="2"/>
  <c r="HF200" i="2"/>
  <c r="FW200" i="2"/>
  <c r="GR200" i="2"/>
  <c r="GS200" i="2"/>
  <c r="GG200" i="2"/>
  <c r="HB200" i="2"/>
  <c r="GH200" i="2"/>
  <c r="HC200" i="2"/>
  <c r="GI200" i="2"/>
  <c r="GL200" i="2" s="1"/>
  <c r="HD200" i="2"/>
  <c r="HG200" i="2" s="1"/>
  <c r="GJ200" i="2"/>
  <c r="GM200" i="2" s="1"/>
  <c r="FL200" i="2"/>
  <c r="EU200" i="2"/>
  <c r="FX200" i="2"/>
  <c r="FM200" i="2"/>
  <c r="FN200" i="2"/>
  <c r="FQ200" i="2" s="1"/>
  <c r="FP200" i="2"/>
  <c r="EQ200" i="2"/>
  <c r="FB200" i="2"/>
  <c r="ES200" i="2"/>
  <c r="EV200" i="2" s="1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FR200" i="2" s="1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EC200" i="2" l="1"/>
  <c r="EA200" i="2"/>
  <c r="EB200" i="2"/>
  <c r="DH200" i="2"/>
  <c r="DG200" i="2"/>
  <c r="DF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GL201" i="2" s="1"/>
  <c r="HD201" i="2"/>
  <c r="HG201" i="2" s="1"/>
  <c r="GJ201" i="2"/>
  <c r="GM201" i="2" s="1"/>
  <c r="HE201" i="2"/>
  <c r="HH201" i="2" s="1"/>
  <c r="GK201" i="2"/>
  <c r="FB201" i="2"/>
  <c r="FN201" i="2"/>
  <c r="FQ201" i="2" s="1"/>
  <c r="FO201" i="2"/>
  <c r="FR201" i="2" s="1"/>
  <c r="GG201" i="2"/>
  <c r="FP201" i="2"/>
  <c r="ER201" i="2"/>
  <c r="FC201" i="2"/>
  <c r="FL201" i="2"/>
  <c r="ET201" i="2"/>
  <c r="EW201" i="2" s="1"/>
  <c r="DY201" i="2"/>
  <c r="DC201" i="2"/>
  <c r="FM201" i="2"/>
  <c r="EU201" i="2"/>
  <c r="DZ201" i="2"/>
  <c r="DD201" i="2"/>
  <c r="EH201" i="2"/>
  <c r="DL201" i="2"/>
  <c r="EQ201" i="2"/>
  <c r="ES201" i="2"/>
  <c r="EV201" i="2" s="1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CM201" i="2" l="1"/>
  <c r="HH202" i="2"/>
  <c r="DH201" i="2"/>
  <c r="EC201" i="2"/>
  <c r="EA201" i="2"/>
  <c r="ED200" i="2"/>
  <c r="EB201" i="2"/>
  <c r="DI200" i="2"/>
  <c r="DG201" i="2"/>
  <c r="DF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GL202" i="2" s="1"/>
  <c r="HC202" i="2"/>
  <c r="GJ202" i="2"/>
  <c r="GM202" i="2" s="1"/>
  <c r="HD202" i="2"/>
  <c r="HG202" i="2" s="1"/>
  <c r="GK202" i="2"/>
  <c r="HE202" i="2"/>
  <c r="FC202" i="2"/>
  <c r="FP202" i="2"/>
  <c r="EG202" i="2"/>
  <c r="FL202" i="2"/>
  <c r="ES202" i="2"/>
  <c r="EV202" i="2" s="1"/>
  <c r="FM202" i="2"/>
  <c r="FN202" i="2"/>
  <c r="FQ202" i="2" s="1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EA202" i="2"/>
  <c r="HH203" i="2"/>
  <c r="CN201" i="2"/>
  <c r="EC202" i="2"/>
  <c r="EB202" i="2"/>
  <c r="DH202" i="2"/>
  <c r="DG202" i="2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GM203" i="2" s="1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GL203" i="2" s="1"/>
  <c r="FN203" i="2"/>
  <c r="FQ203" i="2" s="1"/>
  <c r="ET203" i="2"/>
  <c r="EW203" i="2" s="1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V203" i="2" s="1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40" i="2" s="1" a="1"/>
  <c r="AH140" i="2" s="1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BX29" i="2" a="1"/>
  <c r="BX29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CS77" i="2" a="1"/>
  <c r="CS77" i="2" s="1"/>
  <c r="BX8" i="2" a="1"/>
  <c r="BX8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BX50" i="2" a="1"/>
  <c r="BX50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HJ202" i="2"/>
  <c r="EY202" i="2"/>
  <c r="AX200" i="2"/>
  <c r="AH56" i="2" l="1" a="1"/>
  <c r="AH56" i="2" s="1"/>
  <c r="AH197" i="2" a="1"/>
  <c r="AH197" i="2" s="1"/>
  <c r="AH201" i="2" a="1"/>
  <c r="AH201" i="2" s="1"/>
  <c r="AH79" i="2" a="1"/>
  <c r="AH79" i="2" s="1"/>
  <c r="AH17" i="2" a="1"/>
  <c r="AH17" i="2" s="1"/>
  <c r="AH37" i="2" a="1"/>
  <c r="AH37" i="2" s="1"/>
  <c r="AH89" i="2" a="1"/>
  <c r="AH89" i="2" s="1"/>
  <c r="AH144" i="2" a="1"/>
  <c r="AH144" i="2" s="1"/>
  <c r="AH92" i="2" a="1"/>
  <c r="AH92" i="2" s="1"/>
  <c r="AH19" i="2" a="1"/>
  <c r="AH19" i="2" s="1"/>
  <c r="AH166" i="2" a="1"/>
  <c r="AH166" i="2" s="1"/>
  <c r="AH146" i="2" a="1"/>
  <c r="AH146" i="2" s="1"/>
  <c r="AH198" i="2" a="1"/>
  <c r="AH198" i="2" s="1"/>
  <c r="AH163" i="2" a="1"/>
  <c r="AH163" i="2" s="1"/>
  <c r="AH186" i="2" a="1"/>
  <c r="AH186" i="2" s="1"/>
  <c r="AH157" i="2" a="1"/>
  <c r="AH157" i="2" s="1"/>
  <c r="AH155" i="2" a="1"/>
  <c r="AH155" i="2" s="1"/>
  <c r="AH14" i="2" a="1"/>
  <c r="AH14" i="2" s="1"/>
  <c r="AH162" i="2" a="1"/>
  <c r="AH162" i="2" s="1"/>
  <c r="AH62" i="2" a="1"/>
  <c r="AH62" i="2" s="1"/>
  <c r="AH151" i="2" a="1"/>
  <c r="AH151" i="2" s="1"/>
  <c r="AH83" i="2" a="1"/>
  <c r="AH83" i="2" s="1"/>
  <c r="AH185" i="2" a="1"/>
  <c r="AH185" i="2" s="1"/>
  <c r="AH199" i="2" a="1"/>
  <c r="AH199" i="2" s="1"/>
  <c r="AH90" i="2" a="1"/>
  <c r="AH90" i="2" s="1"/>
  <c r="AH38" i="2" a="1"/>
  <c r="AH38" i="2" s="1"/>
  <c r="DN132" i="2" a="1"/>
  <c r="DN132" i="2" s="1"/>
  <c r="DN45" i="2" a="1"/>
  <c r="DN45" i="2" s="1"/>
  <c r="DN30" i="2" a="1"/>
  <c r="DN30" i="2" s="1"/>
  <c r="DN55" i="2" a="1"/>
  <c r="DN55" i="2" s="1"/>
  <c r="DN110" i="2" a="1"/>
  <c r="DN110" i="2" s="1"/>
  <c r="DN16" i="2" a="1"/>
  <c r="DN16" i="2" s="1"/>
  <c r="DN43" i="2" a="1"/>
  <c r="DN43" i="2" s="1"/>
  <c r="DN31" i="2" a="1"/>
  <c r="DN31" i="2" s="1"/>
  <c r="DN168" i="2" a="1"/>
  <c r="DN168" i="2" s="1"/>
  <c r="DN164" i="2" a="1"/>
  <c r="DN164" i="2" s="1"/>
  <c r="DN46" i="2" a="1"/>
  <c r="DN46" i="2" s="1"/>
  <c r="DN187" i="2" a="1"/>
  <c r="DN187" i="2" s="1"/>
  <c r="DN190" i="2" a="1"/>
  <c r="DN190" i="2" s="1"/>
  <c r="DN70" i="2" a="1"/>
  <c r="DN70" i="2" s="1"/>
  <c r="DN80" i="2" a="1"/>
  <c r="DN80" i="2" s="1"/>
  <c r="DN192" i="2" a="1"/>
  <c r="DN192" i="2" s="1"/>
  <c r="DN188" i="2" a="1"/>
  <c r="DN188" i="2" s="1"/>
  <c r="DN176" i="2" a="1"/>
  <c r="DN176" i="2" s="1"/>
  <c r="DN167" i="2" a="1"/>
  <c r="DN167" i="2" s="1"/>
  <c r="DN66" i="2" a="1"/>
  <c r="DN66" i="2" s="1"/>
  <c r="DN133" i="2" a="1"/>
  <c r="DN133" i="2" s="1"/>
  <c r="DN162" i="2" a="1"/>
  <c r="DN162" i="2" s="1"/>
  <c r="DN86" i="2" a="1"/>
  <c r="DN86" i="2" s="1"/>
  <c r="DN65" i="2" a="1"/>
  <c r="DN65" i="2" s="1"/>
  <c r="DN49" i="2" a="1"/>
  <c r="DN49" i="2" s="1"/>
  <c r="DN123" i="2" a="1"/>
  <c r="DN123" i="2" s="1"/>
  <c r="DN177" i="2" a="1"/>
  <c r="DN177" i="2" s="1"/>
  <c r="DN114" i="2" a="1"/>
  <c r="DN114" i="2" s="1"/>
  <c r="DN115" i="2" a="1"/>
  <c r="DN115" i="2" s="1"/>
  <c r="DN135" i="2" a="1"/>
  <c r="DN135" i="2" s="1"/>
  <c r="DN63" i="2" a="1"/>
  <c r="DN63" i="2" s="1"/>
  <c r="DN103" i="2" a="1"/>
  <c r="DN103" i="2" s="1"/>
  <c r="DN50" i="2" a="1"/>
  <c r="DN50" i="2" s="1"/>
  <c r="DN38" i="2" a="1"/>
  <c r="DN38" i="2" s="1"/>
  <c r="DN150" i="2" a="1"/>
  <c r="DN150" i="2" s="1"/>
  <c r="DN29" i="2" a="1"/>
  <c r="DN29" i="2" s="1"/>
  <c r="DN153" i="2" a="1"/>
  <c r="DN153" i="2" s="1"/>
  <c r="DN170" i="2" a="1"/>
  <c r="DN170" i="2" s="1"/>
  <c r="DN129" i="2" a="1"/>
  <c r="DN129" i="2" s="1"/>
  <c r="DN113" i="2" a="1"/>
  <c r="DN113" i="2" s="1"/>
  <c r="DN25" i="2" a="1"/>
  <c r="DN25" i="2" s="1"/>
  <c r="DN41" i="2" a="1"/>
  <c r="DN41" i="2" s="1"/>
  <c r="DN152" i="2" a="1"/>
  <c r="DN152" i="2" s="1"/>
  <c r="DN155" i="2" a="1"/>
  <c r="DN155" i="2" s="1"/>
  <c r="DN56" i="2" a="1"/>
  <c r="DN56" i="2" s="1"/>
  <c r="DN137" i="2" a="1"/>
  <c r="DN137" i="2" s="1"/>
  <c r="DN184" i="2" a="1"/>
  <c r="DN184" i="2" s="1"/>
  <c r="DN124" i="2" a="1"/>
  <c r="DN124" i="2" s="1"/>
  <c r="DN186" i="2" a="1"/>
  <c r="DN186" i="2" s="1"/>
  <c r="CM203" i="2"/>
  <c r="BC84" i="2" a="1"/>
  <c r="BC84" i="2" s="1"/>
  <c r="BC18" i="2" a="1"/>
  <c r="BC18" i="2" s="1"/>
  <c r="BC47" i="2" a="1"/>
  <c r="BC47" i="2" s="1"/>
  <c r="BC38" i="2" a="1"/>
  <c r="BC38" i="2" s="1"/>
  <c r="BC32" i="2" a="1"/>
  <c r="BC32" i="2" s="1"/>
  <c r="BC71" i="2" a="1"/>
  <c r="BC71" i="2" s="1"/>
  <c r="BC164" i="2" a="1"/>
  <c r="BC164" i="2" s="1"/>
  <c r="BC117" i="2" a="1"/>
  <c r="BC117" i="2" s="1"/>
  <c r="BC68" i="2" a="1"/>
  <c r="BC68" i="2" s="1"/>
  <c r="BC151" i="2" a="1"/>
  <c r="BC151" i="2" s="1"/>
  <c r="BC192" i="2" a="1"/>
  <c r="BC192" i="2" s="1"/>
  <c r="BC181" i="2" a="1"/>
  <c r="BC181" i="2" s="1"/>
  <c r="BC146" i="2" a="1"/>
  <c r="BC146" i="2" s="1"/>
  <c r="BC55" i="2" a="1"/>
  <c r="BC55" i="2" s="1"/>
  <c r="BC65" i="2" a="1"/>
  <c r="BC65" i="2" s="1"/>
  <c r="BC15" i="2" a="1"/>
  <c r="BC15" i="2" s="1"/>
  <c r="BC83" i="2" a="1"/>
  <c r="BC83" i="2" s="1"/>
  <c r="BC185" i="2" a="1"/>
  <c r="BC185" i="2" s="1"/>
  <c r="BC130" i="2" a="1"/>
  <c r="BC130" i="2" s="1"/>
  <c r="BC114" i="2" a="1"/>
  <c r="BC114" i="2" s="1"/>
  <c r="BC196" i="2" a="1"/>
  <c r="BC196" i="2" s="1"/>
  <c r="BC143" i="2" a="1"/>
  <c r="BC143" i="2" s="1"/>
  <c r="BC126" i="2" a="1"/>
  <c r="BC126" i="2" s="1"/>
  <c r="BC58" i="2" a="1"/>
  <c r="BC58" i="2" s="1"/>
  <c r="BC7" i="2" a="1"/>
  <c r="BC7" i="2" s="1"/>
  <c r="BD7" i="2" s="1"/>
  <c r="BC31" i="2" a="1"/>
  <c r="BC31" i="2" s="1"/>
  <c r="BC82" i="2" a="1"/>
  <c r="BC82" i="2" s="1"/>
  <c r="BC34" i="2" a="1"/>
  <c r="BC34" i="2" s="1"/>
  <c r="AH136" i="2" a="1"/>
  <c r="AH136" i="2" s="1"/>
  <c r="AH143" i="2" a="1"/>
  <c r="AH143" i="2" s="1"/>
  <c r="BQ203" i="2"/>
  <c r="DH203" i="2"/>
  <c r="EC203" i="2"/>
  <c r="EB203" i="2"/>
  <c r="EA203" i="2"/>
  <c r="BP203" i="2"/>
  <c r="DF203" i="2"/>
  <c r="DG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93" i="2" l="1"/>
  <c r="CY47" i="2"/>
  <c r="CY16" i="2"/>
  <c r="CY70" i="2"/>
  <c r="CY6" i="2"/>
  <c r="CY130" i="2"/>
  <c r="CY69" i="2"/>
  <c r="CY201" i="2"/>
  <c r="CY164" i="2"/>
  <c r="CY24" i="2"/>
  <c r="CY10" i="2"/>
  <c r="CY168" i="2"/>
  <c r="CY175" i="2"/>
  <c r="CY74" i="2"/>
  <c r="CY73" i="2"/>
  <c r="CY60" i="2"/>
  <c r="CY117" i="2"/>
  <c r="CY7" i="2"/>
  <c r="CY51" i="2"/>
  <c r="CY91" i="2"/>
  <c r="CY152" i="2"/>
  <c r="CY176" i="2"/>
  <c r="CY68" i="2"/>
  <c r="CY26" i="2"/>
  <c r="CY85" i="2"/>
  <c r="CY44" i="2"/>
  <c r="CY66" i="2"/>
  <c r="CY107" i="2"/>
  <c r="CY62" i="2"/>
  <c r="CY21" i="2"/>
  <c r="CY137" i="2"/>
  <c r="CY172" i="2"/>
  <c r="CY97" i="2"/>
  <c r="CY22" i="2"/>
  <c r="CY127" i="2"/>
  <c r="CY179" i="2"/>
  <c r="CY115" i="2"/>
  <c r="CY188" i="2"/>
  <c r="CY109" i="2"/>
  <c r="CY86" i="2"/>
  <c r="CY28" i="2"/>
  <c r="CY31" i="2"/>
  <c r="CY183" i="2"/>
  <c r="CY134" i="2"/>
  <c r="CY143" i="2"/>
  <c r="CY36" i="2"/>
  <c r="CY76" i="2"/>
  <c r="CY61" i="2"/>
  <c r="CY52" i="2"/>
  <c r="CY42" i="2"/>
  <c r="CY45" i="2"/>
  <c r="CY58" i="2"/>
  <c r="CY129" i="2"/>
  <c r="CY75" i="2"/>
  <c r="CY59" i="2"/>
  <c r="CY40" i="2"/>
  <c r="CY148" i="2"/>
  <c r="CY131" i="2"/>
  <c r="CY88" i="2"/>
  <c r="CY57" i="2"/>
  <c r="CY99" i="2"/>
  <c r="CY166" i="2"/>
  <c r="CY193" i="2"/>
  <c r="CY173" i="2"/>
  <c r="CY111" i="2"/>
  <c r="CY133" i="2"/>
  <c r="CY23" i="2"/>
  <c r="CY100" i="2"/>
  <c r="CY101" i="2"/>
  <c r="CY180" i="2"/>
  <c r="CY140" i="2"/>
  <c r="CY80" i="2"/>
  <c r="CY119" i="2"/>
  <c r="CY29" i="2"/>
  <c r="CY64" i="2"/>
  <c r="CY113" i="2"/>
  <c r="CY162" i="2"/>
  <c r="CY128" i="2"/>
  <c r="CY34" i="2"/>
  <c r="CY158" i="2"/>
  <c r="CY72" i="2"/>
  <c r="CY191" i="2"/>
  <c r="CY181" i="2"/>
  <c r="CY203" i="2"/>
  <c r="CY156" i="2"/>
  <c r="CY150" i="2"/>
  <c r="CY83" i="2"/>
  <c r="CY190" i="2"/>
  <c r="CY8" i="2"/>
  <c r="CY171" i="2"/>
  <c r="CY104" i="2"/>
  <c r="CY138" i="2"/>
  <c r="CY186" i="2"/>
  <c r="CY79" i="2"/>
  <c r="CY3" i="2"/>
  <c r="C10" i="4" s="1"/>
  <c r="E10" i="4" s="1"/>
  <c r="F10" i="4" s="1"/>
  <c r="G10" i="4" s="1"/>
  <c r="L10" i="4" s="1"/>
  <c r="CY170" i="2"/>
  <c r="CY165" i="2"/>
  <c r="CY163" i="2"/>
  <c r="CY132" i="2"/>
  <c r="CY112" i="2"/>
  <c r="CY139" i="2"/>
  <c r="CY200" i="2"/>
  <c r="CY147" i="2"/>
  <c r="CY39" i="2"/>
  <c r="CY199" i="2"/>
  <c r="CY56" i="2"/>
  <c r="CY102" i="2"/>
  <c r="CY108" i="2"/>
  <c r="CY142" i="2"/>
  <c r="CY161" i="2"/>
  <c r="CY151" i="2"/>
  <c r="CY18" i="2"/>
  <c r="CY15" i="2"/>
  <c r="CY98" i="2"/>
  <c r="CY106" i="2"/>
  <c r="CY178" i="2"/>
  <c r="CY146" i="2"/>
  <c r="CY177" i="2"/>
  <c r="CY84" i="2"/>
  <c r="CY154" i="2"/>
  <c r="CY92" i="2"/>
  <c r="CY25" i="2"/>
  <c r="CY196" i="2"/>
  <c r="CY185" i="2"/>
  <c r="CY118" i="2"/>
  <c r="CY155" i="2"/>
  <c r="CY124" i="2"/>
  <c r="CY65" i="2"/>
  <c r="CY103" i="2"/>
  <c r="CY87" i="2"/>
  <c r="CY55" i="2"/>
  <c r="CY135" i="2"/>
  <c r="CY197" i="2"/>
  <c r="CY13" i="2"/>
  <c r="CY153" i="2"/>
  <c r="CY94" i="2"/>
  <c r="CY48" i="2"/>
  <c r="CY189" i="2"/>
  <c r="CY160" i="2"/>
  <c r="CY27" i="2"/>
  <c r="CY149" i="2"/>
  <c r="CY30" i="2"/>
  <c r="CY81" i="2"/>
  <c r="CY78" i="2"/>
  <c r="CY159" i="2"/>
  <c r="CY14" i="2"/>
  <c r="CY4" i="2"/>
  <c r="CY121" i="2"/>
  <c r="CY192" i="2"/>
  <c r="CY54" i="2"/>
  <c r="CY9" i="2"/>
  <c r="CY198" i="2"/>
  <c r="CY202" i="2"/>
  <c r="CY96" i="2"/>
  <c r="CY195" i="2"/>
  <c r="CY43" i="2"/>
  <c r="CY46" i="2"/>
  <c r="CY184" i="2"/>
  <c r="CY63" i="2"/>
  <c r="CY126" i="2"/>
  <c r="CY123" i="2"/>
  <c r="CY5" i="2"/>
  <c r="CY145" i="2"/>
  <c r="CY35" i="2"/>
  <c r="CY95" i="2"/>
  <c r="CY90" i="2"/>
  <c r="CY110" i="2"/>
  <c r="CY169" i="2"/>
  <c r="CY120" i="2"/>
  <c r="CY114" i="2"/>
  <c r="CY182" i="2"/>
  <c r="CY41" i="2"/>
  <c r="CY89" i="2"/>
  <c r="CY32" i="2"/>
  <c r="CY11" i="2"/>
  <c r="CY167" i="2"/>
  <c r="CY194" i="2"/>
  <c r="CY71" i="2"/>
  <c r="CY67" i="2"/>
  <c r="CY38" i="2"/>
  <c r="CY157" i="2"/>
  <c r="CY105" i="2"/>
  <c r="CY141" i="2"/>
  <c r="CY37" i="2"/>
  <c r="CY17" i="2"/>
  <c r="CY19" i="2"/>
  <c r="CY187" i="2"/>
  <c r="CY53" i="2"/>
  <c r="CY50" i="2"/>
  <c r="CY82" i="2"/>
  <c r="CY33" i="2"/>
  <c r="CY122" i="2"/>
  <c r="CY116" i="2"/>
  <c r="CY125" i="2"/>
  <c r="CY12" i="2"/>
  <c r="CY20" i="2"/>
  <c r="CY77" i="2"/>
  <c r="CY49" i="2"/>
  <c r="CY136" i="2"/>
  <c r="CY144" i="2"/>
  <c r="CY174" i="2"/>
  <c r="CD60" i="2"/>
  <c r="CD158" i="2"/>
  <c r="CD53" i="2"/>
  <c r="CD101" i="2"/>
  <c r="CD150" i="2"/>
  <c r="CD119" i="2"/>
  <c r="CD65" i="2"/>
  <c r="CD97" i="2"/>
  <c r="CD52" i="2"/>
  <c r="CD151" i="2"/>
  <c r="CD177" i="2"/>
  <c r="CD43" i="2"/>
  <c r="CD61" i="2"/>
  <c r="CD18" i="2"/>
  <c r="CD168" i="2"/>
  <c r="CD22" i="2"/>
  <c r="CD133" i="2"/>
  <c r="CD10" i="2"/>
  <c r="CD176" i="2"/>
  <c r="CD29" i="2"/>
  <c r="CD120" i="2"/>
  <c r="CD121" i="2"/>
  <c r="CD169" i="2"/>
  <c r="CD106" i="2"/>
  <c r="CD163" i="2"/>
  <c r="CD155" i="2"/>
  <c r="CD44" i="2"/>
  <c r="CD138" i="2"/>
  <c r="CD123" i="2"/>
  <c r="CD201" i="2"/>
  <c r="CD14" i="2"/>
  <c r="CD75" i="2"/>
  <c r="CD70" i="2"/>
  <c r="CD90" i="2"/>
  <c r="CD183" i="2"/>
  <c r="CD186" i="2"/>
  <c r="CD113" i="2"/>
  <c r="CD41" i="2"/>
  <c r="CD81" i="2"/>
  <c r="CD99" i="2"/>
  <c r="CD170" i="2"/>
  <c r="CD98" i="2"/>
  <c r="CD172" i="2"/>
  <c r="CD132" i="2"/>
  <c r="CD145" i="2"/>
  <c r="CD109" i="2"/>
  <c r="CD33" i="2"/>
  <c r="CD185" i="2"/>
  <c r="CD76" i="2"/>
  <c r="CD20" i="2"/>
  <c r="CD112" i="2"/>
  <c r="CD87" i="2"/>
  <c r="CD181" i="2"/>
  <c r="CD157" i="2"/>
  <c r="CD124" i="2"/>
  <c r="CD47" i="2"/>
  <c r="CD35" i="2"/>
  <c r="CD152" i="2"/>
  <c r="CD182" i="2"/>
  <c r="CD104" i="2"/>
  <c r="CD15" i="2"/>
  <c r="CD128" i="2"/>
  <c r="CD200" i="2"/>
  <c r="CD139" i="2"/>
  <c r="CD92" i="2"/>
  <c r="CD114" i="2"/>
  <c r="CD191" i="2"/>
  <c r="CD39" i="2"/>
  <c r="CD66" i="2"/>
  <c r="CD40" i="2"/>
  <c r="CD78" i="2"/>
  <c r="CD79" i="2"/>
  <c r="CD93" i="2"/>
  <c r="CD136" i="2"/>
  <c r="CD74" i="2"/>
  <c r="CD34" i="2"/>
  <c r="CD154" i="2"/>
  <c r="CD129" i="2"/>
  <c r="CD13" i="2"/>
  <c r="CD8" i="2"/>
  <c r="CD46" i="2"/>
  <c r="CD23" i="2"/>
  <c r="CD173" i="2"/>
  <c r="CD141" i="2"/>
  <c r="CD164" i="2"/>
  <c r="CD142" i="2"/>
  <c r="CD12" i="2"/>
  <c r="CD36" i="2"/>
  <c r="CD64" i="2"/>
  <c r="CD54" i="2"/>
  <c r="CD160" i="2"/>
  <c r="CD38" i="2"/>
  <c r="CD7" i="2"/>
  <c r="CD147" i="2"/>
  <c r="CD162" i="2"/>
  <c r="CD187" i="2"/>
  <c r="CD198" i="2"/>
  <c r="CD108" i="2"/>
  <c r="CD68" i="2"/>
  <c r="CD131" i="2"/>
  <c r="CD122" i="2"/>
  <c r="CD80" i="2"/>
  <c r="CD6" i="2"/>
  <c r="CD71" i="2"/>
  <c r="CD96" i="2"/>
  <c r="CD171" i="2"/>
  <c r="CD125" i="2"/>
  <c r="CD134" i="2"/>
  <c r="CD25" i="2"/>
  <c r="CD11" i="2"/>
  <c r="CD100" i="2"/>
  <c r="CD27" i="2"/>
  <c r="CD28" i="2"/>
  <c r="CD62" i="2"/>
  <c r="CD130" i="2"/>
  <c r="CD69" i="2"/>
  <c r="CD126" i="2"/>
  <c r="CD159" i="2"/>
  <c r="CD17" i="2"/>
  <c r="CD73" i="2"/>
  <c r="CD116" i="2"/>
  <c r="CD161" i="2"/>
  <c r="CD144" i="2"/>
  <c r="CD166" i="2"/>
  <c r="CD5" i="2"/>
  <c r="CD32" i="2"/>
  <c r="CD50" i="2"/>
  <c r="CD59" i="2"/>
  <c r="CD55" i="2"/>
  <c r="CD85" i="2"/>
  <c r="CD56" i="2"/>
  <c r="CD179" i="2"/>
  <c r="CD95" i="2"/>
  <c r="CD156" i="2"/>
  <c r="CD195" i="2"/>
  <c r="CD67" i="2"/>
  <c r="CD143" i="2"/>
  <c r="CD180" i="2"/>
  <c r="CD115" i="2"/>
  <c r="CD58" i="2"/>
  <c r="CD83" i="2"/>
  <c r="CD45" i="2"/>
  <c r="CD4" i="2"/>
  <c r="CD82" i="2"/>
  <c r="CD196" i="2"/>
  <c r="CD167" i="2"/>
  <c r="CD193" i="2"/>
  <c r="CD91" i="2"/>
  <c r="CD165" i="2"/>
  <c r="CD118" i="2"/>
  <c r="CD110" i="2"/>
  <c r="CD77" i="2"/>
  <c r="CD16" i="2"/>
  <c r="CD135" i="2"/>
  <c r="CD63" i="2"/>
  <c r="CD102" i="2"/>
  <c r="CD107" i="2"/>
  <c r="CD117" i="2"/>
  <c r="CD111" i="2"/>
  <c r="CD105" i="2"/>
  <c r="CD188" i="2"/>
  <c r="CD199" i="2"/>
  <c r="CD202" i="2"/>
  <c r="CD190" i="2"/>
  <c r="CD175" i="2"/>
  <c r="CD153" i="2"/>
  <c r="CD189" i="2"/>
  <c r="CD149" i="2"/>
  <c r="CD192" i="2"/>
  <c r="CD146" i="2"/>
  <c r="CD174" i="2"/>
  <c r="CD37" i="2"/>
  <c r="CD94" i="2"/>
  <c r="CD19" i="2"/>
  <c r="CD48" i="2"/>
  <c r="CD103" i="2"/>
  <c r="CD30" i="2"/>
  <c r="CD31" i="2"/>
  <c r="CD88" i="2"/>
  <c r="CD86" i="2"/>
  <c r="CD140" i="2"/>
  <c r="CD51" i="2"/>
  <c r="CD127" i="2"/>
  <c r="CD42" i="2"/>
  <c r="CD9" i="2"/>
  <c r="CD3" i="2"/>
  <c r="C9" i="4" s="1"/>
  <c r="E9" i="4" s="1"/>
  <c r="F9" i="4" s="1"/>
  <c r="G9" i="4" s="1"/>
  <c r="L9" i="4" s="1"/>
  <c r="CD57" i="2"/>
  <c r="CD194" i="2"/>
  <c r="CD49" i="2"/>
  <c r="CD137" i="2"/>
  <c r="CD84" i="2"/>
  <c r="CD24" i="2"/>
  <c r="CD26" i="2"/>
  <c r="CD21" i="2"/>
  <c r="CD148" i="2"/>
  <c r="CD178" i="2"/>
  <c r="CD72" i="2"/>
  <c r="CD197" i="2"/>
  <c r="CD203" i="2"/>
  <c r="CD89" i="2"/>
  <c r="CD18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22" i="2"/>
  <c r="BI101" i="2"/>
  <c r="BI80" i="2"/>
  <c r="BI8" i="2"/>
  <c r="BI123" i="2"/>
  <c r="BI169" i="2"/>
  <c r="BI46" i="2"/>
  <c r="BI179" i="2"/>
  <c r="BI130" i="2"/>
  <c r="BI12" i="2"/>
  <c r="BI83" i="2"/>
  <c r="BI99" i="2"/>
  <c r="BI192" i="2"/>
  <c r="BI3" i="2"/>
  <c r="C8" i="4" s="1"/>
  <c r="E8" i="4" s="1"/>
  <c r="F8" i="4" s="1"/>
  <c r="G8" i="4" s="1"/>
  <c r="L8" i="4" s="1"/>
  <c r="BI15" i="2"/>
  <c r="BI127" i="2"/>
  <c r="BI69" i="2"/>
  <c r="BI105" i="2"/>
  <c r="BI183" i="2"/>
  <c r="BI174" i="2"/>
  <c r="BI4" i="2"/>
  <c r="BI65" i="2"/>
  <c r="BI149" i="2"/>
  <c r="BI41" i="2"/>
  <c r="BI91" i="2"/>
  <c r="BI116" i="2"/>
  <c r="BI32" i="2"/>
  <c r="BI97" i="2"/>
  <c r="BI203" i="2"/>
  <c r="BI112" i="2"/>
  <c r="BI175" i="2"/>
  <c r="BI49" i="2"/>
  <c r="BI193" i="2"/>
  <c r="BI25" i="2"/>
  <c r="BI42" i="2"/>
  <c r="BI100" i="2"/>
  <c r="BI109" i="2"/>
  <c r="BI94" i="2"/>
  <c r="BI139" i="2"/>
  <c r="BI117" i="2"/>
  <c r="BI61" i="2"/>
  <c r="BI84" i="2"/>
  <c r="BI119" i="2"/>
  <c r="BI74" i="2"/>
  <c r="BI126" i="2"/>
  <c r="BI150" i="2"/>
  <c r="BI111" i="2"/>
  <c r="BI147" i="2"/>
  <c r="BI7" i="2"/>
  <c r="BI200" i="2"/>
  <c r="BI36" i="2"/>
  <c r="BI11" i="2"/>
  <c r="BI48" i="2"/>
  <c r="BI159" i="2"/>
  <c r="BI129" i="2"/>
  <c r="BI31" i="2"/>
  <c r="BI90" i="2"/>
  <c r="BI178" i="2"/>
  <c r="BI66" i="2"/>
  <c r="BI181" i="2"/>
  <c r="BI113" i="2"/>
  <c r="BI26" i="2"/>
  <c r="BI133" i="2"/>
  <c r="BI93" i="2"/>
  <c r="BI189" i="2"/>
  <c r="BI148" i="2"/>
  <c r="BI52" i="2"/>
  <c r="BI168" i="2"/>
  <c r="BI146" i="2"/>
  <c r="BI64" i="2"/>
  <c r="BI6" i="2"/>
  <c r="BI88" i="2"/>
  <c r="BI128" i="2"/>
  <c r="BI43" i="2"/>
  <c r="BI110" i="2"/>
  <c r="BI45" i="2"/>
  <c r="BI106" i="2"/>
  <c r="BI87" i="2"/>
  <c r="BI73" i="2"/>
  <c r="BI141" i="2"/>
  <c r="BI71" i="2"/>
  <c r="BI132" i="2"/>
  <c r="BI196" i="2"/>
  <c r="BI38" i="2"/>
  <c r="BI24" i="2"/>
  <c r="BI78" i="2"/>
  <c r="BI68" i="2"/>
  <c r="BI62" i="2"/>
  <c r="BI56" i="2"/>
  <c r="BI51" i="2"/>
  <c r="BI108" i="2"/>
  <c r="BI53" i="2"/>
  <c r="BI166" i="2"/>
  <c r="BI23" i="2"/>
  <c r="BI165" i="2"/>
  <c r="BI77" i="2"/>
  <c r="BI34" i="2"/>
  <c r="BI164" i="2"/>
  <c r="BI142" i="2"/>
  <c r="BI55" i="2"/>
  <c r="BI160" i="2"/>
  <c r="BI89" i="2"/>
  <c r="BI157" i="2"/>
  <c r="BI154" i="2"/>
  <c r="BI182" i="2"/>
  <c r="BI21" i="2"/>
  <c r="BI75" i="2"/>
  <c r="BI70" i="2"/>
  <c r="BI162" i="2"/>
  <c r="BI134" i="2"/>
  <c r="BI138" i="2"/>
  <c r="BI104" i="2"/>
  <c r="BI115" i="2"/>
  <c r="BI82" i="2"/>
  <c r="BI114" i="2"/>
  <c r="BI161" i="2"/>
  <c r="BI199" i="2"/>
  <c r="BI103" i="2"/>
  <c r="BI195" i="2"/>
  <c r="BI171" i="2"/>
  <c r="BI107" i="2"/>
  <c r="BI187" i="2"/>
  <c r="BI177" i="2"/>
  <c r="BI153" i="2"/>
  <c r="BI17" i="2"/>
  <c r="BI184" i="2"/>
  <c r="BI194" i="2"/>
  <c r="BI63" i="2"/>
  <c r="BI28" i="2"/>
  <c r="BI140" i="2"/>
  <c r="BI131" i="2"/>
  <c r="BI143" i="2"/>
  <c r="BI121" i="2"/>
  <c r="BI167" i="2"/>
  <c r="BI158" i="2"/>
  <c r="BI188" i="2"/>
  <c r="BI33" i="2"/>
  <c r="BI60" i="2"/>
  <c r="BI5" i="2"/>
  <c r="BI122" i="2"/>
  <c r="BI16" i="2"/>
  <c r="BI152" i="2"/>
  <c r="BI81" i="2"/>
  <c r="BI186" i="2"/>
  <c r="BI172" i="2"/>
  <c r="BI201" i="2"/>
  <c r="BI197" i="2"/>
  <c r="BI72" i="2"/>
  <c r="BI144" i="2"/>
  <c r="BI57" i="2"/>
  <c r="BI27" i="2"/>
  <c r="BI18" i="2"/>
  <c r="BI155" i="2"/>
  <c r="BI9" i="2"/>
  <c r="BI180" i="2"/>
  <c r="BI185" i="2"/>
  <c r="BI44" i="2"/>
  <c r="BI40" i="2"/>
  <c r="BI163" i="2"/>
  <c r="BI14" i="2"/>
  <c r="BI19" i="2"/>
  <c r="BI92" i="2"/>
  <c r="BI137" i="2"/>
  <c r="BI124" i="2"/>
  <c r="BI136" i="2"/>
  <c r="BI151" i="2"/>
  <c r="BI125" i="2"/>
  <c r="BI29" i="2"/>
  <c r="BI176" i="2"/>
  <c r="BI37" i="2"/>
  <c r="BI10" i="2"/>
  <c r="BI95" i="2"/>
  <c r="BI30" i="2"/>
  <c r="BI13" i="2"/>
  <c r="BI58" i="2"/>
  <c r="BI156" i="2"/>
  <c r="BI79" i="2"/>
  <c r="BI59" i="2"/>
  <c r="BI170" i="2"/>
  <c r="BI98" i="2"/>
  <c r="BI202" i="2"/>
  <c r="BI135" i="2"/>
  <c r="BI35" i="2"/>
  <c r="BI54" i="2"/>
  <c r="BI102" i="2"/>
  <c r="BI50" i="2"/>
  <c r="BI118" i="2"/>
  <c r="BI190" i="2"/>
  <c r="BI198" i="2"/>
  <c r="BI96" i="2"/>
  <c r="BI86" i="2"/>
  <c r="BI85" i="2"/>
  <c r="BI191" i="2"/>
  <c r="BI67" i="2"/>
  <c r="BI173" i="2"/>
  <c r="BI76" i="2"/>
  <c r="BI145" i="2"/>
  <c r="BI39" i="2"/>
  <c r="BI120" i="2"/>
  <c r="BI2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<sst xmlns="http://schemas.openxmlformats.org/spreadsheetml/2006/main" count="1002" uniqueCount="314">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</sst>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6.6671761608511053</c:v>
                </c:pt>
                <c:pt idx="2">
                  <c:v>13.033663283069531</c:v>
                </c:pt>
                <c:pt idx="3">
                  <c:v>19.303042939455146</c:v>
                </c:pt>
                <c:pt idx="4">
                  <c:v>25.512563294459923</c:v>
                </c:pt>
                <c:pt idx="5">
                  <c:v>31.679106437289075</c:v>
                </c:pt>
                <c:pt idx="6">
                  <c:v>37.812302616472174</c:v>
                </c:pt>
                <c:pt idx="7">
                  <c:v>43.918360080877228</c:v>
                </c:pt>
                <c:pt idx="8">
                  <c:v>50.00160312094232</c:v>
                </c:pt>
                <c:pt idx="9">
                  <c:v>56.06521014514886</c:v>
                </c:pt>
                <c:pt idx="10">
                  <c:v>62.111611813038422</c:v>
                </c:pt>
                <c:pt idx="11">
                  <c:v>68.14272452108996</c:v>
                </c:pt>
                <c:pt idx="12">
                  <c:v>74.160096244932106</c:v>
                </c:pt>
                <c:pt idx="13">
                  <c:v>80.165002252238452</c:v>
                </c:pt>
                <c:pt idx="14">
                  <c:v>86.158510470515978</c:v>
                </c:pt>
                <c:pt idx="15">
                  <c:v>92.141527621369264</c:v>
                </c:pt>
                <c:pt idx="16">
                  <c:v>98.114832690532054</c:v>
                </c:pt>
                <c:pt idx="17">
                  <c:v>104.07910178696937</c:v>
                </c:pt>
                <c:pt idx="18">
                  <c:v>110.03492698401654</c:v>
                </c:pt>
                <c:pt idx="19">
                  <c:v>115.98283085356282</c:v>
                </c:pt>
                <c:pt idx="20">
                  <c:v>121.9232778531174</c:v>
                </c:pt>
                <c:pt idx="21">
                  <c:v>127.85668337074144</c:v>
                </c:pt>
                <c:pt idx="22">
                  <c:v>133.78342099832221</c:v>
                </c:pt>
                <c:pt idx="23">
                  <c:v>139.70382844505221</c:v>
                </c:pt>
                <c:pt idx="24">
                  <c:v>145.61821239345747</c:v>
                </c:pt>
                <c:pt idx="25">
                  <c:v>151.52685252328283</c:v>
                </c:pt>
                <c:pt idx="26">
                  <c:v>157.43000487343213</c:v>
                </c:pt>
                <c:pt idx="27">
                  <c:v>163.32790467213928</c:v>
                </c:pt>
                <c:pt idx="28">
                  <c:v>169.22076873606747</c:v>
                </c:pt>
                <c:pt idx="29">
                  <c:v>175.1087975170492</c:v>
                </c:pt>
                <c:pt idx="30">
                  <c:v>180.99217685858619</c:v>
                </c:pt>
                <c:pt idx="31">
                  <c:v>186.87107951156952</c:v>
                </c:pt>
                <c:pt idx="32">
                  <c:v>192.74566644892982</c:v>
                </c:pt>
                <c:pt idx="33">
                  <c:v>198.6160880113396</c:v>
                </c:pt>
                <c:pt idx="34">
                  <c:v>204.48248491014036</c:v>
                </c:pt>
                <c:pt idx="35">
                  <c:v>210.34498910896306</c:v>
                </c:pt>
                <c:pt idx="36">
                  <c:v>216.20372460175972</c:v>
                </c:pt>
                <c:pt idx="37">
                  <c:v>222.0588081019574</c:v>
                </c:pt>
                <c:pt idx="38">
                  <c:v>227.91034965501251</c:v>
                </c:pt>
                <c:pt idx="39">
                  <c:v>233.75845318467347</c:v>
                </c:pt>
                <c:pt idx="40">
                  <c:v>239.60321698163875</c:v>
                </c:pt>
                <c:pt idx="41">
                  <c:v>245.44473414197429</c:v>
                </c:pt>
                <c:pt idx="42">
                  <c:v>251.28309296155342</c:v>
                </c:pt>
                <c:pt idx="43">
                  <c:v>206.19277841884386</c:v>
                </c:pt>
                <c:pt idx="44">
                  <c:v>219.61962659237349</c:v>
                </c:pt>
                <c:pt idx="45">
                  <c:v>233.02762484918864</c:v>
                </c:pt>
                <c:pt idx="46">
                  <c:v>246.4180109567441</c:v>
                </c:pt>
                <c:pt idx="47">
                  <c:v>259.79187709109505</c:v>
                </c:pt>
                <c:pt idx="48">
                  <c:v>273.15019373627206</c:v>
                </c:pt>
                <c:pt idx="49">
                  <c:v>286.49382865897542</c:v>
                </c:pt>
                <c:pt idx="50">
                  <c:v>299.82356216018104</c:v>
                </c:pt>
                <c:pt idx="51">
                  <c:v>247.14791123904374</c:v>
                </c:pt>
                <c:pt idx="52">
                  <c:v>262.46475523789366</c:v>
                </c:pt>
                <c:pt idx="53">
                  <c:v>277.7614316906799</c:v>
                </c:pt>
                <c:pt idx="54">
                  <c:v>293.03920769154757</c:v>
                </c:pt>
                <c:pt idx="55">
                  <c:v>308.29920739322205</c:v>
                </c:pt>
                <c:pt idx="56">
                  <c:v>323.54243455894931</c:v>
                </c:pt>
                <c:pt idx="57">
                  <c:v>338.76979063952757</c:v>
                </c:pt>
                <c:pt idx="58">
                  <c:v>353.98208942867717</c:v>
                </c:pt>
                <c:pt idx="59">
                  <c:v>282.12838753854095</c:v>
                </c:pt>
                <c:pt idx="60">
                  <c:v>295.46258953205654</c:v>
                </c:pt>
                <c:pt idx="61">
                  <c:v>308.78337213189684</c:v>
                </c:pt>
                <c:pt idx="62">
                  <c:v>322.09139590753097</c:v>
                </c:pt>
                <c:pt idx="63">
                  <c:v>335.38726237234994</c:v>
                </c:pt>
                <c:pt idx="64">
                  <c:v>348.67152144488006</c:v>
                </c:pt>
                <c:pt idx="65">
                  <c:v>361.94467771307944</c:v>
                </c:pt>
                <c:pt idx="66">
                  <c:v>375.20719573147318</c:v>
                </c:pt>
                <c:pt idx="67">
                  <c:v>313.81231365909514</c:v>
                </c:pt>
                <c:pt idx="68">
                  <c:v>325.85305120964671</c:v>
                </c:pt>
                <c:pt idx="69">
                  <c:v>337.88396256607001</c:v>
                </c:pt>
                <c:pt idx="70">
                  <c:v>349.90544700744005</c:v>
                </c:pt>
                <c:pt idx="71">
                  <c:v>361.91787413013094</c:v>
                </c:pt>
                <c:pt idx="72">
                  <c:v>373.92158698739087</c:v>
                </c:pt>
                <c:pt idx="73">
                  <c:v>385.91690480461148</c:v>
                </c:pt>
                <c:pt idx="74">
                  <c:v>397.9041253393072</c:v>
                </c:pt>
                <c:pt idx="75">
                  <c:v>409.88352694182055</c:v>
                </c:pt>
                <c:pt idx="76">
                  <c:v>349.90544700744005</c:v>
                </c:pt>
                <c:pt idx="77">
                  <c:v>361.27457510831573</c:v>
                </c:pt>
                <c:pt idx="78">
                  <c:v>372.63588189193911</c:v>
                </c:pt>
                <c:pt idx="79">
                  <c:v>383.98963949827368</c:v>
                </c:pt>
                <c:pt idx="80">
                  <c:v>395.33610265659195</c:v>
                </c:pt>
                <c:pt idx="81">
                  <c:v>406.6755102777567</c:v>
                </c:pt>
                <c:pt idx="82">
                  <c:v>418.00808685961556</c:v>
                </c:pt>
                <c:pt idx="83">
                  <c:v>429.33404373201734</c:v>
                </c:pt>
                <c:pt idx="84">
                  <c:v>440.653580163588</c:v>
                </c:pt>
                <c:pt idx="85">
                  <c:v>382.49051003700242</c:v>
                </c:pt>
                <c:pt idx="86">
                  <c:v>393.6238867924597</c:v>
                </c:pt>
                <c:pt idx="87">
                  <c:v>404.75043799588434</c:v>
                </c:pt>
                <c:pt idx="88">
                  <c:v>415.87037777065296</c:v>
                </c:pt>
                <c:pt idx="89">
                  <c:v>426.98390785263581</c:v>
                </c:pt>
                <c:pt idx="90">
                  <c:v>438.09121861749276</c:v>
                </c:pt>
                <c:pt idx="91">
                  <c:v>449.19248999834218</c:v>
                </c:pt>
                <c:pt idx="92">
                  <c:v>460.28789230798048</c:v>
                </c:pt>
                <c:pt idx="93">
                  <c:v>471.37758697768658</c:v>
                </c:pt>
                <c:pt idx="94">
                  <c:v>416.81099888731961</c:v>
                </c:pt>
                <c:pt idx="95">
                  <c:v>427.58215058986383</c:v>
                </c:pt>
                <c:pt idx="96">
                  <c:v>438.34746920790479</c:v>
                </c:pt>
                <c:pt idx="97">
                  <c:v>449.10711821530072</c:v>
                </c:pt>
                <c:pt idx="98">
                  <c:v>459.86125261266926</c:v>
                </c:pt>
                <c:pt idx="99">
                  <c:v>470.61001955868886</c:v>
                </c:pt>
                <c:pt idx="100">
                  <c:v>481.35355894071859</c:v>
                </c:pt>
                <c:pt idx="101">
                  <c:v>492.09200389181893</c:v>
                </c:pt>
                <c:pt idx="102">
                  <c:v>502.82548126029491</c:v>
                </c:pt>
                <c:pt idx="103">
                  <c:v>513.5541120370591</c:v>
                </c:pt>
                <c:pt idx="104">
                  <c:v>452.18028418105376</c:v>
                </c:pt>
                <c:pt idx="105">
                  <c:v>463.70070669781393</c:v>
                </c:pt>
                <c:pt idx="106">
                  <c:v>475.21502577729035</c:v>
                </c:pt>
                <c:pt idx="107">
                  <c:v>486.72341015001911</c:v>
                </c:pt>
                <c:pt idx="108">
                  <c:v>498.22601991660639</c:v>
                </c:pt>
                <c:pt idx="109">
                  <c:v>509.72300718239165</c:v>
                </c:pt>
                <c:pt idx="110">
                  <c:v>521.21451663187668</c:v>
                </c:pt>
                <c:pt idx="111">
                  <c:v>532.7006860498642</c:v>
                </c:pt>
                <c:pt idx="112">
                  <c:v>544.18164679531822</c:v>
                </c:pt>
                <c:pt idx="113">
                  <c:v>555.65752423315928</c:v>
                </c:pt>
                <c:pt idx="114">
                  <c:v>487.5452147923707</c:v>
                </c:pt>
                <c:pt idx="115">
                  <c:v>499.86878745120976</c:v>
                </c:pt>
                <c:pt idx="116">
                  <c:v>512.18592983914311</c:v>
                </c:pt>
                <c:pt idx="117">
                  <c:v>524.49681836276193</c:v>
                </c:pt>
                <c:pt idx="118">
                  <c:v>536.80162047347574</c:v>
                </c:pt>
                <c:pt idx="119">
                  <c:v>549.10049532129403</c:v>
                </c:pt>
                <c:pt idx="120">
                  <c:v>561.39359434700032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571.82417393375295</c:v>
                </c:pt>
                <c:pt idx="68">
                  <c:v>587.6080645332213</c:v>
                </c:pt>
                <c:pt idx="69">
                  <c:v>603.38312637462866</c:v>
                </c:pt>
                <c:pt idx="70">
                  <c:v>619.14962265257498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5.1792735434054586</c:v>
                </c:pt>
                <c:pt idx="2">
                  <c:v>10.119889200386526</c:v>
                </c:pt>
                <c:pt idx="3">
                  <c:v>14.983430339929001</c:v>
                </c:pt>
                <c:pt idx="4">
                  <c:v>19.799460953596135</c:v>
                </c:pt>
                <c:pt idx="5">
                  <c:v>24.581380411536106</c:v>
                </c:pt>
                <c:pt idx="6">
                  <c:v>29.336832273920795</c:v>
                </c:pt>
                <c:pt idx="7">
                  <c:v>34.070744048450408</c:v>
                </c:pt>
                <c:pt idx="8">
                  <c:v>38.786547938776067</c:v>
                </c:pt>
                <c:pt idx="9">
                  <c:v>43.486766658242459</c:v>
                </c:pt>
                <c:pt idx="10">
                  <c:v>48.173329429382754</c:v>
                </c:pt>
                <c:pt idx="11">
                  <c:v>52.847757302433109</c:v>
                </c:pt>
                <c:pt idx="12">
                  <c:v>57.511278910779843</c:v>
                </c:pt>
                <c:pt idx="13">
                  <c:v>62.164906438601641</c:v>
                </c:pt>
                <c:pt idx="14">
                  <c:v>66.80948750349981</c:v>
                </c:pt>
                <c:pt idx="15">
                  <c:v>71.445741773416742</c:v>
                </c:pt>
                <c:pt idx="16">
                  <c:v>76.074287531910798</c:v>
                </c:pt>
                <c:pt idx="17">
                  <c:v>80.695661408908094</c:v>
                </c:pt>
                <c:pt idx="18">
                  <c:v>85.310333334976917</c:v>
                </c:pt>
                <c:pt idx="19">
                  <c:v>89.918718077157621</c:v>
                </c:pt>
                <c:pt idx="20">
                  <c:v>94.521184276914354</c:v>
                </c:pt>
                <c:pt idx="21">
                  <c:v>99.118061629127865</c:v>
                </c:pt>
                <c:pt idx="22">
                  <c:v>103.70964665491719</c:v>
                </c:pt>
                <c:pt idx="23">
                  <c:v>108.29620739518738</c:v>
                </c:pt>
                <c:pt idx="24">
                  <c:v>112.8779872648759</c:v>
                </c:pt>
                <c:pt idx="25">
                  <c:v>117.4552082467229</c:v>
                </c:pt>
                <c:pt idx="26">
                  <c:v>122.02807355965494</c:v>
                </c:pt>
                <c:pt idx="27">
                  <c:v>126.59676990510074</c:v>
                </c:pt>
                <c:pt idx="28">
                  <c:v>131.16146937116437</c:v>
                </c:pt>
                <c:pt idx="29">
                  <c:v>135.72233105712974</c:v>
                </c:pt>
                <c:pt idx="30">
                  <c:v>140.27950246759983</c:v>
                </c:pt>
                <c:pt idx="31">
                  <c:v>144.83312071552953</c:v>
                </c:pt>
                <c:pt idx="32">
                  <c:v>149.38331356566724</c:v>
                </c:pt>
                <c:pt idx="33">
                  <c:v>153.93020034390298</c:v>
                </c:pt>
                <c:pt idx="34">
                  <c:v>158.47389273329478</c:v>
                </c:pt>
                <c:pt idx="35">
                  <c:v>163.01449547381381</c:v>
                </c:pt>
                <c:pt idx="36">
                  <c:v>167.5521069798709</c:v>
                </c:pt>
                <c:pt idx="37">
                  <c:v>172.08681988729961</c:v>
                </c:pt>
                <c:pt idx="38">
                  <c:v>176.61872153954357</c:v>
                </c:pt>
                <c:pt idx="39">
                  <c:v>181.14789442122625</c:v>
                </c:pt>
                <c:pt idx="40">
                  <c:v>185.67441654600069</c:v>
                </c:pt>
                <c:pt idx="41">
                  <c:v>190.19836180452296</c:v>
                </c:pt>
                <c:pt idx="42">
                  <c:v>194.71980027752045</c:v>
                </c:pt>
                <c:pt idx="43">
                  <c:v>199.2387985182049</c:v>
                </c:pt>
                <c:pt idx="44">
                  <c:v>203.75541980767375</c:v>
                </c:pt>
                <c:pt idx="45">
                  <c:v>208.26972438643898</c:v>
                </c:pt>
                <c:pt idx="46">
                  <c:v>212.78176966479518</c:v>
                </c:pt>
                <c:pt idx="47">
                  <c:v>217.29161041437865</c:v>
                </c:pt>
                <c:pt idx="48">
                  <c:v>221.79929894296401</c:v>
                </c:pt>
                <c:pt idx="49">
                  <c:v>226.30488525428271</c:v>
                </c:pt>
                <c:pt idx="50">
                  <c:v>230.80841719442694</c:v>
                </c:pt>
                <c:pt idx="51">
                  <c:v>235.30994058621036</c:v>
                </c:pt>
                <c:pt idx="52">
                  <c:v>239.80949935269334</c:v>
                </c:pt>
                <c:pt idx="53">
                  <c:v>244.30713563093676</c:v>
                </c:pt>
                <c:pt idx="54">
                  <c:v>248.80288987692896</c:v>
                </c:pt>
                <c:pt idx="55">
                  <c:v>253.29680096251968</c:v>
                </c:pt>
                <c:pt idx="56">
                  <c:v>257.78890626510503</c:v>
                </c:pt>
                <c:pt idx="57">
                  <c:v>210.91755848099993</c:v>
                </c:pt>
                <c:pt idx="58">
                  <c:v>222.39519850462304</c:v>
                </c:pt>
                <c:pt idx="59">
                  <c:v>233.85925299408618</c:v>
                </c:pt>
                <c:pt idx="60">
                  <c:v>245.31048218883211</c:v>
                </c:pt>
                <c:pt idx="61">
                  <c:v>256.74956950086192</c:v>
                </c:pt>
                <c:pt idx="62">
                  <c:v>268.17713242968847</c:v>
                </c:pt>
                <c:pt idx="63">
                  <c:v>279.59373151772007</c:v>
                </c:pt>
                <c:pt idx="64">
                  <c:v>290.99987776518384</c:v>
                </c:pt>
                <c:pt idx="65">
                  <c:v>233.85925299408618</c:v>
                </c:pt>
                <c:pt idx="66">
                  <c:v>245.31048218883211</c:v>
                </c:pt>
                <c:pt idx="67">
                  <c:v>256.74956950086192</c:v>
                </c:pt>
                <c:pt idx="68">
                  <c:v>268.17713242968847</c:v>
                </c:pt>
                <c:pt idx="69">
                  <c:v>279.59373151772007</c:v>
                </c:pt>
                <c:pt idx="70">
                  <c:v>290.99987776518384</c:v>
                </c:pt>
                <c:pt idx="71">
                  <c:v>3.7049561727869492E-12</c:v>
                </c:pt>
                <c:pt idx="72">
                  <c:v>3.7049561727869492E-12</c:v>
                </c:pt>
                <c:pt idx="73">
                  <c:v>3.7049561727869492E-12</c:v>
                </c:pt>
                <c:pt idx="74">
                  <c:v>3.7049561727869492E-12</c:v>
                </c:pt>
                <c:pt idx="75">
                  <c:v>3.7049561727869492E-12</c:v>
                </c:pt>
                <c:pt idx="76">
                  <c:v>3.7049561727869492E-12</c:v>
                </c:pt>
                <c:pt idx="77">
                  <c:v>3.7049561727869492E-12</c:v>
                </c:pt>
                <c:pt idx="78">
                  <c:v>3.7049561727869492E-12</c:v>
                </c:pt>
                <c:pt idx="79">
                  <c:v>3.7049561727869492E-12</c:v>
                </c:pt>
                <c:pt idx="80">
                  <c:v>3.7049561727869492E-12</c:v>
                </c:pt>
                <c:pt idx="81">
                  <c:v>3.7049561727869492E-12</c:v>
                </c:pt>
                <c:pt idx="82">
                  <c:v>3.7049561727869492E-12</c:v>
                </c:pt>
                <c:pt idx="83">
                  <c:v>3.7049561727869492E-12</c:v>
                </c:pt>
                <c:pt idx="84">
                  <c:v>3.7049561727869492E-12</c:v>
                </c:pt>
                <c:pt idx="85">
                  <c:v>3.7049561727869492E-12</c:v>
                </c:pt>
                <c:pt idx="86">
                  <c:v>3.7049561727869492E-12</c:v>
                </c:pt>
                <c:pt idx="87">
                  <c:v>3.7049561727869492E-12</c:v>
                </c:pt>
                <c:pt idx="88">
                  <c:v>3.7049561727869492E-12</c:v>
                </c:pt>
                <c:pt idx="89">
                  <c:v>3.7049561727869492E-12</c:v>
                </c:pt>
                <c:pt idx="90">
                  <c:v>3.7049561727869492E-12</c:v>
                </c:pt>
                <c:pt idx="91">
                  <c:v>3.7049561727869492E-12</c:v>
                </c:pt>
                <c:pt idx="92">
                  <c:v>3.7049561727869492E-12</c:v>
                </c:pt>
                <c:pt idx="93">
                  <c:v>3.7049561727869492E-12</c:v>
                </c:pt>
                <c:pt idx="94">
                  <c:v>3.7049561727869492E-12</c:v>
                </c:pt>
                <c:pt idx="95">
                  <c:v>3.7049561727869492E-12</c:v>
                </c:pt>
                <c:pt idx="96">
                  <c:v>3.7049561727869492E-12</c:v>
                </c:pt>
                <c:pt idx="97">
                  <c:v>3.7049561727869492E-12</c:v>
                </c:pt>
                <c:pt idx="98">
                  <c:v>3.7049561727869492E-12</c:v>
                </c:pt>
                <c:pt idx="99">
                  <c:v>3.7049561727869492E-12</c:v>
                </c:pt>
                <c:pt idx="100">
                  <c:v>3.7049561727869492E-12</c:v>
                </c:pt>
                <c:pt idx="101">
                  <c:v>3.7049561727869492E-12</c:v>
                </c:pt>
                <c:pt idx="102">
                  <c:v>3.7049561727869492E-12</c:v>
                </c:pt>
                <c:pt idx="103">
                  <c:v>3.7049561727869492E-12</c:v>
                </c:pt>
                <c:pt idx="104">
                  <c:v>3.7049561727869492E-12</c:v>
                </c:pt>
                <c:pt idx="105">
                  <c:v>3.7049561727869492E-12</c:v>
                </c:pt>
                <c:pt idx="106">
                  <c:v>3.7049561727869492E-12</c:v>
                </c:pt>
                <c:pt idx="107">
                  <c:v>3.7049561727869492E-12</c:v>
                </c:pt>
                <c:pt idx="108">
                  <c:v>3.7049561727869492E-12</c:v>
                </c:pt>
                <c:pt idx="109">
                  <c:v>3.7049561727869492E-12</c:v>
                </c:pt>
                <c:pt idx="110">
                  <c:v>3.7049561727869492E-12</c:v>
                </c:pt>
                <c:pt idx="111">
                  <c:v>3.7049561727869492E-12</c:v>
                </c:pt>
                <c:pt idx="112">
                  <c:v>3.7049561727869492E-12</c:v>
                </c:pt>
                <c:pt idx="113">
                  <c:v>3.7049561727869492E-12</c:v>
                </c:pt>
                <c:pt idx="114">
                  <c:v>3.7049561727869492E-12</c:v>
                </c:pt>
                <c:pt idx="115">
                  <c:v>3.7049561727869492E-12</c:v>
                </c:pt>
                <c:pt idx="116">
                  <c:v>3.7049561727869492E-12</c:v>
                </c:pt>
                <c:pt idx="117">
                  <c:v>3.7049561727869492E-12</c:v>
                </c:pt>
                <c:pt idx="118">
                  <c:v>3.7049561727869492E-12</c:v>
                </c:pt>
                <c:pt idx="119">
                  <c:v>3.7049561727869492E-12</c:v>
                </c:pt>
                <c:pt idx="120">
                  <c:v>3.7049561727869492E-12</c:v>
                </c:pt>
                <c:pt idx="121">
                  <c:v>3.7049561727869492E-12</c:v>
                </c:pt>
                <c:pt idx="122">
                  <c:v>3.7049561727869492E-12</c:v>
                </c:pt>
                <c:pt idx="123">
                  <c:v>3.7049561727869492E-12</c:v>
                </c:pt>
                <c:pt idx="124">
                  <c:v>3.7049561727869492E-12</c:v>
                </c:pt>
                <c:pt idx="125">
                  <c:v>3.7049561727869492E-12</c:v>
                </c:pt>
                <c:pt idx="126">
                  <c:v>3.7049561727869492E-12</c:v>
                </c:pt>
                <c:pt idx="127">
                  <c:v>3.7049561727869492E-12</c:v>
                </c:pt>
                <c:pt idx="128">
                  <c:v>3.7049561727869492E-12</c:v>
                </c:pt>
                <c:pt idx="129">
                  <c:v>3.7049561727869492E-12</c:v>
                </c:pt>
                <c:pt idx="130">
                  <c:v>3.7049561727869492E-12</c:v>
                </c:pt>
                <c:pt idx="131">
                  <c:v>3.7049561727869492E-12</c:v>
                </c:pt>
                <c:pt idx="132">
                  <c:v>3.7049561727869492E-12</c:v>
                </c:pt>
                <c:pt idx="133">
                  <c:v>3.7049561727869492E-12</c:v>
                </c:pt>
                <c:pt idx="134">
                  <c:v>3.7049561727869492E-12</c:v>
                </c:pt>
                <c:pt idx="135">
                  <c:v>3.7049561727869492E-12</c:v>
                </c:pt>
                <c:pt idx="136">
                  <c:v>3.7049561727869492E-12</c:v>
                </c:pt>
                <c:pt idx="137">
                  <c:v>3.7049561727869492E-12</c:v>
                </c:pt>
                <c:pt idx="138">
                  <c:v>3.7049561727869492E-12</c:v>
                </c:pt>
                <c:pt idx="139">
                  <c:v>3.7049561727869492E-12</c:v>
                </c:pt>
                <c:pt idx="140">
                  <c:v>3.7049561727869492E-12</c:v>
                </c:pt>
                <c:pt idx="141">
                  <c:v>3.7049561727869492E-12</c:v>
                </c:pt>
                <c:pt idx="142">
                  <c:v>3.7049561727869492E-12</c:v>
                </c:pt>
                <c:pt idx="143">
                  <c:v>3.7049561727869492E-12</c:v>
                </c:pt>
                <c:pt idx="144">
                  <c:v>3.7049561727869492E-12</c:v>
                </c:pt>
                <c:pt idx="145">
                  <c:v>3.7049561727869492E-12</c:v>
                </c:pt>
                <c:pt idx="146">
                  <c:v>3.7049561727869492E-12</c:v>
                </c:pt>
                <c:pt idx="147">
                  <c:v>3.7049561727869492E-12</c:v>
                </c:pt>
                <c:pt idx="148">
                  <c:v>3.7049561727869492E-12</c:v>
                </c:pt>
                <c:pt idx="149">
                  <c:v>3.7049561727869492E-12</c:v>
                </c:pt>
                <c:pt idx="150">
                  <c:v>3.7049561727869492E-12</c:v>
                </c:pt>
                <c:pt idx="151">
                  <c:v>3.7049561727869492E-12</c:v>
                </c:pt>
                <c:pt idx="152">
                  <c:v>3.7049561727869492E-12</c:v>
                </c:pt>
                <c:pt idx="153">
                  <c:v>3.7049561727869492E-12</c:v>
                </c:pt>
                <c:pt idx="154">
                  <c:v>3.7049561727869492E-12</c:v>
                </c:pt>
                <c:pt idx="155">
                  <c:v>3.7049561727869492E-12</c:v>
                </c:pt>
                <c:pt idx="156">
                  <c:v>3.7049561727869492E-12</c:v>
                </c:pt>
                <c:pt idx="157">
                  <c:v>3.7049561727869492E-12</c:v>
                </c:pt>
                <c:pt idx="158">
                  <c:v>3.7049561727869492E-12</c:v>
                </c:pt>
                <c:pt idx="159">
                  <c:v>3.7049561727869492E-12</c:v>
                </c:pt>
                <c:pt idx="160">
                  <c:v>3.7049561727869492E-12</c:v>
                </c:pt>
                <c:pt idx="161">
                  <c:v>3.7049561727869492E-12</c:v>
                </c:pt>
                <c:pt idx="162">
                  <c:v>3.7049561727869492E-12</c:v>
                </c:pt>
                <c:pt idx="163">
                  <c:v>3.7049561727869492E-12</c:v>
                </c:pt>
                <c:pt idx="164">
                  <c:v>3.7049561727869492E-12</c:v>
                </c:pt>
                <c:pt idx="165">
                  <c:v>3.7049561727869492E-12</c:v>
                </c:pt>
                <c:pt idx="166">
                  <c:v>3.7049561727869492E-12</c:v>
                </c:pt>
                <c:pt idx="167">
                  <c:v>3.7049561727869492E-12</c:v>
                </c:pt>
                <c:pt idx="168">
                  <c:v>3.7049561727869492E-12</c:v>
                </c:pt>
                <c:pt idx="169">
                  <c:v>3.7049561727869492E-12</c:v>
                </c:pt>
                <c:pt idx="170">
                  <c:v>3.7049561727869492E-12</c:v>
                </c:pt>
                <c:pt idx="171">
                  <c:v>3.7049561727869492E-12</c:v>
                </c:pt>
                <c:pt idx="172">
                  <c:v>3.7049561727869492E-12</c:v>
                </c:pt>
                <c:pt idx="173">
                  <c:v>3.7049561727869492E-12</c:v>
                </c:pt>
                <c:pt idx="174">
                  <c:v>3.7049561727869492E-12</c:v>
                </c:pt>
                <c:pt idx="175">
                  <c:v>3.7049561727869492E-12</c:v>
                </c:pt>
                <c:pt idx="176">
                  <c:v>3.7049561727869492E-12</c:v>
                </c:pt>
                <c:pt idx="177">
                  <c:v>3.7049561727869492E-12</c:v>
                </c:pt>
                <c:pt idx="178">
                  <c:v>3.7049561727869492E-12</c:v>
                </c:pt>
                <c:pt idx="179">
                  <c:v>3.7049561727869492E-12</c:v>
                </c:pt>
                <c:pt idx="180">
                  <c:v>3.7049561727869492E-12</c:v>
                </c:pt>
                <c:pt idx="181">
                  <c:v>3.7049561727869492E-12</c:v>
                </c:pt>
                <c:pt idx="182">
                  <c:v>3.7049561727869492E-12</c:v>
                </c:pt>
                <c:pt idx="183">
                  <c:v>3.7049561727869492E-12</c:v>
                </c:pt>
                <c:pt idx="184">
                  <c:v>3.7049561727869492E-12</c:v>
                </c:pt>
                <c:pt idx="185">
                  <c:v>3.7049561727869492E-12</c:v>
                </c:pt>
                <c:pt idx="186">
                  <c:v>3.7049561727869492E-12</c:v>
                </c:pt>
                <c:pt idx="187">
                  <c:v>3.7049561727869492E-12</c:v>
                </c:pt>
                <c:pt idx="188">
                  <c:v>3.7049561727869492E-12</c:v>
                </c:pt>
                <c:pt idx="189">
                  <c:v>3.7049561727869492E-12</c:v>
                </c:pt>
                <c:pt idx="190">
                  <c:v>3.7049561727869492E-12</c:v>
                </c:pt>
                <c:pt idx="191">
                  <c:v>3.7049561727869492E-12</c:v>
                </c:pt>
                <c:pt idx="192">
                  <c:v>3.7049561727869492E-12</c:v>
                </c:pt>
                <c:pt idx="193">
                  <c:v>3.7049561727869492E-12</c:v>
                </c:pt>
                <c:pt idx="194">
                  <c:v>3.7049561727869492E-12</c:v>
                </c:pt>
                <c:pt idx="195">
                  <c:v>3.7049561727869492E-12</c:v>
                </c:pt>
                <c:pt idx="196">
                  <c:v>3.7049561727869492E-12</c:v>
                </c:pt>
                <c:pt idx="197">
                  <c:v>3.7049561727869492E-12</c:v>
                </c:pt>
                <c:pt idx="198">
                  <c:v>3.7049561727869492E-12</c:v>
                </c:pt>
                <c:pt idx="199">
                  <c:v>3.7049561727869492E-12</c:v>
                </c:pt>
                <c:pt idx="200">
                  <c:v>3.7049561727869492E-12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55" zoomScaleNormal="55" workbookViewId="0">
      <selection activeCell="D75" sqref="D7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2.0299999999999998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0.8</v>
      </c>
      <c r="D9" s="36">
        <f t="shared" ref="D9:D18" si="0">C9*$C$5</f>
        <v>1.6239999999999999</v>
      </c>
      <c r="E9" s="37">
        <v>120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35</v>
      </c>
      <c r="C10" s="35">
        <v>0.15</v>
      </c>
      <c r="D10" s="36">
        <f t="shared" si="0"/>
        <v>0.30449999999999994</v>
      </c>
      <c r="E10" s="37">
        <v>70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</v>
      </c>
      <c r="C11" s="35">
        <v>0.05</v>
      </c>
      <c r="D11" s="36">
        <f t="shared" si="0"/>
        <v>0.10149999999999999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1</v>
      </c>
      <c r="D19" s="41">
        <f>SUM(D9:D18)</f>
        <v>2.0299999999999998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63">
        <v>42</v>
      </c>
      <c r="B36" s="63">
        <v>126</v>
      </c>
      <c r="C36" s="63">
        <v>1</v>
      </c>
      <c r="D36" s="63">
        <v>30</v>
      </c>
      <c r="E36" s="94">
        <v>0.1</v>
      </c>
      <c r="F36" s="94"/>
      <c r="G36" s="94"/>
      <c r="H36" s="94">
        <v>0.9</v>
      </c>
      <c r="I36" s="52">
        <f>IFERROR(B36/A36,"")</f>
        <v>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63">
        <v>50</v>
      </c>
      <c r="B37" s="63">
        <v>151</v>
      </c>
      <c r="C37" s="63">
        <v>2</v>
      </c>
      <c r="D37" s="63">
        <v>35</v>
      </c>
      <c r="E37" s="94">
        <v>0.2</v>
      </c>
      <c r="F37" s="94"/>
      <c r="G37" s="94"/>
      <c r="H37" s="94">
        <v>0.8</v>
      </c>
      <c r="I37" s="56">
        <f t="shared" ref="I37:I55" si="1">IF(A37&lt;&gt;0,(B37-(B36-D36))/(A37-A36),"")</f>
        <v>6.875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63">
        <v>58</v>
      </c>
      <c r="B38" s="63">
        <v>179</v>
      </c>
      <c r="C38" s="63">
        <v>3</v>
      </c>
      <c r="D38" s="63">
        <v>44</v>
      </c>
      <c r="E38" s="94">
        <v>0.3</v>
      </c>
      <c r="F38" s="94"/>
      <c r="G38" s="94"/>
      <c r="H38" s="94">
        <v>0.7</v>
      </c>
      <c r="I38" s="56">
        <f t="shared" si="1"/>
        <v>7.875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63">
        <v>66</v>
      </c>
      <c r="B39" s="63">
        <v>190</v>
      </c>
      <c r="C39" s="63">
        <v>4</v>
      </c>
      <c r="D39" s="63">
        <v>38</v>
      </c>
      <c r="E39" s="94">
        <v>0.3</v>
      </c>
      <c r="F39" s="94"/>
      <c r="G39" s="94"/>
      <c r="H39" s="94">
        <v>0.7</v>
      </c>
      <c r="I39" s="52">
        <f t="shared" si="1"/>
        <v>6.875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63">
        <v>75</v>
      </c>
      <c r="B40" s="63">
        <v>208</v>
      </c>
      <c r="C40" s="63">
        <v>5</v>
      </c>
      <c r="D40" s="63">
        <v>37</v>
      </c>
      <c r="E40" s="94">
        <v>0.4</v>
      </c>
      <c r="F40" s="94"/>
      <c r="G40" s="94"/>
      <c r="H40" s="94">
        <v>0.6</v>
      </c>
      <c r="I40" s="52">
        <f t="shared" si="1"/>
        <v>6.2222222222222223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63">
        <v>84</v>
      </c>
      <c r="B41" s="63">
        <v>224</v>
      </c>
      <c r="C41" s="63">
        <v>6</v>
      </c>
      <c r="D41" s="63">
        <v>36</v>
      </c>
      <c r="E41" s="94">
        <v>0.4</v>
      </c>
      <c r="F41" s="94"/>
      <c r="G41" s="94"/>
      <c r="H41" s="94">
        <v>0.6</v>
      </c>
      <c r="I41" s="56">
        <f t="shared" si="1"/>
        <v>5.8888888888888893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63">
        <v>93</v>
      </c>
      <c r="B42" s="63">
        <v>240</v>
      </c>
      <c r="C42" s="63">
        <v>7</v>
      </c>
      <c r="D42" s="63">
        <v>34</v>
      </c>
      <c r="E42" s="94">
        <v>0.5</v>
      </c>
      <c r="F42" s="94"/>
      <c r="G42" s="94"/>
      <c r="H42" s="94">
        <v>0.5</v>
      </c>
      <c r="I42" s="56">
        <f t="shared" si="1"/>
        <v>5.7777777777777777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3">
        <v>103</v>
      </c>
      <c r="B43" s="63">
        <v>262</v>
      </c>
      <c r="C43" s="63">
        <v>8</v>
      </c>
      <c r="D43" s="63">
        <v>38</v>
      </c>
      <c r="E43" s="94">
        <v>0.6</v>
      </c>
      <c r="F43" s="94"/>
      <c r="G43" s="94"/>
      <c r="H43" s="94">
        <v>0.4</v>
      </c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63">
        <v>113</v>
      </c>
      <c r="B44" s="63">
        <v>284</v>
      </c>
      <c r="C44" s="63">
        <v>9</v>
      </c>
      <c r="D44" s="63">
        <v>42</v>
      </c>
      <c r="E44" s="57">
        <v>0.7</v>
      </c>
      <c r="F44" s="57"/>
      <c r="G44" s="57"/>
      <c r="H44" s="57">
        <v>0.3</v>
      </c>
      <c r="I44" s="52">
        <f t="shared" si="1"/>
        <v>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63">
        <v>120</v>
      </c>
      <c r="B45" s="63">
        <v>287</v>
      </c>
      <c r="C45" s="63">
        <v>10</v>
      </c>
      <c r="D45" s="63">
        <v>287</v>
      </c>
      <c r="E45" s="57">
        <v>0.8</v>
      </c>
      <c r="F45" s="57"/>
      <c r="G45" s="57"/>
      <c r="H45" s="57">
        <v>0.2</v>
      </c>
      <c r="I45" s="52">
        <f t="shared" si="1"/>
        <v>6.4285714285714288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63"/>
      <c r="B46" s="63"/>
      <c r="C46" s="63"/>
      <c r="D46" s="63"/>
      <c r="E46" s="57"/>
      <c r="F46" s="57"/>
      <c r="G46" s="57"/>
      <c r="H46" s="57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63"/>
      <c r="B47" s="63"/>
      <c r="C47" s="63"/>
      <c r="D47" s="63"/>
      <c r="E47" s="57"/>
      <c r="F47" s="57"/>
      <c r="G47" s="57"/>
      <c r="H47" s="57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63"/>
      <c r="B48" s="63"/>
      <c r="C48" s="63"/>
      <c r="D48" s="63"/>
      <c r="E48" s="57"/>
      <c r="F48" s="57"/>
      <c r="G48" s="57"/>
      <c r="H48" s="57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63"/>
      <c r="B49" s="63"/>
      <c r="C49" s="63"/>
      <c r="D49" s="63"/>
      <c r="E49" s="57"/>
      <c r="F49" s="57"/>
      <c r="G49" s="57"/>
      <c r="H49" s="57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63"/>
      <c r="B50" s="53"/>
      <c r="C50" s="63"/>
      <c r="D50" s="53"/>
      <c r="E50" s="57"/>
      <c r="F50" s="57"/>
      <c r="G50" s="57"/>
      <c r="H50" s="57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63"/>
      <c r="B51" s="53"/>
      <c r="C51" s="63"/>
      <c r="D51" s="53"/>
      <c r="E51" s="57"/>
      <c r="F51" s="57"/>
      <c r="G51" s="57"/>
      <c r="H51" s="57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63"/>
      <c r="B52" s="53"/>
      <c r="C52" s="63"/>
      <c r="D52" s="53"/>
      <c r="E52" s="57"/>
      <c r="F52" s="57"/>
      <c r="G52" s="57"/>
      <c r="H52" s="57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63"/>
      <c r="B53" s="53"/>
      <c r="C53" s="63"/>
      <c r="D53" s="53"/>
      <c r="E53" s="57"/>
      <c r="F53" s="57"/>
      <c r="G53" s="57"/>
      <c r="H53" s="57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63"/>
      <c r="B54" s="53"/>
      <c r="C54" s="63"/>
      <c r="D54" s="53"/>
      <c r="E54" s="57"/>
      <c r="F54" s="57"/>
      <c r="G54" s="57"/>
      <c r="H54" s="57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63"/>
      <c r="B55" s="53"/>
      <c r="C55" s="63"/>
      <c r="D55" s="53"/>
      <c r="E55" s="57"/>
      <c r="F55" s="57"/>
      <c r="G55" s="57"/>
      <c r="H55" s="57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laricio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63">
        <v>22</v>
      </c>
      <c r="B62" s="63">
        <v>123</v>
      </c>
      <c r="C62" s="63">
        <v>1</v>
      </c>
      <c r="D62" s="63">
        <v>16</v>
      </c>
      <c r="E62" s="54">
        <v>0</v>
      </c>
      <c r="F62" s="54">
        <v>0.56000000000000005</v>
      </c>
      <c r="G62" s="54">
        <v>0.44</v>
      </c>
      <c r="H62" s="94"/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63">
        <v>25</v>
      </c>
      <c r="B63" s="63">
        <v>144</v>
      </c>
      <c r="C63" s="63">
        <v>2</v>
      </c>
      <c r="D63" s="63">
        <v>17</v>
      </c>
      <c r="E63" s="54">
        <v>0</v>
      </c>
      <c r="F63" s="54">
        <v>0.56000000000000005</v>
      </c>
      <c r="G63" s="54">
        <v>0.44</v>
      </c>
      <c r="H63" s="94"/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63">
        <v>30</v>
      </c>
      <c r="B64" s="63">
        <v>194</v>
      </c>
      <c r="C64" s="63">
        <v>3</v>
      </c>
      <c r="D64" s="63">
        <v>34</v>
      </c>
      <c r="E64" s="54">
        <v>0</v>
      </c>
      <c r="F64" s="54">
        <v>0.56000000000000005</v>
      </c>
      <c r="G64" s="54">
        <v>0.44</v>
      </c>
      <c r="H64" s="94"/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63">
        <v>35</v>
      </c>
      <c r="B65" s="63">
        <v>233</v>
      </c>
      <c r="C65" s="63">
        <v>4</v>
      </c>
      <c r="D65" s="63">
        <v>41</v>
      </c>
      <c r="E65" s="54">
        <v>0.2</v>
      </c>
      <c r="F65" s="54">
        <v>0.44800000000000006</v>
      </c>
      <c r="G65" s="54">
        <v>0.35200000000000004</v>
      </c>
      <c r="H65" s="9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63">
        <v>40</v>
      </c>
      <c r="B66" s="63">
        <v>264</v>
      </c>
      <c r="C66" s="63">
        <v>5</v>
      </c>
      <c r="D66" s="63">
        <v>41</v>
      </c>
      <c r="E66" s="54">
        <v>0.2</v>
      </c>
      <c r="F66" s="54">
        <v>0.44800000000000006</v>
      </c>
      <c r="G66" s="54">
        <v>0.35200000000000004</v>
      </c>
      <c r="H66" s="9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63">
        <v>45</v>
      </c>
      <c r="B67" s="63">
        <v>318</v>
      </c>
      <c r="C67" s="63">
        <v>6</v>
      </c>
      <c r="D67" s="63">
        <v>53</v>
      </c>
      <c r="E67" s="94">
        <v>0.4</v>
      </c>
      <c r="F67" s="94">
        <v>0.33</v>
      </c>
      <c r="G67" s="94">
        <v>0.27</v>
      </c>
      <c r="H67" s="94"/>
      <c r="I67" s="52">
        <f t="shared" si="2"/>
        <v>19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63">
        <v>50</v>
      </c>
      <c r="B68" s="63">
        <v>352</v>
      </c>
      <c r="C68" s="63">
        <v>7</v>
      </c>
      <c r="D68" s="63">
        <v>53</v>
      </c>
      <c r="E68" s="94">
        <v>0.4</v>
      </c>
      <c r="F68" s="94">
        <f>F69+F71</f>
        <v>0.33</v>
      </c>
      <c r="G68" s="94">
        <f>G69+G71</f>
        <v>0.27</v>
      </c>
      <c r="H68" s="94"/>
      <c r="I68" s="52">
        <f t="shared" si="2"/>
        <v>17.399999999999999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63">
        <v>58</v>
      </c>
      <c r="B69" s="63">
        <v>440</v>
      </c>
      <c r="C69" s="63">
        <v>8</v>
      </c>
      <c r="D69" s="63">
        <v>78</v>
      </c>
      <c r="E69" s="94">
        <v>0.6</v>
      </c>
      <c r="F69" s="94">
        <v>0.22</v>
      </c>
      <c r="G69" s="94">
        <v>0.18</v>
      </c>
      <c r="H69" s="94"/>
      <c r="I69" s="52">
        <f t="shared" si="2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63">
        <v>66</v>
      </c>
      <c r="B70" s="63">
        <v>495</v>
      </c>
      <c r="C70" s="63">
        <v>9</v>
      </c>
      <c r="D70" s="63">
        <v>65</v>
      </c>
      <c r="E70" s="94">
        <v>0.6</v>
      </c>
      <c r="F70" s="94">
        <f>F71*2</f>
        <v>0.22</v>
      </c>
      <c r="G70" s="94">
        <f>G71*2</f>
        <v>0.18</v>
      </c>
      <c r="H70" s="94"/>
      <c r="I70" s="52">
        <f t="shared" si="2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63">
        <v>70</v>
      </c>
      <c r="B71" s="63">
        <v>480</v>
      </c>
      <c r="C71" s="63">
        <v>10</v>
      </c>
      <c r="D71" s="63">
        <v>480</v>
      </c>
      <c r="E71" s="94">
        <v>0.8</v>
      </c>
      <c r="F71" s="94">
        <v>0.11</v>
      </c>
      <c r="G71" s="94">
        <v>0.09</v>
      </c>
      <c r="H71" s="94"/>
      <c r="I71" s="52">
        <f t="shared" si="2"/>
        <v>12.5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63"/>
      <c r="B72" s="63"/>
      <c r="C72" s="63"/>
      <c r="D72" s="63"/>
      <c r="E72" s="94"/>
      <c r="F72" s="94"/>
      <c r="G72" s="94"/>
      <c r="H72" s="9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63"/>
      <c r="B73" s="63"/>
      <c r="C73" s="63"/>
      <c r="D73" s="63"/>
      <c r="E73" s="68"/>
      <c r="F73" s="68"/>
      <c r="G73" s="68"/>
      <c r="H73" s="68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63"/>
      <c r="B74" s="63"/>
      <c r="C74" s="63"/>
      <c r="D74" s="63"/>
      <c r="E74" s="57"/>
      <c r="F74" s="57"/>
      <c r="G74" s="57"/>
      <c r="H74" s="57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63"/>
      <c r="B75" s="63"/>
      <c r="C75" s="63"/>
      <c r="D75" s="63"/>
      <c r="E75" s="57"/>
      <c r="F75" s="57"/>
      <c r="G75" s="57"/>
      <c r="H75" s="57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63"/>
      <c r="B76" s="53"/>
      <c r="C76" s="63"/>
      <c r="D76" s="53"/>
      <c r="E76" s="57"/>
      <c r="F76" s="57"/>
      <c r="G76" s="57"/>
      <c r="H76" s="57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63"/>
      <c r="B77" s="53"/>
      <c r="C77" s="63"/>
      <c r="D77" s="53"/>
      <c r="E77" s="57"/>
      <c r="F77" s="57"/>
      <c r="G77" s="57"/>
      <c r="H77" s="57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63"/>
      <c r="B78" s="53"/>
      <c r="C78" s="63"/>
      <c r="D78" s="53"/>
      <c r="E78" s="57"/>
      <c r="F78" s="57"/>
      <c r="G78" s="57"/>
      <c r="H78" s="57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63"/>
      <c r="B79" s="53"/>
      <c r="C79" s="63"/>
      <c r="D79" s="53"/>
      <c r="E79" s="57"/>
      <c r="F79" s="57"/>
      <c r="G79" s="57"/>
      <c r="H79" s="57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63"/>
      <c r="B80" s="53"/>
      <c r="C80" s="63"/>
      <c r="D80" s="53"/>
      <c r="E80" s="57"/>
      <c r="F80" s="57"/>
      <c r="G80" s="57"/>
      <c r="H80" s="57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63"/>
      <c r="B81" s="53"/>
      <c r="C81" s="63"/>
      <c r="D81" s="53"/>
      <c r="E81" s="57"/>
      <c r="F81" s="57"/>
      <c r="G81" s="57"/>
      <c r="H81" s="57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Alisier torminal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56</v>
      </c>
      <c r="B88" s="63">
        <v>121</v>
      </c>
      <c r="C88" s="63">
        <v>1</v>
      </c>
      <c r="D88" s="63">
        <v>28</v>
      </c>
      <c r="E88" s="94">
        <v>0.1</v>
      </c>
      <c r="F88" s="94"/>
      <c r="G88" s="94"/>
      <c r="H88" s="94">
        <v>0.9</v>
      </c>
      <c r="I88" s="56">
        <f>IFERROR(B88/A88,"")</f>
        <v>2.1607142857142856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64</v>
      </c>
      <c r="B89" s="63">
        <v>137</v>
      </c>
      <c r="C89" s="63">
        <v>2</v>
      </c>
      <c r="D89" s="63">
        <v>33</v>
      </c>
      <c r="E89" s="94">
        <v>0.3</v>
      </c>
      <c r="F89" s="94"/>
      <c r="G89" s="94"/>
      <c r="H89" s="94">
        <v>0.7</v>
      </c>
      <c r="I89" s="56">
        <f t="shared" ref="I89:I107" si="3">IF(A89&lt;&gt;0,(B89-(B88-D88))/(A89-A88),"")</f>
        <v>5.5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70</v>
      </c>
      <c r="B90" s="63">
        <v>137</v>
      </c>
      <c r="C90" s="63">
        <v>3</v>
      </c>
      <c r="D90" s="63">
        <v>137</v>
      </c>
      <c r="E90" s="94">
        <v>0.8</v>
      </c>
      <c r="F90" s="94"/>
      <c r="G90" s="94"/>
      <c r="H90" s="94">
        <v>0.2</v>
      </c>
      <c r="I90" s="56">
        <f t="shared" si="3"/>
        <v>5.5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4"/>
      <c r="F91" s="94"/>
      <c r="G91" s="94"/>
      <c r="H91" s="9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4"/>
      <c r="F92" s="94"/>
      <c r="G92" s="94"/>
      <c r="H92" s="9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4"/>
      <c r="F93" s="94"/>
      <c r="G93" s="94"/>
      <c r="H93" s="9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4"/>
      <c r="F94" s="94"/>
      <c r="G94" s="94"/>
      <c r="H94" s="9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/>
      <c r="B97" s="63"/>
      <c r="C97" s="63"/>
      <c r="D97" s="63"/>
      <c r="E97" s="57"/>
      <c r="F97" s="57"/>
      <c r="G97" s="57"/>
      <c r="H97" s="57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/>
      <c r="B98" s="63"/>
      <c r="C98" s="63"/>
      <c r="D98" s="63"/>
      <c r="E98" s="57"/>
      <c r="F98" s="57"/>
      <c r="G98" s="57"/>
      <c r="H98" s="57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/>
      <c r="B99" s="63"/>
      <c r="C99" s="63"/>
      <c r="D99" s="63"/>
      <c r="E99" s="94"/>
      <c r="F99" s="94"/>
      <c r="G99" s="94"/>
      <c r="H99" s="68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53"/>
      <c r="C101" s="63"/>
      <c r="D101" s="63"/>
      <c r="E101" s="57"/>
      <c r="F101" s="57"/>
      <c r="G101" s="57"/>
      <c r="H101" s="57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6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63"/>
      <c r="B105" s="53"/>
      <c r="C105" s="6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63"/>
      <c r="B106" s="53"/>
      <c r="C106" s="6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63"/>
      <c r="B107" s="53"/>
      <c r="C107" s="6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>
        <v>25</v>
      </c>
      <c r="B114" s="63">
        <v>30</v>
      </c>
      <c r="C114" s="63">
        <v>2</v>
      </c>
      <c r="D114" s="63">
        <v>0</v>
      </c>
      <c r="E114" s="54">
        <v>0</v>
      </c>
      <c r="F114" s="54"/>
      <c r="G114" s="54"/>
      <c r="H114" s="94">
        <v>1</v>
      </c>
      <c r="I114" s="56">
        <f>IFERROR(B114/A114,"")</f>
        <v>1.2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>
        <v>30</v>
      </c>
      <c r="B115" s="63">
        <v>54</v>
      </c>
      <c r="C115" s="63">
        <v>3</v>
      </c>
      <c r="D115" s="63">
        <v>0</v>
      </c>
      <c r="E115" s="94">
        <v>0</v>
      </c>
      <c r="F115" s="94"/>
      <c r="G115" s="94"/>
      <c r="H115" s="94">
        <v>1</v>
      </c>
      <c r="I115" s="56">
        <f t="shared" ref="I115:I133" si="4">IF(A115&lt;&gt;0,(B115-(B114-D114))/(A115-A114),"")</f>
        <v>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>
        <v>35</v>
      </c>
      <c r="B116" s="63">
        <v>79</v>
      </c>
      <c r="C116" s="63">
        <v>4</v>
      </c>
      <c r="D116" s="63">
        <v>14</v>
      </c>
      <c r="E116" s="94">
        <v>0</v>
      </c>
      <c r="F116" s="94"/>
      <c r="G116" s="94"/>
      <c r="H116" s="94">
        <v>1</v>
      </c>
      <c r="I116" s="56">
        <f t="shared" si="4"/>
        <v>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>
        <v>40</v>
      </c>
      <c r="B117" s="63">
        <v>93</v>
      </c>
      <c r="C117" s="63">
        <v>5</v>
      </c>
      <c r="D117" s="63">
        <v>14</v>
      </c>
      <c r="E117" s="94">
        <v>0.2</v>
      </c>
      <c r="F117" s="94"/>
      <c r="G117" s="94"/>
      <c r="H117" s="94">
        <v>0.8</v>
      </c>
      <c r="I117" s="56">
        <f t="shared" si="4"/>
        <v>5.6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>
        <v>45</v>
      </c>
      <c r="B118" s="63">
        <v>107</v>
      </c>
      <c r="C118" s="63">
        <v>6</v>
      </c>
      <c r="D118" s="63">
        <v>14</v>
      </c>
      <c r="E118" s="94">
        <v>0.2</v>
      </c>
      <c r="F118" s="94"/>
      <c r="G118" s="94"/>
      <c r="H118" s="94">
        <v>0.8</v>
      </c>
      <c r="I118" s="56">
        <f t="shared" si="4"/>
        <v>5.6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>
        <v>50</v>
      </c>
      <c r="B119" s="63">
        <v>121</v>
      </c>
      <c r="C119" s="63">
        <v>7</v>
      </c>
      <c r="D119" s="63">
        <v>14</v>
      </c>
      <c r="E119" s="94">
        <v>0.3</v>
      </c>
      <c r="F119" s="94"/>
      <c r="G119" s="94"/>
      <c r="H119" s="94">
        <v>0.7</v>
      </c>
      <c r="I119" s="56">
        <f t="shared" si="4"/>
        <v>5.6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55</v>
      </c>
      <c r="B120" s="63">
        <v>135</v>
      </c>
      <c r="C120" s="63">
        <v>8</v>
      </c>
      <c r="D120" s="63">
        <v>14</v>
      </c>
      <c r="E120" s="94">
        <v>0.3</v>
      </c>
      <c r="F120" s="94"/>
      <c r="G120" s="94"/>
      <c r="H120" s="94">
        <v>0.7</v>
      </c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60</v>
      </c>
      <c r="B121" s="63">
        <v>148</v>
      </c>
      <c r="C121" s="63">
        <v>9</v>
      </c>
      <c r="D121" s="63">
        <v>14</v>
      </c>
      <c r="E121" s="94">
        <v>0.4</v>
      </c>
      <c r="F121" s="94"/>
      <c r="G121" s="94"/>
      <c r="H121" s="94">
        <v>0.6</v>
      </c>
      <c r="I121" s="56">
        <f t="shared" si="4"/>
        <v>5.4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65</v>
      </c>
      <c r="B122" s="63">
        <v>161</v>
      </c>
      <c r="C122" s="63">
        <v>10</v>
      </c>
      <c r="D122" s="63">
        <v>14</v>
      </c>
      <c r="E122" s="94">
        <v>0.4</v>
      </c>
      <c r="F122" s="94"/>
      <c r="G122" s="94"/>
      <c r="H122" s="94">
        <v>0.6</v>
      </c>
      <c r="I122" s="56">
        <f t="shared" si="4"/>
        <v>5.4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70</v>
      </c>
      <c r="B123" s="63">
        <v>172</v>
      </c>
      <c r="C123" s="63">
        <v>11</v>
      </c>
      <c r="D123" s="63">
        <v>14</v>
      </c>
      <c r="E123" s="94">
        <v>0.5</v>
      </c>
      <c r="F123" s="94"/>
      <c r="G123" s="94"/>
      <c r="H123" s="94">
        <v>0.5</v>
      </c>
      <c r="I123" s="56">
        <f t="shared" si="4"/>
        <v>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75</v>
      </c>
      <c r="B124" s="63">
        <v>183</v>
      </c>
      <c r="C124" s="63">
        <v>12</v>
      </c>
      <c r="D124" s="63">
        <v>14</v>
      </c>
      <c r="E124" s="94">
        <v>0.5</v>
      </c>
      <c r="F124" s="94"/>
      <c r="G124" s="94"/>
      <c r="H124" s="94">
        <v>0.5</v>
      </c>
      <c r="I124" s="56">
        <f t="shared" si="4"/>
        <v>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80</v>
      </c>
      <c r="B125" s="63">
        <v>192</v>
      </c>
      <c r="C125" s="63">
        <v>13</v>
      </c>
      <c r="D125" s="63">
        <v>14</v>
      </c>
      <c r="E125" s="68">
        <v>0.6</v>
      </c>
      <c r="F125" s="68"/>
      <c r="G125" s="68"/>
      <c r="H125" s="68">
        <v>0.4</v>
      </c>
      <c r="I125" s="56">
        <f t="shared" si="4"/>
        <v>4.5999999999999996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85</v>
      </c>
      <c r="B126" s="63">
        <v>200</v>
      </c>
      <c r="C126" s="63">
        <v>14</v>
      </c>
      <c r="D126" s="63">
        <v>14</v>
      </c>
      <c r="E126" s="68">
        <v>0.6</v>
      </c>
      <c r="F126" s="68"/>
      <c r="G126" s="68"/>
      <c r="H126" s="68">
        <v>0.4</v>
      </c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90</v>
      </c>
      <c r="B127" s="53">
        <v>207</v>
      </c>
      <c r="C127" s="63">
        <v>15</v>
      </c>
      <c r="D127" s="63">
        <v>14</v>
      </c>
      <c r="E127" s="57">
        <v>0.7</v>
      </c>
      <c r="F127" s="57"/>
      <c r="G127" s="57"/>
      <c r="H127" s="57">
        <v>0.3</v>
      </c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63">
        <v>95</v>
      </c>
      <c r="B128" s="53">
        <v>212</v>
      </c>
      <c r="C128" s="63">
        <v>16</v>
      </c>
      <c r="D128" s="63">
        <v>14</v>
      </c>
      <c r="E128" s="57">
        <v>0.7</v>
      </c>
      <c r="F128" s="57"/>
      <c r="G128" s="57"/>
      <c r="H128" s="57">
        <v>0.3</v>
      </c>
      <c r="I128" s="56">
        <f t="shared" si="4"/>
        <v>3.8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63">
        <v>100</v>
      </c>
      <c r="B129" s="53">
        <v>216</v>
      </c>
      <c r="C129" s="63">
        <v>17</v>
      </c>
      <c r="D129" s="53">
        <v>216</v>
      </c>
      <c r="E129" s="57">
        <v>0.8</v>
      </c>
      <c r="F129" s="57"/>
      <c r="G129" s="57"/>
      <c r="H129" s="57">
        <v>0.2</v>
      </c>
      <c r="I129" s="56">
        <f t="shared" si="4"/>
        <v>3.6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63"/>
      <c r="B130" s="53"/>
      <c r="C130" s="6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63">
        <v>16</v>
      </c>
      <c r="B140" s="63">
        <v>16</v>
      </c>
      <c r="C140" s="63">
        <v>1</v>
      </c>
      <c r="D140" s="63">
        <v>0</v>
      </c>
      <c r="E140" s="54">
        <v>0</v>
      </c>
      <c r="F140" s="54">
        <v>0.56000000000000005</v>
      </c>
      <c r="G140" s="54">
        <v>0.44</v>
      </c>
      <c r="H140" s="94"/>
      <c r="I140" s="60">
        <f>IFERROR(B140/A140,"")</f>
        <v>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63">
        <v>22</v>
      </c>
      <c r="B141" s="63">
        <v>63.4</v>
      </c>
      <c r="C141" s="63">
        <v>2</v>
      </c>
      <c r="D141" s="63">
        <v>6.9</v>
      </c>
      <c r="E141" s="54">
        <v>0</v>
      </c>
      <c r="F141" s="54">
        <v>0.56000000000000005</v>
      </c>
      <c r="G141" s="54">
        <v>0.44</v>
      </c>
      <c r="H141" s="94"/>
      <c r="I141" s="60">
        <f t="shared" ref="I141:I159" si="5">IF(A141&lt;&gt;0,(B141-(B140-D140))/(A141-A140),"")</f>
        <v>7.8999999999999995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63">
        <v>28</v>
      </c>
      <c r="B142" s="63">
        <v>117</v>
      </c>
      <c r="C142" s="63">
        <v>3</v>
      </c>
      <c r="D142" s="63">
        <v>18.600000000000001</v>
      </c>
      <c r="E142" s="54">
        <v>0</v>
      </c>
      <c r="F142" s="54">
        <v>0.56000000000000005</v>
      </c>
      <c r="G142" s="54">
        <v>0.44</v>
      </c>
      <c r="H142" s="94"/>
      <c r="I142" s="60">
        <f t="shared" si="5"/>
        <v>10.083333333333334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63">
        <v>34</v>
      </c>
      <c r="B143" s="63">
        <v>163.69999999999999</v>
      </c>
      <c r="C143" s="63">
        <v>4</v>
      </c>
      <c r="D143" s="63">
        <v>35.4</v>
      </c>
      <c r="E143" s="54">
        <v>0.2</v>
      </c>
      <c r="F143" s="54">
        <v>0.44800000000000006</v>
      </c>
      <c r="G143" s="54">
        <v>0.35200000000000004</v>
      </c>
      <c r="H143" s="94"/>
      <c r="I143" s="60">
        <f t="shared" si="5"/>
        <v>10.883333333333331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63">
        <v>38</v>
      </c>
      <c r="B144" s="63">
        <v>167</v>
      </c>
      <c r="C144" s="63">
        <v>5</v>
      </c>
      <c r="D144" s="63">
        <v>0</v>
      </c>
      <c r="E144" s="54">
        <v>0.2</v>
      </c>
      <c r="F144" s="54">
        <v>0.44800000000000006</v>
      </c>
      <c r="G144" s="54">
        <v>0.35200000000000004</v>
      </c>
      <c r="H144" s="94"/>
      <c r="I144" s="60">
        <f t="shared" si="5"/>
        <v>9.6750000000000043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63">
        <v>42</v>
      </c>
      <c r="B145" s="63">
        <v>208.2</v>
      </c>
      <c r="C145" s="63">
        <v>6</v>
      </c>
      <c r="D145" s="63">
        <v>58.4</v>
      </c>
      <c r="E145" s="94">
        <v>0.5</v>
      </c>
      <c r="F145" s="94">
        <v>0.28000000000000003</v>
      </c>
      <c r="G145" s="94">
        <v>0.22</v>
      </c>
      <c r="H145" s="94"/>
      <c r="I145" s="60">
        <f t="shared" si="5"/>
        <v>10.299999999999997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63">
        <v>46</v>
      </c>
      <c r="B146" s="63">
        <v>182.2</v>
      </c>
      <c r="C146" s="63">
        <v>7</v>
      </c>
      <c r="D146" s="63">
        <v>0</v>
      </c>
      <c r="E146" s="94">
        <v>0.5</v>
      </c>
      <c r="F146" s="94">
        <v>0.28000000000000003</v>
      </c>
      <c r="G146" s="94">
        <v>0.22</v>
      </c>
      <c r="H146" s="94"/>
      <c r="I146" s="60">
        <f t="shared" si="5"/>
        <v>8.1000000000000014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3">
        <v>50</v>
      </c>
      <c r="B147" s="63">
        <v>215.6</v>
      </c>
      <c r="C147" s="63">
        <v>8</v>
      </c>
      <c r="D147" s="63">
        <v>215.6</v>
      </c>
      <c r="E147" s="94">
        <v>0.8</v>
      </c>
      <c r="F147" s="94">
        <v>0.11</v>
      </c>
      <c r="G147" s="94">
        <v>0.09</v>
      </c>
      <c r="H147" s="94"/>
      <c r="I147" s="60">
        <f>IF(A147&lt;&gt;0,(B147-(B146-D146))/(A147-A146),"")</f>
        <v>8.3500000000000014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3"/>
      <c r="B148" s="63"/>
      <c r="C148" s="63"/>
      <c r="D148" s="63"/>
      <c r="E148" s="94"/>
      <c r="F148" s="94"/>
      <c r="G148" s="94"/>
      <c r="H148" s="9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63"/>
      <c r="B149" s="63"/>
      <c r="C149" s="63"/>
      <c r="D149" s="63"/>
      <c r="E149" s="94"/>
      <c r="F149" s="94"/>
      <c r="G149" s="94"/>
      <c r="H149" s="9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63"/>
      <c r="B150" s="63"/>
      <c r="C150" s="63"/>
      <c r="D150" s="63"/>
      <c r="E150" s="94"/>
      <c r="F150" s="94"/>
      <c r="G150" s="94"/>
      <c r="H150" s="9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63"/>
      <c r="B151" s="63"/>
      <c r="C151" s="63"/>
      <c r="D151" s="63"/>
      <c r="E151" s="94"/>
      <c r="F151" s="94"/>
      <c r="G151" s="94"/>
      <c r="H151" s="9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63"/>
      <c r="B152" s="63"/>
      <c r="C152" s="63"/>
      <c r="D152" s="63"/>
      <c r="E152" s="68"/>
      <c r="F152" s="68"/>
      <c r="G152" s="68"/>
      <c r="H152" s="68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63"/>
      <c r="B153" s="63"/>
      <c r="C153" s="63"/>
      <c r="D153" s="63"/>
      <c r="E153" s="68"/>
      <c r="F153" s="68"/>
      <c r="G153" s="68"/>
      <c r="H153" s="68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63"/>
      <c r="B154" s="53"/>
      <c r="C154" s="6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63"/>
      <c r="B155" s="53"/>
      <c r="C155" s="6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63"/>
      <c r="B156" s="53"/>
      <c r="C156" s="6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63"/>
      <c r="B166" s="63"/>
      <c r="C166" s="63"/>
      <c r="D166" s="63"/>
      <c r="E166" s="54"/>
      <c r="F166" s="54"/>
      <c r="G166" s="54"/>
      <c r="H166" s="9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63"/>
      <c r="B167" s="63"/>
      <c r="C167" s="63"/>
      <c r="D167" s="63"/>
      <c r="E167" s="94"/>
      <c r="F167" s="94"/>
      <c r="G167" s="94"/>
      <c r="H167" s="9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63"/>
      <c r="B168" s="63"/>
      <c r="C168" s="63"/>
      <c r="D168" s="63"/>
      <c r="E168" s="94"/>
      <c r="F168" s="94"/>
      <c r="G168" s="94"/>
      <c r="H168" s="9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63"/>
      <c r="B169" s="63"/>
      <c r="C169" s="63"/>
      <c r="D169" s="63"/>
      <c r="E169" s="94"/>
      <c r="F169" s="94"/>
      <c r="G169" s="94"/>
      <c r="H169" s="9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63"/>
      <c r="B170" s="63"/>
      <c r="C170" s="63"/>
      <c r="D170" s="63"/>
      <c r="E170" s="94"/>
      <c r="F170" s="94"/>
      <c r="G170" s="94"/>
      <c r="H170" s="9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63"/>
      <c r="B171" s="63"/>
      <c r="C171" s="63"/>
      <c r="D171" s="63"/>
      <c r="E171" s="94"/>
      <c r="F171" s="94"/>
      <c r="G171" s="94"/>
      <c r="H171" s="9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63"/>
      <c r="B172" s="63"/>
      <c r="C172" s="63"/>
      <c r="D172" s="63"/>
      <c r="E172" s="94"/>
      <c r="F172" s="94"/>
      <c r="G172" s="94"/>
      <c r="H172" s="9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63"/>
      <c r="B173" s="63"/>
      <c r="C173" s="63"/>
      <c r="D173" s="63"/>
      <c r="E173" s="94"/>
      <c r="F173" s="94"/>
      <c r="G173" s="94"/>
      <c r="H173" s="9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63"/>
      <c r="B174" s="63"/>
      <c r="C174" s="63"/>
      <c r="D174" s="63"/>
      <c r="E174" s="94"/>
      <c r="F174" s="94"/>
      <c r="G174" s="94"/>
      <c r="H174" s="9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63"/>
      <c r="B175" s="63"/>
      <c r="C175" s="63"/>
      <c r="D175" s="63"/>
      <c r="E175" s="94"/>
      <c r="F175" s="94"/>
      <c r="G175" s="94"/>
      <c r="H175" s="9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63"/>
      <c r="B176" s="63"/>
      <c r="C176" s="63"/>
      <c r="D176" s="63"/>
      <c r="E176" s="94"/>
      <c r="F176" s="94"/>
      <c r="G176" s="94"/>
      <c r="H176" s="9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63"/>
      <c r="B177" s="63"/>
      <c r="C177" s="63"/>
      <c r="D177" s="63"/>
      <c r="E177" s="68"/>
      <c r="F177" s="68"/>
      <c r="G177" s="68"/>
      <c r="H177" s="68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63"/>
      <c r="B178" s="63"/>
      <c r="C178" s="63"/>
      <c r="D178" s="63"/>
      <c r="E178" s="68"/>
      <c r="F178" s="68"/>
      <c r="G178" s="68"/>
      <c r="H178" s="68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63"/>
      <c r="B179" s="53"/>
      <c r="C179" s="63"/>
      <c r="D179" s="63"/>
      <c r="E179" s="57"/>
      <c r="F179" s="57"/>
      <c r="G179" s="57"/>
      <c r="H179" s="57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63"/>
      <c r="B180" s="53"/>
      <c r="C180" s="63"/>
      <c r="D180" s="6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63"/>
      <c r="B181" s="53"/>
      <c r="C181" s="6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63"/>
      <c r="B182" s="53"/>
      <c r="C182" s="63"/>
      <c r="D182" s="53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D1" zoomScale="85" zoomScaleNormal="85" workbookViewId="0">
      <selection activeCell="C28" sqref="C2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0</v>
      </c>
      <c r="C8" s="52" t="s">
        <v>177</v>
      </c>
      <c r="D8" s="25"/>
      <c r="E8" s="115">
        <v>4</v>
      </c>
      <c r="F8" s="64">
        <v>1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1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0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Chêne sessile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Pin laricio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Alisier torminal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/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182.76154982630777</v>
      </c>
      <c r="T3" s="62">
        <f>IF('Données projet'!E9&gt;30,$R$33-$H$33,LOOKUP('Données projet'!$E$9,$A$3:$A$203,R3:R203)-LOOKUP('Données projet'!$E$9,$A$3:$A$203,$H$3:$H$203))</f>
        <v>119.92190922866632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212.1966338656834</v>
      </c>
      <c r="AO3" s="62">
        <f>IF('Données projet'!E10&gt;30,$AM$33-$H$33,LOOKUP('Données projet'!$E$10,$A$3:$A$203,AM3:AM203)-LOOKUP('Données projet'!$E$10,$A$3:$A$203,$H$3:$H$203))</f>
        <v>194.52809733694494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84.664683404322943</v>
      </c>
      <c r="BJ3" s="62">
        <f>IF('Données projet'!E11&gt;30,$BH$33-$H$33,LOOKUP('Données projet'!$E$11,$A$3:$A$203,BH3:BH203)-LOOKUP('Données projet'!$E$11,$A$3:$A$203,$H$3:$H$203))</f>
        <v>79.209234837679901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</v>
      </c>
      <c r="N4" s="14">
        <f>IF('Données projet'!$A$36&gt;35,N3+M4-V3,IF(A4&lt;'Données projet'!$A$36,$K$205^A4,IF(A4='Données projet'!$A$36,'Données projet'!$B$36,N3+M4-V3)))</f>
        <v>3</v>
      </c>
      <c r="O4" s="14">
        <f>N4*VLOOKUP('Données projet'!$B$9,Paramètres!$A$1:$I$88,3,0)*VLOOKUP('Données projet'!$B$9,Paramètres!$A$1:$I$88,5,0)</f>
        <v>2.7143999999999999</v>
      </c>
      <c r="P4" s="14">
        <f>EXP(-1.0587+0.8836*LN(O4)+0.284)</f>
        <v>1.1136437287183383</v>
      </c>
      <c r="Q4" s="22">
        <f t="shared" ref="Q4:Q34" si="2">(O4+P4)*0.475*44/12</f>
        <v>6.6671761608511053</v>
      </c>
      <c r="R4" s="62">
        <f t="shared" si="0"/>
        <v>300.00050949418443</v>
      </c>
      <c r="S4" s="62">
        <f ca="1">AVERAGE(OFFSET($R$3,0,0,'Données projet'!$E$9+1,1))-AVERAGE(OFFSET($H$3,0,0,'Données projet'!$E$9+1,1))</f>
        <v>182.76154982630777</v>
      </c>
      <c r="T4" s="62">
        <f>$T$3</f>
        <v>119.92190922866632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projet'!$B$10,Paramètres!$A$1:$I$88,3,0)*VLOOKUP('Données projet'!$B$10,Paramètres!$A$1:$I$88,5,0)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2">
        <f t="shared" ref="AM4:AM67" si="5">AL4+(AD4+AE4)*44/12</f>
        <v>295.24773087079586</v>
      </c>
      <c r="AN4" s="62">
        <f ca="1">AVERAGE(OFFSET($AM$3,0,0,'Données projet'!$E$10+1,1))-AVERAGE(OFFSET($H$3,0,0,'Données projet'!$E$10+1,1))</f>
        <v>212.1966338656834</v>
      </c>
      <c r="AO4" s="62">
        <f>$AO$3</f>
        <v>194.52809733694494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2.1607142857142856</v>
      </c>
      <c r="BD4" s="13">
        <f>IF('Données projet'!$A$88&gt;35,BD3+BC4-BL3,IF(A4&lt;'Données projet'!$A$88,$BA$205^A4,IF(A4='Données projet'!$A$88,'Données projet'!$B$88,BD3+BC4-BL3)))</f>
        <v>2.1607142857142856</v>
      </c>
      <c r="BE4" s="14">
        <f>BD4*VLOOKUP('Données projet'!$B$11,Paramètres!$A$1:$I$88,3,0)*VLOOKUP('Données projet'!$B$11,Paramètres!$A$1:$I$88,5,0)</f>
        <v>2.0898428571428571</v>
      </c>
      <c r="BF4" s="14">
        <f>EXP(-1.0587+0.8836*LN(BE4)+0.284)</f>
        <v>0.883902718018172</v>
      </c>
      <c r="BG4" s="22">
        <f t="shared" ref="BG4:BG67" si="7">(BE4+BF4)*0.475*44/12</f>
        <v>5.1792735434054586</v>
      </c>
      <c r="BH4" s="62">
        <f t="shared" ref="BH4:BH67" si="8">BG4+(AY4+AZ4)*44/12</f>
        <v>298.5126068767388</v>
      </c>
      <c r="BI4" s="62">
        <f ca="1">AVERAGE(OFFSET($BH$3,0,0,'Données projet'!$E$11+1,1))-AVERAGE(OFFSET($H$3,0,0,'Données projet'!$E$11+1,1))</f>
        <v>84.664683404322943</v>
      </c>
      <c r="BJ4" s="62">
        <f>$BJ$3</f>
        <v>79.209234837679901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1.2</v>
      </c>
      <c r="BY4" s="13">
        <f>IF('Données projet'!$A$114&gt;35,BY3+BX4-CG3,IF(A4&lt;'Données projet'!$A$114,$BV$205^A4,IF(A4='Données projet'!$A$114,'Données projet'!$B$114,BY3+BX4-CG3)))</f>
        <v>1.1457367676485573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</v>
      </c>
      <c r="CT4" s="13">
        <f>IF('Données projet'!$A$140&gt;35,CT3+CS4-DB3,IF(A4&lt;'Données projet'!$A$140,$CQ$205^A4,IF(A4='Données projet'!$A$140,'Données projet'!$B$140,CT3+CS4-DB3)))</f>
        <v>1.189207115002721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</v>
      </c>
      <c r="N5" s="14">
        <f>IF('Données projet'!$A$36&gt;35,N4+M5-V4,IF(A5&lt;'Données projet'!$A$36,$K$205^A5,IF(A5='Données projet'!$A$36,'Données projet'!$B$36,N4+M5-V4)))</f>
        <v>6</v>
      </c>
      <c r="O5" s="14">
        <f>N5*VLOOKUP('Données projet'!$B$9,Paramètres!$A$1:$I$88,3,0)*VLOOKUP('Données projet'!$B$9,Paramètres!$A$1:$I$88,5,0)</f>
        <v>5.4287999999999998</v>
      </c>
      <c r="P5" s="14">
        <f t="shared" ref="P5:P68" si="33">EXP(-1.0587+0.8836*LN(O5)+0.284)</f>
        <v>2.0546430333413586</v>
      </c>
      <c r="Q5" s="22">
        <f t="shared" si="2"/>
        <v>13.033663283069531</v>
      </c>
      <c r="R5" s="62">
        <f t="shared" si="0"/>
        <v>306.36699661640284</v>
      </c>
      <c r="S5" s="62">
        <f ca="1">AVERAGE(OFFSET($R$3,0,0,'Données projet'!$E$9+1,1))-AVERAGE(OFFSET($H$3,0,0,'Données projet'!$E$9+1,1))</f>
        <v>182.76154982630777</v>
      </c>
      <c r="T5" s="62">
        <f t="shared" ref="T5:T68" si="34">$T$3</f>
        <v>119.92190922866632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projet'!$B$10,Paramètres!$A$1:$I$88,3,0)*VLOOKUP('Données projet'!$B$10,Paramètres!$A$1:$I$88,5,0)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2">
        <f t="shared" si="5"/>
        <v>295.69646345569345</v>
      </c>
      <c r="AN5" s="62">
        <f ca="1">AVERAGE(OFFSET($AM$3,0,0,'Données projet'!$E$10+1,1))-AVERAGE(OFFSET($H$3,0,0,'Données projet'!$E$10+1,1))</f>
        <v>212.1966338656834</v>
      </c>
      <c r="AO5" s="62">
        <f t="shared" ref="AO5:AO68" si="36">$AO$3</f>
        <v>194.52809733694494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2.1607142857142856</v>
      </c>
      <c r="BD5" s="13">
        <f>IF('Données projet'!$A$88&gt;35,BD4+BC5-BL4,IF(A5&lt;'Données projet'!$A$88,$BA$205^A5,IF(A5='Données projet'!$A$88,'Données projet'!$B$88,BD4+BC5-BL4)))</f>
        <v>4.3214285714285712</v>
      </c>
      <c r="BE5" s="14">
        <f>BD5*VLOOKUP('Données projet'!$B$11,Paramètres!$A$1:$I$88,3,0)*VLOOKUP('Données projet'!$B$11,Paramètres!$A$1:$I$88,5,0)</f>
        <v>4.1796857142857142</v>
      </c>
      <c r="BF5" s="14">
        <f t="shared" ref="BF5:BF68" si="37">EXP(-1.0587+0.8836*LN(BE5)+0.284)</f>
        <v>1.6307769845008087</v>
      </c>
      <c r="BG5" s="22">
        <f t="shared" si="7"/>
        <v>10.119889200386526</v>
      </c>
      <c r="BH5" s="62">
        <f t="shared" si="8"/>
        <v>303.45322253371984</v>
      </c>
      <c r="BI5" s="62">
        <f ca="1">AVERAGE(OFFSET($BH$3,0,0,'Données projet'!$E$11+1,1))-AVERAGE(OFFSET($H$3,0,0,'Données projet'!$E$11+1,1))</f>
        <v>84.664683404322943</v>
      </c>
      <c r="BJ5" s="62">
        <f t="shared" ref="BJ5:BJ68" si="38">$BJ$3</f>
        <v>79.209234837679901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1.2</v>
      </c>
      <c r="BY5" s="13">
        <f>IF('Données projet'!$A$114&gt;35,BY4+BX5-CG4,IF(A5&lt;'Données projet'!$A$114,$BV$205^A5,IF(A5='Données projet'!$A$114,'Données projet'!$B$114,BY4+BX5-CG4)))</f>
        <v>1.312712740741764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</v>
      </c>
      <c r="CT5" s="13">
        <f>IF('Données projet'!$A$140&gt;35,CT4+CS5-DB4,IF(A5&lt;'Données projet'!$A$140,$CQ$205^A5,IF(A5='Données projet'!$A$140,'Données projet'!$B$140,CT4+CS5-DB4)))</f>
        <v>1.4142135623730949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</v>
      </c>
      <c r="N6" s="14">
        <f>IF('Données projet'!$A$36&gt;35,N5+M6-V5,IF(A6&lt;'Données projet'!$A$36,$K$205^A6,IF(A6='Données projet'!$A$36,'Données projet'!$B$36,N5+M6-V5)))</f>
        <v>9</v>
      </c>
      <c r="O6" s="14">
        <f>N6*VLOOKUP('Données projet'!$B$9,Paramètres!$A$1:$I$88,3,0)*VLOOKUP('Données projet'!$B$9,Paramètres!$A$1:$I$88,5,0)</f>
        <v>8.1432000000000002</v>
      </c>
      <c r="P6" s="14">
        <f t="shared" si="33"/>
        <v>2.9398868551895574</v>
      </c>
      <c r="Q6" s="22">
        <f t="shared" si="2"/>
        <v>19.303042939455146</v>
      </c>
      <c r="R6" s="62">
        <f t="shared" si="0"/>
        <v>312.63637627278848</v>
      </c>
      <c r="S6" s="62">
        <f ca="1">AVERAGE(OFFSET($R$3,0,0,'Données projet'!$E$9+1,1))-AVERAGE(OFFSET($H$3,0,0,'Données projet'!$E$9+1,1))</f>
        <v>182.76154982630777</v>
      </c>
      <c r="T6" s="62">
        <f t="shared" si="34"/>
        <v>119.92190922866632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projet'!$B$10,Paramètres!$A$1:$I$88,3,0)*VLOOKUP('Données projet'!$B$10,Paramètres!$A$1:$I$88,5,0)</f>
        <v>1.152625556305497</v>
      </c>
      <c r="AK6" s="14">
        <f t="shared" si="35"/>
        <v>0.52246812247269758</v>
      </c>
      <c r="AL6" s="22">
        <f t="shared" si="4"/>
        <v>2.9174548238720219</v>
      </c>
      <c r="AM6" s="62">
        <f t="shared" si="5"/>
        <v>296.25078815720536</v>
      </c>
      <c r="AN6" s="62">
        <f ca="1">AVERAGE(OFFSET($AM$3,0,0,'Données projet'!$E$10+1,1))-AVERAGE(OFFSET($H$3,0,0,'Données projet'!$E$10+1,1))</f>
        <v>212.1966338656834</v>
      </c>
      <c r="AO6" s="62">
        <f t="shared" si="36"/>
        <v>194.52809733694494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2.1607142857142856</v>
      </c>
      <c r="BD6" s="13">
        <f>IF('Données projet'!$A$88&gt;35,BD5+BC6-BL5,IF(A6&lt;'Données projet'!$A$88,$BA$205^A6,IF(A6='Données projet'!$A$88,'Données projet'!$B$88,BD5+BC6-BL5)))</f>
        <v>6.4821428571428568</v>
      </c>
      <c r="BE6" s="14">
        <f>BD6*VLOOKUP('Données projet'!$B$11,Paramètres!$A$1:$I$88,3,0)*VLOOKUP('Données projet'!$B$11,Paramètres!$A$1:$I$88,5,0)</f>
        <v>6.2695285714285713</v>
      </c>
      <c r="BF6" s="14">
        <f t="shared" si="37"/>
        <v>2.3333979395354496</v>
      </c>
      <c r="BG6" s="22">
        <f t="shared" si="7"/>
        <v>14.983430339929001</v>
      </c>
      <c r="BH6" s="62">
        <f t="shared" si="8"/>
        <v>308.3167636732623</v>
      </c>
      <c r="BI6" s="62">
        <f ca="1">AVERAGE(OFFSET($BH$3,0,0,'Données projet'!$E$11+1,1))-AVERAGE(OFFSET($H$3,0,0,'Données projet'!$E$11+1,1))</f>
        <v>84.664683404322943</v>
      </c>
      <c r="BJ6" s="62">
        <f t="shared" si="38"/>
        <v>79.209234837679901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1.2</v>
      </c>
      <c r="BY6" s="13">
        <f>IF('Données projet'!$A$114&gt;35,BY5+BX6-CG5,IF(A6&lt;'Données projet'!$A$114,$BV$205^A6,IF(A6='Données projet'!$A$114,'Données projet'!$B$114,BY5+BX6-CG5)))</f>
        <v>1.5040232524285473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</v>
      </c>
      <c r="CT6" s="13">
        <f>IF('Données projet'!$A$140&gt;35,CT5+CS6-DB5,IF(A6&lt;'Données projet'!$A$140,$CQ$205^A6,IF(A6='Données projet'!$A$140,'Données projet'!$B$140,CT5+CS6-DB5)))</f>
        <v>1.6817928305074288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</v>
      </c>
      <c r="N7" s="14">
        <f>IF('Données projet'!$A$36&gt;35,N6+M7-V6,IF(A7&lt;'Données projet'!$A$36,$K$205^A7,IF(A7='Données projet'!$A$36,'Données projet'!$B$36,N6+M7-V6)))</f>
        <v>12</v>
      </c>
      <c r="O7" s="14">
        <f>N7*VLOOKUP('Données projet'!$B$9,Paramètres!$A$1:$I$88,3,0)*VLOOKUP('Données projet'!$B$9,Paramètres!$A$1:$I$88,5,0)</f>
        <v>10.8576</v>
      </c>
      <c r="P7" s="14">
        <f t="shared" si="33"/>
        <v>3.7907617001683773</v>
      </c>
      <c r="Q7" s="22">
        <f t="shared" si="2"/>
        <v>25.512563294459923</v>
      </c>
      <c r="R7" s="62">
        <f t="shared" si="0"/>
        <v>318.84589662779325</v>
      </c>
      <c r="S7" s="62">
        <f ca="1">AVERAGE(OFFSET($R$3,0,0,'Données projet'!$E$9+1,1))-AVERAGE(OFFSET($H$3,0,0,'Données projet'!$E$9+1,1))</f>
        <v>182.76154982630777</v>
      </c>
      <c r="T7" s="62">
        <f t="shared" si="34"/>
        <v>119.92190922866632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projet'!$B$10,Paramètres!$A$1:$I$88,3,0)*VLOOKUP('Données projet'!$B$10,Paramètres!$A$1:$I$88,5,0)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2">
        <f t="shared" si="5"/>
        <v>296.93564317983407</v>
      </c>
      <c r="AN7" s="62">
        <f ca="1">AVERAGE(OFFSET($AM$3,0,0,'Données projet'!$E$10+1,1))-AVERAGE(OFFSET($H$3,0,0,'Données projet'!$E$10+1,1))</f>
        <v>212.1966338656834</v>
      </c>
      <c r="AO7" s="62">
        <f t="shared" si="36"/>
        <v>194.52809733694494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2.1607142857142856</v>
      </c>
      <c r="BD7" s="13">
        <f>IF('Données projet'!$A$88&gt;35,BD6+BC7-BL6,IF(A7&lt;'Données projet'!$A$88,$BA$205^A7,IF(A7='Données projet'!$A$88,'Données projet'!$B$88,BD6+BC7-BL6)))</f>
        <v>8.6428571428571423</v>
      </c>
      <c r="BE7" s="14">
        <f>BD7*VLOOKUP('Données projet'!$B$11,Paramètres!$A$1:$I$88,3,0)*VLOOKUP('Données projet'!$B$11,Paramètres!$A$1:$I$88,5,0)</f>
        <v>8.3593714285714285</v>
      </c>
      <c r="BF7" s="14">
        <f t="shared" si="37"/>
        <v>3.0087401237325722</v>
      </c>
      <c r="BG7" s="22">
        <f t="shared" si="7"/>
        <v>19.799460953596135</v>
      </c>
      <c r="BH7" s="62">
        <f t="shared" si="8"/>
        <v>313.13279428692942</v>
      </c>
      <c r="BI7" s="62">
        <f ca="1">AVERAGE(OFFSET($BH$3,0,0,'Données projet'!$E$11+1,1))-AVERAGE(OFFSET($H$3,0,0,'Données projet'!$E$11+1,1))</f>
        <v>84.664683404322943</v>
      </c>
      <c r="BJ7" s="62">
        <f t="shared" si="38"/>
        <v>79.209234837679901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1.2</v>
      </c>
      <c r="BY7" s="13">
        <f>IF('Données projet'!$A$114&gt;35,BY6+BX7-CG6,IF(A7&lt;'Données projet'!$A$114,$BV$205^A7,IF(A7='Données projet'!$A$114,'Données projet'!$B$114,BY6+BX7-CG6)))</f>
        <v>1.7232147397057538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</v>
      </c>
      <c r="CT7" s="13">
        <f>IF('Données projet'!$A$140&gt;35,CT6+CS7-DB6,IF(A7&lt;'Données projet'!$A$140,$CQ$205^A7,IF(A7='Données projet'!$A$140,'Données projet'!$B$140,CT6+CS7-DB6)))</f>
        <v>1.9999999999999996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</v>
      </c>
      <c r="N8" s="14">
        <f>IF('Données projet'!$A$36&gt;35,N7+M8-V7,IF(A8&lt;'Données projet'!$A$36,$K$205^A8,IF(A8='Données projet'!$A$36,'Données projet'!$B$36,N7+M8-V7)))</f>
        <v>15</v>
      </c>
      <c r="O8" s="14">
        <f>N8*VLOOKUP('Données projet'!$B$9,Paramètres!$A$1:$I$88,3,0)*VLOOKUP('Données projet'!$B$9,Paramètres!$A$1:$I$88,5,0)</f>
        <v>13.571999999999999</v>
      </c>
      <c r="P8" s="14">
        <f t="shared" si="33"/>
        <v>4.6169606338501863</v>
      </c>
      <c r="Q8" s="22">
        <f t="shared" si="2"/>
        <v>31.679106437289075</v>
      </c>
      <c r="R8" s="62">
        <f t="shared" si="0"/>
        <v>325.01243977062239</v>
      </c>
      <c r="S8" s="62">
        <f ca="1">AVERAGE(OFFSET($R$3,0,0,'Données projet'!$E$9+1,1))-AVERAGE(OFFSET($H$3,0,0,'Données projet'!$E$9+1,1))</f>
        <v>182.76154982630777</v>
      </c>
      <c r="T8" s="62">
        <f t="shared" si="34"/>
        <v>119.92190922866632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projet'!$B$10,Paramètres!$A$1:$I$88,3,0)*VLOOKUP('Données projet'!$B$10,Paramètres!$A$1:$I$88,5,0)</f>
        <v>1.785170158453756</v>
      </c>
      <c r="AK8" s="14">
        <f t="shared" si="35"/>
        <v>0.7690174164926461</v>
      </c>
      <c r="AL8" s="22">
        <f t="shared" si="4"/>
        <v>4.4485433596983173</v>
      </c>
      <c r="AM8" s="62">
        <f t="shared" si="5"/>
        <v>297.78187669303162</v>
      </c>
      <c r="AN8" s="62">
        <f ca="1">AVERAGE(OFFSET($AM$3,0,0,'Données projet'!$E$10+1,1))-AVERAGE(OFFSET($H$3,0,0,'Données projet'!$E$10+1,1))</f>
        <v>212.1966338656834</v>
      </c>
      <c r="AO8" s="62">
        <f t="shared" si="36"/>
        <v>194.52809733694494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2.1607142857142856</v>
      </c>
      <c r="BD8" s="13">
        <f>IF('Données projet'!$A$88&gt;35,BD7+BC8-BL7,IF(A8&lt;'Données projet'!$A$88,$BA$205^A8,IF(A8='Données projet'!$A$88,'Données projet'!$B$88,BD7+BC8-BL7)))</f>
        <v>10.803571428571427</v>
      </c>
      <c r="BE8" s="14">
        <f>BD8*VLOOKUP('Données projet'!$B$11,Paramètres!$A$1:$I$88,3,0)*VLOOKUP('Données projet'!$B$11,Paramètres!$A$1:$I$88,5,0)</f>
        <v>10.449214285714284</v>
      </c>
      <c r="BF8" s="14">
        <f t="shared" si="37"/>
        <v>3.6644969553590783</v>
      </c>
      <c r="BG8" s="22">
        <f t="shared" si="7"/>
        <v>24.581380411536106</v>
      </c>
      <c r="BH8" s="62">
        <f t="shared" si="8"/>
        <v>317.9147137448694</v>
      </c>
      <c r="BI8" s="62">
        <f ca="1">AVERAGE(OFFSET($BH$3,0,0,'Données projet'!$E$11+1,1))-AVERAGE(OFFSET($H$3,0,0,'Données projet'!$E$11+1,1))</f>
        <v>84.664683404322943</v>
      </c>
      <c r="BJ8" s="62">
        <f t="shared" si="38"/>
        <v>79.209234837679901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1.2</v>
      </c>
      <c r="BY8" s="13">
        <f>IF('Données projet'!$A$114&gt;35,BY7+BX8-CG7,IF(A8&lt;'Données projet'!$A$114,$BV$205^A8,IF(A8='Données projet'!$A$114,'Données projet'!$B$114,BY7+BX8-CG7)))</f>
        <v>1.9743504858348202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</v>
      </c>
      <c r="CT8" s="13">
        <f>IF('Données projet'!$A$140&gt;35,CT7+CS8-DB7,IF(A8&lt;'Données projet'!$A$140,$CQ$205^A8,IF(A8='Données projet'!$A$140,'Données projet'!$B$140,CT7+CS8-DB7)))</f>
        <v>2.3784142300054416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</v>
      </c>
      <c r="N9" s="14">
        <f>IF('Données projet'!$A$36&gt;35,N8+M9-V8,IF(A9&lt;'Données projet'!$A$36,$K$205^A9,IF(A9='Données projet'!$A$36,'Données projet'!$B$36,N8+M9-V8)))</f>
        <v>18</v>
      </c>
      <c r="O9" s="14">
        <f>N9*VLOOKUP('Données projet'!$B$9,Paramètres!$A$1:$I$88,3,0)*VLOOKUP('Données projet'!$B$9,Paramètres!$A$1:$I$88,5,0)</f>
        <v>16.2864</v>
      </c>
      <c r="P9" s="14">
        <f t="shared" si="33"/>
        <v>5.4240129855342607</v>
      </c>
      <c r="Q9" s="22">
        <f t="shared" si="2"/>
        <v>37.812302616472174</v>
      </c>
      <c r="R9" s="62">
        <f t="shared" si="0"/>
        <v>331.14563594980547</v>
      </c>
      <c r="S9" s="62">
        <f ca="1">AVERAGE(OFFSET($R$3,0,0,'Données projet'!$E$9+1,1))-AVERAGE(OFFSET($H$3,0,0,'Données projet'!$E$9+1,1))</f>
        <v>182.76154982630777</v>
      </c>
      <c r="T9" s="62">
        <f t="shared" si="34"/>
        <v>119.92190922866632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projet'!$B$10,Paramètres!$A$1:$I$88,3,0)*VLOOKUP('Données projet'!$B$10,Paramètres!$A$1:$I$88,5,0)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2">
        <f t="shared" si="5"/>
        <v>298.82765185669996</v>
      </c>
      <c r="AN9" s="62">
        <f ca="1">AVERAGE(OFFSET($AM$3,0,0,'Données projet'!$E$10+1,1))-AVERAGE(OFFSET($H$3,0,0,'Données projet'!$E$10+1,1))</f>
        <v>212.1966338656834</v>
      </c>
      <c r="AO9" s="62">
        <f t="shared" si="36"/>
        <v>194.52809733694494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2.1607142857142856</v>
      </c>
      <c r="BD9" s="13">
        <f>IF('Données projet'!$A$88&gt;35,BD8+BC9-BL8,IF(A9&lt;'Données projet'!$A$88,$BA$205^A9,IF(A9='Données projet'!$A$88,'Données projet'!$B$88,BD8+BC9-BL8)))</f>
        <v>12.964285714285712</v>
      </c>
      <c r="BE9" s="14">
        <f>BD9*VLOOKUP('Données projet'!$B$11,Paramètres!$A$1:$I$88,3,0)*VLOOKUP('Données projet'!$B$11,Paramètres!$A$1:$I$88,5,0)</f>
        <v>12.539057142857143</v>
      </c>
      <c r="BF9" s="14">
        <f t="shared" si="37"/>
        <v>4.3050570814035991</v>
      </c>
      <c r="BG9" s="22">
        <f t="shared" si="7"/>
        <v>29.336832273920795</v>
      </c>
      <c r="BH9" s="62">
        <f t="shared" si="8"/>
        <v>322.67016560725409</v>
      </c>
      <c r="BI9" s="62">
        <f ca="1">AVERAGE(OFFSET($BH$3,0,0,'Données projet'!$E$11+1,1))-AVERAGE(OFFSET($H$3,0,0,'Données projet'!$E$11+1,1))</f>
        <v>84.664683404322943</v>
      </c>
      <c r="BJ9" s="62">
        <f t="shared" si="38"/>
        <v>79.209234837679901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1.2</v>
      </c>
      <c r="BY9" s="13">
        <f>IF('Données projet'!$A$114&gt;35,BY8+BX9-CG8,IF(A9&lt;'Données projet'!$A$114,$BV$205^A9,IF(A9='Données projet'!$A$114,'Données projet'!$B$114,BY8+BX9-CG8)))</f>
        <v>2.2620859438457455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</v>
      </c>
      <c r="CT9" s="13">
        <f>IF('Données projet'!$A$140&gt;35,CT8+CS9-DB8,IF(A9&lt;'Données projet'!$A$140,$CQ$205^A9,IF(A9='Données projet'!$A$140,'Données projet'!$B$140,CT8+CS9-DB8)))</f>
        <v>2.8284271247461894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</v>
      </c>
      <c r="N10" s="14">
        <f>IF('Données projet'!$A$36&gt;35,N9+M10-V9,IF(A10&lt;'Données projet'!$A$36,$K$205^A10,IF(A10='Données projet'!$A$36,'Données projet'!$B$36,N9+M10-V9)))</f>
        <v>21</v>
      </c>
      <c r="O10" s="14">
        <f>N10*VLOOKUP('Données projet'!$B$9,Paramètres!$A$1:$I$88,3,0)*VLOOKUP('Données projet'!$B$9,Paramètres!$A$1:$I$88,5,0)</f>
        <v>19.000800000000002</v>
      </c>
      <c r="P10" s="14">
        <f t="shared" si="33"/>
        <v>6.2154833000252001</v>
      </c>
      <c r="Q10" s="22">
        <f t="shared" si="2"/>
        <v>43.918360080877228</v>
      </c>
      <c r="R10" s="62">
        <f t="shared" si="0"/>
        <v>337.25169341421054</v>
      </c>
      <c r="S10" s="62">
        <f ca="1">AVERAGE(OFFSET($R$3,0,0,'Données projet'!$E$9+1,1))-AVERAGE(OFFSET($H$3,0,0,'Données projet'!$E$9+1,1))</f>
        <v>182.76154982630777</v>
      </c>
      <c r="T10" s="62">
        <f t="shared" si="34"/>
        <v>119.92190922866632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projet'!$B$10,Paramètres!$A$1:$I$88,3,0)*VLOOKUP('Données projet'!$B$10,Paramètres!$A$1:$I$88,5,0)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2">
        <f t="shared" si="5"/>
        <v>300.12018685543694</v>
      </c>
      <c r="AN10" s="62">
        <f ca="1">AVERAGE(OFFSET($AM$3,0,0,'Données projet'!$E$10+1,1))-AVERAGE(OFFSET($H$3,0,0,'Données projet'!$E$10+1,1))</f>
        <v>212.1966338656834</v>
      </c>
      <c r="AO10" s="62">
        <f t="shared" si="36"/>
        <v>194.52809733694494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2.1607142857142856</v>
      </c>
      <c r="BD10" s="13">
        <f>IF('Données projet'!$A$88&gt;35,BD9+BC10-BL9,IF(A10&lt;'Données projet'!$A$88,$BA$205^A10,IF(A10='Données projet'!$A$88,'Données projet'!$B$88,BD9+BC10-BL9)))</f>
        <v>15.124999999999996</v>
      </c>
      <c r="BE10" s="14">
        <f>BD10*VLOOKUP('Données projet'!$B$11,Paramètres!$A$1:$I$88,3,0)*VLOOKUP('Données projet'!$B$11,Paramètres!$A$1:$I$88,5,0)</f>
        <v>14.628899999999996</v>
      </c>
      <c r="BF10" s="14">
        <f t="shared" si="37"/>
        <v>4.9332496928901906</v>
      </c>
      <c r="BG10" s="22">
        <f t="shared" si="7"/>
        <v>34.070744048450408</v>
      </c>
      <c r="BH10" s="62">
        <f t="shared" si="8"/>
        <v>327.40407738178374</v>
      </c>
      <c r="BI10" s="62">
        <f ca="1">AVERAGE(OFFSET($BH$3,0,0,'Données projet'!$E$11+1,1))-AVERAGE(OFFSET($H$3,0,0,'Données projet'!$E$11+1,1))</f>
        <v>84.664683404322943</v>
      </c>
      <c r="BJ10" s="62">
        <f t="shared" si="38"/>
        <v>79.209234837679901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1.2</v>
      </c>
      <c r="BY10" s="13">
        <f>IF('Données projet'!$A$114&gt;35,BY9+BX10-CG9,IF(A10&lt;'Données projet'!$A$114,$BV$205^A10,IF(A10='Données projet'!$A$114,'Données projet'!$B$114,BY9+BX10-CG9)))</f>
        <v>2.5917550374450604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</v>
      </c>
      <c r="CT10" s="13">
        <f>IF('Données projet'!$A$140&gt;35,CT9+CS10-DB9,IF(A10&lt;'Données projet'!$A$140,$CQ$205^A10,IF(A10='Données projet'!$A$140,'Données projet'!$B$140,CT9+CS10-DB9)))</f>
        <v>3.3635856610148567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</v>
      </c>
      <c r="N11" s="14">
        <f>IF('Données projet'!$A$36&gt;35,N10+M11-V10,IF(A11&lt;'Données projet'!$A$36,$K$205^A11,IF(A11='Données projet'!$A$36,'Données projet'!$B$36,N10+M11-V10)))</f>
        <v>24</v>
      </c>
      <c r="O11" s="14">
        <f>N11*VLOOKUP('Données projet'!$B$9,Paramètres!$A$1:$I$88,3,0)*VLOOKUP('Données projet'!$B$9,Paramètres!$A$1:$I$88,5,0)</f>
        <v>21.715199999999999</v>
      </c>
      <c r="P11" s="14">
        <f t="shared" si="33"/>
        <v>6.9938544235075568</v>
      </c>
      <c r="Q11" s="22">
        <f t="shared" si="2"/>
        <v>50.00160312094232</v>
      </c>
      <c r="R11" s="62">
        <f t="shared" si="0"/>
        <v>343.33493645427563</v>
      </c>
      <c r="S11" s="62">
        <f ca="1">AVERAGE(OFFSET($R$3,0,0,'Données projet'!$E$9+1,1))-AVERAGE(OFFSET($H$3,0,0,'Données projet'!$E$9+1,1))</f>
        <v>182.76154982630777</v>
      </c>
      <c r="T11" s="62">
        <f t="shared" si="34"/>
        <v>119.92190922866632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projet'!$B$10,Paramètres!$A$1:$I$88,3,0)*VLOOKUP('Données projet'!$B$10,Paramètres!$A$1:$I$88,5,0)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2">
        <f t="shared" si="5"/>
        <v>301.71791003464585</v>
      </c>
      <c r="AN11" s="62">
        <f ca="1">AVERAGE(OFFSET($AM$3,0,0,'Données projet'!$E$10+1,1))-AVERAGE(OFFSET($H$3,0,0,'Données projet'!$E$10+1,1))</f>
        <v>212.1966338656834</v>
      </c>
      <c r="AO11" s="62">
        <f t="shared" si="36"/>
        <v>194.52809733694494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2.1607142857142856</v>
      </c>
      <c r="BD11" s="13">
        <f>IF('Données projet'!$A$88&gt;35,BD10+BC11-BL10,IF(A11&lt;'Données projet'!$A$88,$BA$205^A11,IF(A11='Données projet'!$A$88,'Données projet'!$B$88,BD10+BC11-BL10)))</f>
        <v>17.285714285714281</v>
      </c>
      <c r="BE11" s="14">
        <f>BD11*VLOOKUP('Données projet'!$B$11,Paramètres!$A$1:$I$88,3,0)*VLOOKUP('Données projet'!$B$11,Paramètres!$A$1:$I$88,5,0)</f>
        <v>16.718742857142853</v>
      </c>
      <c r="BF11" s="14">
        <f t="shared" si="37"/>
        <v>5.5510454330635053</v>
      </c>
      <c r="BG11" s="22">
        <f t="shared" si="7"/>
        <v>38.786547938776067</v>
      </c>
      <c r="BH11" s="62">
        <f t="shared" si="8"/>
        <v>332.11988127210941</v>
      </c>
      <c r="BI11" s="62">
        <f ca="1">AVERAGE(OFFSET($BH$3,0,0,'Données projet'!$E$11+1,1))-AVERAGE(OFFSET($H$3,0,0,'Données projet'!$E$11+1,1))</f>
        <v>84.664683404322943</v>
      </c>
      <c r="BJ11" s="62">
        <f t="shared" si="38"/>
        <v>79.209234837679901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1.2</v>
      </c>
      <c r="BY11" s="13">
        <f>IF('Données projet'!$A$114&gt;35,BY10+BX11-CG10,IF(A11&lt;'Données projet'!$A$114,$BV$205^A11,IF(A11='Données projet'!$A$114,'Données projet'!$B$114,BY10+BX11-CG10)))</f>
        <v>2.9694690391391689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</v>
      </c>
      <c r="CT11" s="13">
        <f>IF('Données projet'!$A$140&gt;35,CT10+CS11-DB10,IF(A11&lt;'Données projet'!$A$140,$CQ$205^A11,IF(A11='Données projet'!$A$140,'Données projet'!$B$140,CT10+CS11-DB10)))</f>
        <v>3.9999999999999982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</v>
      </c>
      <c r="N12" s="14">
        <f>IF('Données projet'!$A$36&gt;35,N11+M12-V11,IF(A12&lt;'Données projet'!$A$36,$K$205^A12,IF(A12='Données projet'!$A$36,'Données projet'!$B$36,N11+M12-V11)))</f>
        <v>27</v>
      </c>
      <c r="O12" s="14">
        <f>N12*VLOOKUP('Données projet'!$B$9,Paramètres!$A$1:$I$88,3,0)*VLOOKUP('Données projet'!$B$9,Paramètres!$A$1:$I$88,5,0)</f>
        <v>24.429599999999997</v>
      </c>
      <c r="P12" s="14">
        <f t="shared" si="33"/>
        <v>7.7609512795113149</v>
      </c>
      <c r="Q12" s="22">
        <f t="shared" si="2"/>
        <v>56.06521014514886</v>
      </c>
      <c r="R12" s="62">
        <f t="shared" si="0"/>
        <v>349.39854347848217</v>
      </c>
      <c r="S12" s="62">
        <f ca="1">AVERAGE(OFFSET($R$3,0,0,'Données projet'!$E$9+1,1))-AVERAGE(OFFSET($H$3,0,0,'Données projet'!$E$9+1,1))</f>
        <v>182.76154982630777</v>
      </c>
      <c r="T12" s="62">
        <f t="shared" si="34"/>
        <v>119.92190922866632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projet'!$B$10,Paramètres!$A$1:$I$88,3,0)*VLOOKUP('Données projet'!$B$10,Paramètres!$A$1:$I$88,5,0)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2">
        <f t="shared" si="5"/>
        <v>303.69312942710241</v>
      </c>
      <c r="AN12" s="62">
        <f ca="1">AVERAGE(OFFSET($AM$3,0,0,'Données projet'!$E$10+1,1))-AVERAGE(OFFSET($H$3,0,0,'Données projet'!$E$10+1,1))</f>
        <v>212.1966338656834</v>
      </c>
      <c r="AO12" s="62">
        <f t="shared" si="36"/>
        <v>194.52809733694494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2.1607142857142856</v>
      </c>
      <c r="BD12" s="13">
        <f>IF('Données projet'!$A$88&gt;35,BD11+BC12-BL11,IF(A12&lt;'Données projet'!$A$88,$BA$205^A12,IF(A12='Données projet'!$A$88,'Données projet'!$B$88,BD11+BC12-BL11)))</f>
        <v>19.446428571428566</v>
      </c>
      <c r="BE12" s="14">
        <f>BD12*VLOOKUP('Données projet'!$B$11,Paramètres!$A$1:$I$88,3,0)*VLOOKUP('Données projet'!$B$11,Paramètres!$A$1:$I$88,5,0)</f>
        <v>18.808585714285709</v>
      </c>
      <c r="BF12" s="14">
        <f t="shared" si="37"/>
        <v>6.1598927497769518</v>
      </c>
      <c r="BG12" s="22">
        <f t="shared" si="7"/>
        <v>43.486766658242459</v>
      </c>
      <c r="BH12" s="62">
        <f t="shared" si="8"/>
        <v>336.82009999157577</v>
      </c>
      <c r="BI12" s="62">
        <f ca="1">AVERAGE(OFFSET($BH$3,0,0,'Données projet'!$E$11+1,1))-AVERAGE(OFFSET($H$3,0,0,'Données projet'!$E$11+1,1))</f>
        <v>84.664683404322943</v>
      </c>
      <c r="BJ12" s="62">
        <f t="shared" si="38"/>
        <v>79.209234837679901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1.2</v>
      </c>
      <c r="BY12" s="13">
        <f>IF('Données projet'!$A$114&gt;35,BY11+BX12-CG11,IF(A12&lt;'Données projet'!$A$114,$BV$205^A12,IF(A12='Données projet'!$A$114,'Données projet'!$B$114,BY11+BX12-CG11)))</f>
        <v>3.4022298585357786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</v>
      </c>
      <c r="CT12" s="13">
        <f>IF('Données projet'!$A$140&gt;35,CT11+CS12-DB11,IF(A12&lt;'Données projet'!$A$140,$CQ$205^A12,IF(A12='Données projet'!$A$140,'Données projet'!$B$140,CT11+CS12-DB11)))</f>
        <v>4.7568284600108823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</v>
      </c>
      <c r="N13" s="14">
        <f>IF('Données projet'!$A$36&gt;35,N12+M13-V12,IF(A13&lt;'Données projet'!$A$36,$K$205^A13,IF(A13='Données projet'!$A$36,'Données projet'!$B$36,N12+M13-V12)))</f>
        <v>30</v>
      </c>
      <c r="O13" s="14">
        <f>N13*VLOOKUP('Données projet'!$B$9,Paramètres!$A$1:$I$88,3,0)*VLOOKUP('Données projet'!$B$9,Paramètres!$A$1:$I$88,5,0)</f>
        <v>27.143999999999998</v>
      </c>
      <c r="P13" s="14">
        <f t="shared" si="33"/>
        <v>8.5181694620316346</v>
      </c>
      <c r="Q13" s="22">
        <f t="shared" si="2"/>
        <v>62.111611813038422</v>
      </c>
      <c r="R13" s="62">
        <f t="shared" si="0"/>
        <v>355.44494514637177</v>
      </c>
      <c r="S13" s="62">
        <f ca="1">AVERAGE(OFFSET($R$3,0,0,'Données projet'!$E$9+1,1))-AVERAGE(OFFSET($H$3,0,0,'Données projet'!$E$9+1,1))</f>
        <v>182.76154982630777</v>
      </c>
      <c r="T13" s="62">
        <f t="shared" si="34"/>
        <v>119.92190922866632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projet'!$B$10,Paramètres!$A$1:$I$88,3,0)*VLOOKUP('Données projet'!$B$10,Paramètres!$A$1:$I$88,5,0)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2">
        <f t="shared" si="5"/>
        <v>306.13533976477066</v>
      </c>
      <c r="AN13" s="62">
        <f ca="1">AVERAGE(OFFSET($AM$3,0,0,'Données projet'!$E$10+1,1))-AVERAGE(OFFSET($H$3,0,0,'Données projet'!$E$10+1,1))</f>
        <v>212.1966338656834</v>
      </c>
      <c r="AO13" s="62">
        <f t="shared" si="36"/>
        <v>194.52809733694494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2.1607142857142856</v>
      </c>
      <c r="BD13" s="13">
        <f>IF('Données projet'!$A$88&gt;35,BD12+BC13-BL12,IF(A13&lt;'Données projet'!$A$88,$BA$205^A13,IF(A13='Données projet'!$A$88,'Données projet'!$B$88,BD12+BC13-BL12)))</f>
        <v>21.607142857142851</v>
      </c>
      <c r="BE13" s="14">
        <f>BD13*VLOOKUP('Données projet'!$B$11,Paramètres!$A$1:$I$88,3,0)*VLOOKUP('Données projet'!$B$11,Paramètres!$A$1:$I$88,5,0)</f>
        <v>20.898428571428564</v>
      </c>
      <c r="BF13" s="14">
        <f t="shared" si="37"/>
        <v>6.7608993306093819</v>
      </c>
      <c r="BG13" s="22">
        <f t="shared" si="7"/>
        <v>48.173329429382754</v>
      </c>
      <c r="BH13" s="62">
        <f t="shared" si="8"/>
        <v>341.50666276271608</v>
      </c>
      <c r="BI13" s="62">
        <f ca="1">AVERAGE(OFFSET($BH$3,0,0,'Données projet'!$E$11+1,1))-AVERAGE(OFFSET($H$3,0,0,'Données projet'!$E$11+1,1))</f>
        <v>84.664683404322943</v>
      </c>
      <c r="BJ13" s="62">
        <f t="shared" si="38"/>
        <v>79.209234837679901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1.2</v>
      </c>
      <c r="BY13" s="13">
        <f>IF('Données projet'!$A$114&gt;35,BY12+BX13-CG12,IF(A13&lt;'Données projet'!$A$114,$BV$205^A13,IF(A13='Données projet'!$A$114,'Données projet'!$B$114,BY12+BX13-CG12)))</f>
        <v>3.8980598409161908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</v>
      </c>
      <c r="CT13" s="13">
        <f>IF('Données projet'!$A$140&gt;35,CT12+CS13-DB12,IF(A13&lt;'Données projet'!$A$140,$CQ$205^A13,IF(A13='Données projet'!$A$140,'Données projet'!$B$140,CT12+CS13-DB12)))</f>
        <v>5.656854249492377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</v>
      </c>
      <c r="N14" s="14">
        <f>IF('Données projet'!$A$36&gt;35,N13+M14-V13,IF(A14&lt;'Données projet'!$A$36,$K$205^A14,IF(A14='Données projet'!$A$36,'Données projet'!$B$36,N13+M14-V13)))</f>
        <v>33</v>
      </c>
      <c r="O14" s="14">
        <f>N14*VLOOKUP('Données projet'!$B$9,Paramètres!$A$1:$I$88,3,0)*VLOOKUP('Données projet'!$B$9,Paramètres!$A$1:$I$88,5,0)</f>
        <v>29.858399999999996</v>
      </c>
      <c r="P14" s="14">
        <f t="shared" si="33"/>
        <v>9.2666092944057148</v>
      </c>
      <c r="Q14" s="22">
        <f t="shared" si="2"/>
        <v>68.14272452108996</v>
      </c>
      <c r="R14" s="62">
        <f t="shared" si="0"/>
        <v>361.47605785442329</v>
      </c>
      <c r="S14" s="62">
        <f ca="1">AVERAGE(OFFSET($R$3,0,0,'Données projet'!$E$9+1,1))-AVERAGE(OFFSET($H$3,0,0,'Données projet'!$E$9+1,1))</f>
        <v>182.76154982630777</v>
      </c>
      <c r="T14" s="62">
        <f t="shared" si="34"/>
        <v>119.92190922866632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projet'!$B$10,Paramètres!$A$1:$I$88,3,0)*VLOOKUP('Données projet'!$B$10,Paramètres!$A$1:$I$88,5,0)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2">
        <f t="shared" si="5"/>
        <v>309.15531959729486</v>
      </c>
      <c r="AN14" s="62">
        <f ca="1">AVERAGE(OFFSET($AM$3,0,0,'Données projet'!$E$10+1,1))-AVERAGE(OFFSET($H$3,0,0,'Données projet'!$E$10+1,1))</f>
        <v>212.1966338656834</v>
      </c>
      <c r="AO14" s="62">
        <f t="shared" si="36"/>
        <v>194.52809733694494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2.1607142857142856</v>
      </c>
      <c r="BD14" s="13">
        <f>IF('Données projet'!$A$88&gt;35,BD13+BC14-BL13,IF(A14&lt;'Données projet'!$A$88,$BA$205^A14,IF(A14='Données projet'!$A$88,'Données projet'!$B$88,BD13+BC14-BL13)))</f>
        <v>23.767857142857135</v>
      </c>
      <c r="BE14" s="14">
        <f>BD14*VLOOKUP('Données projet'!$B$11,Paramètres!$A$1:$I$88,3,0)*VLOOKUP('Données projet'!$B$11,Paramètres!$A$1:$I$88,5,0)</f>
        <v>22.988271428571423</v>
      </c>
      <c r="BF14" s="14">
        <f t="shared" si="37"/>
        <v>7.3549385058399332</v>
      </c>
      <c r="BG14" s="22">
        <f t="shared" si="7"/>
        <v>52.847757302433109</v>
      </c>
      <c r="BH14" s="62">
        <f t="shared" si="8"/>
        <v>346.1810906357664</v>
      </c>
      <c r="BI14" s="62">
        <f ca="1">AVERAGE(OFFSET($BH$3,0,0,'Données projet'!$E$11+1,1))-AVERAGE(OFFSET($H$3,0,0,'Données projet'!$E$11+1,1))</f>
        <v>84.664683404322943</v>
      </c>
      <c r="BJ14" s="62">
        <f t="shared" si="38"/>
        <v>79.209234837679901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1.2</v>
      </c>
      <c r="BY14" s="13">
        <f>IF('Données projet'!$A$114&gt;35,BY13+BX14-CG13,IF(A14&lt;'Données projet'!$A$114,$BV$205^A14,IF(A14='Données projet'!$A$114,'Données projet'!$B$114,BY13+BX14-CG13)))</f>
        <v>4.4661504822319662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</v>
      </c>
      <c r="CT14" s="13">
        <f>IF('Données projet'!$A$140&gt;35,CT13+CS14-DB13,IF(A14&lt;'Données projet'!$A$140,$CQ$205^A14,IF(A14='Données projet'!$A$140,'Données projet'!$B$140,CT13+CS14-DB13)))</f>
        <v>6.7271713220297125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</v>
      </c>
      <c r="N15" s="14">
        <f>IF('Données projet'!$A$36&gt;35,N14+M15-V14,IF(A15&lt;'Données projet'!$A$36,$K$205^A15,IF(A15='Données projet'!$A$36,'Données projet'!$B$36,N14+M15-V14)))</f>
        <v>36</v>
      </c>
      <c r="O15" s="14">
        <f>N15*VLOOKUP('Données projet'!$B$9,Paramètres!$A$1:$I$88,3,0)*VLOOKUP('Données projet'!$B$9,Paramètres!$A$1:$I$88,5,0)</f>
        <v>32.572800000000001</v>
      </c>
      <c r="P15" s="14">
        <f t="shared" si="33"/>
        <v>10.007159566468195</v>
      </c>
      <c r="Q15" s="22">
        <f t="shared" si="2"/>
        <v>74.160096244932106</v>
      </c>
      <c r="R15" s="62">
        <f t="shared" si="0"/>
        <v>367.49342957826542</v>
      </c>
      <c r="S15" s="62">
        <f ca="1">AVERAGE(OFFSET($R$3,0,0,'Données projet'!$E$9+1,1))-AVERAGE(OFFSET($H$3,0,0,'Données projet'!$E$9+1,1))</f>
        <v>182.76154982630777</v>
      </c>
      <c r="T15" s="62">
        <f t="shared" si="34"/>
        <v>119.92190922866632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projet'!$B$10,Paramètres!$A$1:$I$88,3,0)*VLOOKUP('Données projet'!$B$10,Paramètres!$A$1:$I$88,5,0)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2">
        <f t="shared" si="5"/>
        <v>312.8902077629582</v>
      </c>
      <c r="AN15" s="62">
        <f ca="1">AVERAGE(OFFSET($AM$3,0,0,'Données projet'!$E$10+1,1))-AVERAGE(OFFSET($H$3,0,0,'Données projet'!$E$10+1,1))</f>
        <v>212.1966338656834</v>
      </c>
      <c r="AO15" s="62">
        <f t="shared" si="36"/>
        <v>194.52809733694494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2.1607142857142856</v>
      </c>
      <c r="BD15" s="13">
        <f>IF('Données projet'!$A$88&gt;35,BD14+BC15-BL14,IF(A15&lt;'Données projet'!$A$88,$BA$205^A15,IF(A15='Données projet'!$A$88,'Données projet'!$B$88,BD14+BC15-BL14)))</f>
        <v>25.92857142857142</v>
      </c>
      <c r="BE15" s="14">
        <f>BD15*VLOOKUP('Données projet'!$B$11,Paramètres!$A$1:$I$88,3,0)*VLOOKUP('Données projet'!$B$11,Paramètres!$A$1:$I$88,5,0)</f>
        <v>25.078114285714278</v>
      </c>
      <c r="BF15" s="14">
        <f t="shared" si="37"/>
        <v>7.9427157109057305</v>
      </c>
      <c r="BG15" s="22">
        <f t="shared" si="7"/>
        <v>57.511278910779843</v>
      </c>
      <c r="BH15" s="62">
        <f t="shared" si="8"/>
        <v>350.84461224411314</v>
      </c>
      <c r="BI15" s="62">
        <f ca="1">AVERAGE(OFFSET($BH$3,0,0,'Données projet'!$E$11+1,1))-AVERAGE(OFFSET($H$3,0,0,'Données projet'!$E$11+1,1))</f>
        <v>84.664683404322943</v>
      </c>
      <c r="BJ15" s="62">
        <f t="shared" si="38"/>
        <v>79.209234837679901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1.2</v>
      </c>
      <c r="BY15" s="13">
        <f>IF('Données projet'!$A$114&gt;35,BY14+BX15-CG14,IF(A15&lt;'Données projet'!$A$114,$BV$205^A15,IF(A15='Données projet'!$A$114,'Données projet'!$B$114,BY14+BX15-CG14)))</f>
        <v>5.1170328173444979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</v>
      </c>
      <c r="CT15" s="13">
        <f>IF('Données projet'!$A$140&gt;35,CT14+CS15-DB14,IF(A15&lt;'Données projet'!$A$140,$CQ$205^A15,IF(A15='Données projet'!$A$140,'Données projet'!$B$140,CT14+CS15-DB14)))</f>
        <v>7.9999999999999947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</v>
      </c>
      <c r="N16" s="14">
        <f>IF('Données projet'!$A$36&gt;35,N15+M16-V15,IF(A16&lt;'Données projet'!$A$36,$K$205^A16,IF(A16='Données projet'!$A$36,'Données projet'!$B$36,N15+M16-V15)))</f>
        <v>39</v>
      </c>
      <c r="O16" s="14">
        <f>N16*VLOOKUP('Données projet'!$B$9,Paramètres!$A$1:$I$88,3,0)*VLOOKUP('Données projet'!$B$9,Paramètres!$A$1:$I$88,5,0)</f>
        <v>35.287199999999999</v>
      </c>
      <c r="P16" s="14">
        <f t="shared" si="33"/>
        <v>10.740552489323523</v>
      </c>
      <c r="Q16" s="22">
        <f t="shared" si="2"/>
        <v>80.165002252238452</v>
      </c>
      <c r="R16" s="62">
        <f t="shared" si="0"/>
        <v>373.49833558557179</v>
      </c>
      <c r="S16" s="62">
        <f ca="1">AVERAGE(OFFSET($R$3,0,0,'Données projet'!$E$9+1,1))-AVERAGE(OFFSET($H$3,0,0,'Données projet'!$E$9+1,1))</f>
        <v>182.76154982630777</v>
      </c>
      <c r="T16" s="62">
        <f t="shared" si="34"/>
        <v>119.92190922866632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projet'!$B$10,Paramètres!$A$1:$I$88,3,0)*VLOOKUP('Données projet'!$B$10,Paramètres!$A$1:$I$88,5,0)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2">
        <f t="shared" si="5"/>
        <v>317.50979388947383</v>
      </c>
      <c r="AN16" s="62">
        <f ca="1">AVERAGE(OFFSET($AM$3,0,0,'Données projet'!$E$10+1,1))-AVERAGE(OFFSET($H$3,0,0,'Données projet'!$E$10+1,1))</f>
        <v>212.1966338656834</v>
      </c>
      <c r="AO16" s="62">
        <f t="shared" si="36"/>
        <v>194.52809733694494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2.1607142857142856</v>
      </c>
      <c r="BD16" s="13">
        <f>IF('Données projet'!$A$88&gt;35,BD15+BC16-BL15,IF(A16&lt;'Données projet'!$A$88,$BA$205^A16,IF(A16='Données projet'!$A$88,'Données projet'!$B$88,BD15+BC16-BL15)))</f>
        <v>28.089285714285705</v>
      </c>
      <c r="BE16" s="14">
        <f>BD16*VLOOKUP('Données projet'!$B$11,Paramètres!$A$1:$I$88,3,0)*VLOOKUP('Données projet'!$B$11,Paramètres!$A$1:$I$88,5,0)</f>
        <v>27.167957142857134</v>
      </c>
      <c r="BF16" s="14">
        <f t="shared" si="37"/>
        <v>8.5248121041868803</v>
      </c>
      <c r="BG16" s="22">
        <f t="shared" si="7"/>
        <v>62.164906438601641</v>
      </c>
      <c r="BH16" s="62">
        <f t="shared" si="8"/>
        <v>355.49823977193495</v>
      </c>
      <c r="BI16" s="62">
        <f ca="1">AVERAGE(OFFSET($BH$3,0,0,'Données projet'!$E$11+1,1))-AVERAGE(OFFSET($H$3,0,0,'Données projet'!$E$11+1,1))</f>
        <v>84.664683404322943</v>
      </c>
      <c r="BJ16" s="62">
        <f t="shared" si="38"/>
        <v>79.209234837679901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1.2</v>
      </c>
      <c r="BY16" s="13">
        <f>IF('Données projet'!$A$114&gt;35,BY15+BX16-CG15,IF(A16&lt;'Données projet'!$A$114,$BV$205^A16,IF(A16='Données projet'!$A$114,'Données projet'!$B$114,BY15+BX16-CG15)))</f>
        <v>5.8627726400958746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</v>
      </c>
      <c r="CT16" s="13">
        <f>IF('Données projet'!$A$140&gt;35,CT15+CS16-DB15,IF(A16&lt;'Données projet'!$A$140,$CQ$205^A16,IF(A16='Données projet'!$A$140,'Données projet'!$B$140,CT15+CS16-DB15)))</f>
        <v>9.5136569200217629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</v>
      </c>
      <c r="N17" s="14">
        <f>IF('Données projet'!$A$36&gt;35,N16+M17-V16,IF(A17&lt;'Données projet'!$A$36,$K$205^A17,IF(A17='Données projet'!$A$36,'Données projet'!$B$36,N16+M17-V16)))</f>
        <v>42</v>
      </c>
      <c r="O17" s="14">
        <f>N17*VLOOKUP('Données projet'!$B$9,Paramètres!$A$1:$I$88,3,0)*VLOOKUP('Données projet'!$B$9,Paramètres!$A$1:$I$88,5,0)</f>
        <v>38.001600000000003</v>
      </c>
      <c r="P17" s="14">
        <f t="shared" si="33"/>
        <v>11.467401227090512</v>
      </c>
      <c r="Q17" s="22">
        <f t="shared" si="2"/>
        <v>86.158510470515978</v>
      </c>
      <c r="R17" s="62">
        <f t="shared" si="0"/>
        <v>379.49184380384929</v>
      </c>
      <c r="S17" s="62">
        <f ca="1">AVERAGE(OFFSET($R$3,0,0,'Données projet'!$E$9+1,1))-AVERAGE(OFFSET($H$3,0,0,'Données projet'!$E$9+1,1))</f>
        <v>182.76154982630777</v>
      </c>
      <c r="T17" s="62">
        <f t="shared" si="34"/>
        <v>119.92190922866632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projet'!$B$10,Paramètres!$A$1:$I$88,3,0)*VLOOKUP('Données projet'!$B$10,Paramètres!$A$1:$I$88,5,0)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2">
        <f t="shared" si="5"/>
        <v>323.2243139626886</v>
      </c>
      <c r="AN17" s="62">
        <f ca="1">AVERAGE(OFFSET($AM$3,0,0,'Données projet'!$E$10+1,1))-AVERAGE(OFFSET($H$3,0,0,'Données projet'!$E$10+1,1))</f>
        <v>212.1966338656834</v>
      </c>
      <c r="AO17" s="62">
        <f t="shared" si="36"/>
        <v>194.52809733694494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2.1607142857142856</v>
      </c>
      <c r="BD17" s="13">
        <f>IF('Données projet'!$A$88&gt;35,BD16+BC17-BL16,IF(A17&lt;'Données projet'!$A$88,$BA$205^A17,IF(A17='Données projet'!$A$88,'Données projet'!$B$88,BD16+BC17-BL16)))</f>
        <v>30.249999999999989</v>
      </c>
      <c r="BE17" s="14">
        <f>BD17*VLOOKUP('Données projet'!$B$11,Paramètres!$A$1:$I$88,3,0)*VLOOKUP('Données projet'!$B$11,Paramètres!$A$1:$I$88,5,0)</f>
        <v>29.257799999999989</v>
      </c>
      <c r="BF17" s="14">
        <f t="shared" si="37"/>
        <v>9.1017143560764655</v>
      </c>
      <c r="BG17" s="22">
        <f t="shared" si="7"/>
        <v>66.80948750349981</v>
      </c>
      <c r="BH17" s="62">
        <f t="shared" si="8"/>
        <v>360.14282083683315</v>
      </c>
      <c r="BI17" s="62">
        <f ca="1">AVERAGE(OFFSET($BH$3,0,0,'Données projet'!$E$11+1,1))-AVERAGE(OFFSET($H$3,0,0,'Données projet'!$E$11+1,1))</f>
        <v>84.664683404322943</v>
      </c>
      <c r="BJ17" s="62">
        <f t="shared" si="38"/>
        <v>79.209234837679901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1.2</v>
      </c>
      <c r="BY17" s="13">
        <f>IF('Données projet'!$A$114&gt;35,BY16+BX17-CG16,IF(A17&lt;'Données projet'!$A$114,$BV$205^A17,IF(A17='Données projet'!$A$114,'Données projet'!$B$114,BY16+BX17-CG16)))</f>
        <v>6.7171941741218459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</v>
      </c>
      <c r="CT17" s="13">
        <f>IF('Données projet'!$A$140&gt;35,CT16+CS17-DB16,IF(A17&lt;'Données projet'!$A$140,$CQ$205^A17,IF(A17='Données projet'!$A$140,'Données projet'!$B$140,CT16+CS17-DB16)))</f>
        <v>11.313708498984752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</v>
      </c>
      <c r="N18" s="14">
        <f>IF('Données projet'!$A$36&gt;35,N17+M18-V17,IF(A18&lt;'Données projet'!$A$36,$K$205^A18,IF(A18='Données projet'!$A$36,'Données projet'!$B$36,N17+M18-V17)))</f>
        <v>45</v>
      </c>
      <c r="O18" s="14">
        <f>N18*VLOOKUP('Données projet'!$B$9,Paramètres!$A$1:$I$88,3,0)*VLOOKUP('Données projet'!$B$9,Paramètres!$A$1:$I$88,5,0)</f>
        <v>40.716000000000001</v>
      </c>
      <c r="P18" s="14">
        <f t="shared" si="33"/>
        <v>12.188226385475176</v>
      </c>
      <c r="Q18" s="22">
        <f t="shared" si="2"/>
        <v>92.141527621369264</v>
      </c>
      <c r="R18" s="62">
        <f t="shared" si="0"/>
        <v>385.47486095470259</v>
      </c>
      <c r="S18" s="62">
        <f ca="1">AVERAGE(OFFSET($R$3,0,0,'Données projet'!$E$9+1,1))-AVERAGE(OFFSET($H$3,0,0,'Données projet'!$E$9+1,1))</f>
        <v>182.76154982630777</v>
      </c>
      <c r="T18" s="62">
        <f t="shared" si="34"/>
        <v>119.92190922866632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projet'!$B$10,Paramètres!$A$1:$I$88,3,0)*VLOOKUP('Données projet'!$B$10,Paramètres!$A$1:$I$88,5,0)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2">
        <f t="shared" si="5"/>
        <v>330.29411192516659</v>
      </c>
      <c r="AN18" s="62">
        <f ca="1">AVERAGE(OFFSET($AM$3,0,0,'Données projet'!$E$10+1,1))-AVERAGE(OFFSET($H$3,0,0,'Données projet'!$E$10+1,1))</f>
        <v>212.1966338656834</v>
      </c>
      <c r="AO18" s="62">
        <f t="shared" si="36"/>
        <v>194.52809733694494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2.1607142857142856</v>
      </c>
      <c r="BD18" s="13">
        <f>IF('Données projet'!$A$88&gt;35,BD17+BC18-BL17,IF(A18&lt;'Données projet'!$A$88,$BA$205^A18,IF(A18='Données projet'!$A$88,'Données projet'!$B$88,BD17+BC18-BL17)))</f>
        <v>32.410714285714278</v>
      </c>
      <c r="BE18" s="14">
        <f>BD18*VLOOKUP('Données projet'!$B$11,Paramètres!$A$1:$I$88,3,0)*VLOOKUP('Données projet'!$B$11,Paramètres!$A$1:$I$88,5,0)</f>
        <v>31.347642857142848</v>
      </c>
      <c r="BF18" s="14">
        <f t="shared" si="37"/>
        <v>9.6738356730485862</v>
      </c>
      <c r="BG18" s="22">
        <f t="shared" si="7"/>
        <v>71.445741773416742</v>
      </c>
      <c r="BH18" s="62">
        <f t="shared" si="8"/>
        <v>364.77907510675004</v>
      </c>
      <c r="BI18" s="62">
        <f ca="1">AVERAGE(OFFSET($BH$3,0,0,'Données projet'!$E$11+1,1))-AVERAGE(OFFSET($H$3,0,0,'Données projet'!$E$11+1,1))</f>
        <v>84.664683404322943</v>
      </c>
      <c r="BJ18" s="62">
        <f t="shared" si="38"/>
        <v>79.209234837679901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1.2</v>
      </c>
      <c r="BY18" s="13">
        <f>IF('Données projet'!$A$114&gt;35,BY17+BX18-CG17,IF(A18&lt;'Données projet'!$A$114,$BV$205^A18,IF(A18='Données projet'!$A$114,'Données projet'!$B$114,BY17+BX18-CG17)))</f>
        <v>7.6961363407260848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</v>
      </c>
      <c r="CT18" s="13">
        <f>IF('Données projet'!$A$140&gt;35,CT17+CS18-DB17,IF(A18&lt;'Données projet'!$A$140,$CQ$205^A18,IF(A18='Données projet'!$A$140,'Données projet'!$B$140,CT17+CS18-DB17)))</f>
        <v>13.454342644059421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</v>
      </c>
      <c r="N19" s="14">
        <f>IF('Données projet'!$A$36&gt;35,N18+M19-V18,IF(A19&lt;'Données projet'!$A$36,$K$205^A19,IF(A19='Données projet'!$A$36,'Données projet'!$B$36,N18+M19-V18)))</f>
        <v>48</v>
      </c>
      <c r="O19" s="14">
        <f>N19*VLOOKUP('Données projet'!$B$9,Paramètres!$A$1:$I$88,3,0)*VLOOKUP('Données projet'!$B$9,Paramètres!$A$1:$I$88,5,0)</f>
        <v>43.430399999999999</v>
      </c>
      <c r="P19" s="14">
        <f t="shared" si="33"/>
        <v>12.903475229013621</v>
      </c>
      <c r="Q19" s="22">
        <f t="shared" si="2"/>
        <v>98.114832690532054</v>
      </c>
      <c r="R19" s="62">
        <f t="shared" si="0"/>
        <v>391.44816602386538</v>
      </c>
      <c r="S19" s="62">
        <f ca="1">AVERAGE(OFFSET($R$3,0,0,'Données projet'!$E$9+1,1))-AVERAGE(OFFSET($H$3,0,0,'Données projet'!$E$9+1,1))</f>
        <v>182.76154982630777</v>
      </c>
      <c r="T19" s="62">
        <f t="shared" si="34"/>
        <v>119.92190922866632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projet'!$B$10,Paramètres!$A$1:$I$88,3,0)*VLOOKUP('Données projet'!$B$10,Paramètres!$A$1:$I$88,5,0)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2">
        <f t="shared" si="5"/>
        <v>339.04161502361472</v>
      </c>
      <c r="AN19" s="62">
        <f ca="1">AVERAGE(OFFSET($AM$3,0,0,'Données projet'!$E$10+1,1))-AVERAGE(OFFSET($H$3,0,0,'Données projet'!$E$10+1,1))</f>
        <v>212.1966338656834</v>
      </c>
      <c r="AO19" s="62">
        <f t="shared" si="36"/>
        <v>194.52809733694494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2.1607142857142856</v>
      </c>
      <c r="BD19" s="13">
        <f>IF('Données projet'!$A$88&gt;35,BD18+BC19-BL18,IF(A19&lt;'Données projet'!$A$88,$BA$205^A19,IF(A19='Données projet'!$A$88,'Données projet'!$B$88,BD18+BC19-BL18)))</f>
        <v>34.571428571428562</v>
      </c>
      <c r="BE19" s="14">
        <f>BD19*VLOOKUP('Données projet'!$B$11,Paramètres!$A$1:$I$88,3,0)*VLOOKUP('Données projet'!$B$11,Paramètres!$A$1:$I$88,5,0)</f>
        <v>33.437485714285707</v>
      </c>
      <c r="BF19" s="14">
        <f t="shared" si="37"/>
        <v>10.241531050447769</v>
      </c>
      <c r="BG19" s="22">
        <f t="shared" si="7"/>
        <v>76.074287531910798</v>
      </c>
      <c r="BH19" s="62">
        <f t="shared" si="8"/>
        <v>369.4076208652441</v>
      </c>
      <c r="BI19" s="62">
        <f ca="1">AVERAGE(OFFSET($BH$3,0,0,'Données projet'!$E$11+1,1))-AVERAGE(OFFSET($H$3,0,0,'Données projet'!$E$11+1,1))</f>
        <v>84.664683404322943</v>
      </c>
      <c r="BJ19" s="62">
        <f t="shared" si="38"/>
        <v>79.209234837679901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1.2</v>
      </c>
      <c r="BY19" s="13">
        <f>IF('Données projet'!$A$114&gt;35,BY18+BX19-CG18,IF(A19&lt;'Données projet'!$A$114,$BV$205^A19,IF(A19='Données projet'!$A$114,'Données projet'!$B$114,BY18+BX19-CG18)))</f>
        <v>8.8177463744060987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>
        <f>VLOOKUP(A19,'Données projet'!$A$139:$I$159,2,0)</f>
        <v>16</v>
      </c>
      <c r="CR19" s="13">
        <f>VLOOKUP(A19,'Données projet'!$A$139:$I$159,9,0)</f>
        <v>1</v>
      </c>
      <c r="CS19" s="13">
        <f t="array" ref="CS19">INDEX(CR:CR,MIN(IF(ISNUMBER(CR19:CR215),ROW(CR19:CR215),"")))</f>
        <v>1</v>
      </c>
      <c r="CT19" s="13">
        <f>IF('Données projet'!$A$140&gt;35,CT18+CS19-DB18,IF(A19&lt;'Données projet'!$A$140,$CQ$205^A19,IF(A19='Données projet'!$A$140,'Données projet'!$B$140,CT18+CS19-DB18)))</f>
        <v>16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1</v>
      </c>
      <c r="DB19" s="16">
        <f>IF(ISNA(VLOOKUP(A19,'Données projet'!$A$139:$I$159,4,0)),0,VLOOKUP(A19,'Données projet'!$A$139:$I$159,4,0))</f>
        <v>0</v>
      </c>
      <c r="DC19" s="17" t="e">
        <f>IF(ISNA(VLOOKUP(A19,'Données projet'!$A$139:$I$159,5,0)),0%,VLOOKUP(A19,'Données projet'!$A$139:$I$159,5,0)*VLOOKUP('Données projet'!$B$13,Paramètres!$A$1:$I$88,7,0))</f>
        <v>#N/A</v>
      </c>
      <c r="DD19" s="17" t="e">
        <f>IF(ISNA(VLOOKUP(A19,'Données projet'!$A$139:$I$159,6,0)),0%,VLOOKUP(A19,'Données projet'!$A$139:$I$159,6,0)*VLOOKUP('Données projet'!$B$13,Paramètres!$A$1:$I$88,7,0))</f>
        <v>#N/A</v>
      </c>
      <c r="DE19" s="17">
        <f>IF(ISNA(VLOOKUP(A19,'Données projet'!$A$139:$I$159,7,0)),0%,VLOOKUP(A19,'Données projet'!$A$139:$I$159,7,0))</f>
        <v>0.44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</v>
      </c>
      <c r="N20" s="14">
        <f>IF('Données projet'!$A$36&gt;35,N19+M20-V19,IF(A20&lt;'Données projet'!$A$36,$K$205^A20,IF(A20='Données projet'!$A$36,'Données projet'!$B$36,N19+M20-V19)))</f>
        <v>51</v>
      </c>
      <c r="O20" s="14">
        <f>N20*VLOOKUP('Données projet'!$B$9,Paramètres!$A$1:$I$88,3,0)*VLOOKUP('Données projet'!$B$9,Paramètres!$A$1:$I$88,5,0)</f>
        <v>46.144799999999996</v>
      </c>
      <c r="P20" s="14">
        <f t="shared" si="33"/>
        <v>13.613535954240801</v>
      </c>
      <c r="Q20" s="22">
        <f t="shared" si="2"/>
        <v>104.07910178696937</v>
      </c>
      <c r="R20" s="62">
        <f t="shared" si="0"/>
        <v>397.41243512030269</v>
      </c>
      <c r="S20" s="62">
        <f ca="1">AVERAGE(OFFSET($R$3,0,0,'Données projet'!$E$9+1,1))-AVERAGE(OFFSET($H$3,0,0,'Données projet'!$E$9+1,1))</f>
        <v>182.76154982630777</v>
      </c>
      <c r="T20" s="62">
        <f t="shared" si="34"/>
        <v>119.92190922866632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projet'!$B$10,Paramètres!$A$1:$I$88,3,0)*VLOOKUP('Données projet'!$B$10,Paramètres!$A$1:$I$88,5,0)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2">
        <f t="shared" si="5"/>
        <v>349.8661782737675</v>
      </c>
      <c r="AN20" s="62">
        <f ca="1">AVERAGE(OFFSET($AM$3,0,0,'Données projet'!$E$10+1,1))-AVERAGE(OFFSET($H$3,0,0,'Données projet'!$E$10+1,1))</f>
        <v>212.1966338656834</v>
      </c>
      <c r="AO20" s="62">
        <f t="shared" si="36"/>
        <v>194.52809733694494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2.1607142857142856</v>
      </c>
      <c r="BD20" s="13">
        <f>IF('Données projet'!$A$88&gt;35,BD19+BC20-BL19,IF(A20&lt;'Données projet'!$A$88,$BA$205^A20,IF(A20='Données projet'!$A$88,'Données projet'!$B$88,BD19+BC20-BL19)))</f>
        <v>36.732142857142847</v>
      </c>
      <c r="BE20" s="14">
        <f>BD20*VLOOKUP('Données projet'!$B$11,Paramètres!$A$1:$I$88,3,0)*VLOOKUP('Données projet'!$B$11,Paramètres!$A$1:$I$88,5,0)</f>
        <v>35.527328571428562</v>
      </c>
      <c r="BF20" s="14">
        <f t="shared" si="37"/>
        <v>10.80510860115025</v>
      </c>
      <c r="BG20" s="22">
        <f t="shared" si="7"/>
        <v>80.695661408908094</v>
      </c>
      <c r="BH20" s="62">
        <f t="shared" si="8"/>
        <v>374.02899474224142</v>
      </c>
      <c r="BI20" s="62">
        <f ca="1">AVERAGE(OFFSET($BH$3,0,0,'Données projet'!$E$11+1,1))-AVERAGE(OFFSET($H$3,0,0,'Données projet'!$E$11+1,1))</f>
        <v>84.664683404322943</v>
      </c>
      <c r="BJ20" s="62">
        <f t="shared" si="38"/>
        <v>79.209234837679901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1.2</v>
      </c>
      <c r="BY20" s="13">
        <f>IF('Données projet'!$A$114&gt;35,BY19+BX20-CG19,IF(A20&lt;'Données projet'!$A$114,$BV$205^A20,IF(A20='Données projet'!$A$114,'Données projet'!$B$114,BY19+BX20-CG19)))</f>
        <v>10.102816228956828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7.8999999999999995</v>
      </c>
      <c r="CT20" s="13">
        <f>IF('Données projet'!$A$140&gt;35,CT19+CS20-DB19,IF(A20&lt;'Données projet'!$A$140,$CQ$205^A20,IF(A20='Données projet'!$A$140,'Données projet'!$B$140,CT19+CS20-DB19)))</f>
        <v>23.9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</v>
      </c>
      <c r="N21" s="14">
        <f>IF('Données projet'!$A$36&gt;35,N20+M21-V20,IF(A21&lt;'Données projet'!$A$36,$K$205^A21,IF(A21='Données projet'!$A$36,'Données projet'!$B$36,N20+M21-V20)))</f>
        <v>54</v>
      </c>
      <c r="O21" s="14">
        <f>N21*VLOOKUP('Données projet'!$B$9,Paramètres!$A$1:$I$88,3,0)*VLOOKUP('Données projet'!$B$9,Paramètres!$A$1:$I$88,5,0)</f>
        <v>48.859199999999994</v>
      </c>
      <c r="P21" s="14">
        <f t="shared" si="33"/>
        <v>14.318748507569314</v>
      </c>
      <c r="Q21" s="22">
        <f t="shared" si="2"/>
        <v>110.03492698401654</v>
      </c>
      <c r="R21" s="62">
        <f t="shared" si="0"/>
        <v>403.36826031734984</v>
      </c>
      <c r="S21" s="62">
        <f ca="1">AVERAGE(OFFSET($R$3,0,0,'Données projet'!$E$9+1,1))-AVERAGE(OFFSET($H$3,0,0,'Données projet'!$E$9+1,1))</f>
        <v>182.76154982630777</v>
      </c>
      <c r="T21" s="62">
        <f t="shared" si="34"/>
        <v>119.92190922866632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projet'!$B$10,Paramètres!$A$1:$I$88,3,0)*VLOOKUP('Données projet'!$B$10,Paramètres!$A$1:$I$88,5,0)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2">
        <f t="shared" si="5"/>
        <v>363.26248699382734</v>
      </c>
      <c r="AN21" s="62">
        <f ca="1">AVERAGE(OFFSET($AM$3,0,0,'Données projet'!$E$10+1,1))-AVERAGE(OFFSET($H$3,0,0,'Données projet'!$E$10+1,1))</f>
        <v>212.1966338656834</v>
      </c>
      <c r="AO21" s="62">
        <f t="shared" si="36"/>
        <v>194.52809733694494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2.1607142857142856</v>
      </c>
      <c r="BD21" s="13">
        <f>IF('Données projet'!$A$88&gt;35,BD20+BC21-BL20,IF(A21&lt;'Données projet'!$A$88,$BA$205^A21,IF(A21='Données projet'!$A$88,'Données projet'!$B$88,BD20+BC21-BL20)))</f>
        <v>38.892857142857132</v>
      </c>
      <c r="BE21" s="14">
        <f>BD21*VLOOKUP('Données projet'!$B$11,Paramètres!$A$1:$I$88,3,0)*VLOOKUP('Données projet'!$B$11,Paramètres!$A$1:$I$88,5,0)</f>
        <v>37.617171428571417</v>
      </c>
      <c r="BF21" s="14">
        <f t="shared" si="37"/>
        <v>11.364838141750264</v>
      </c>
      <c r="BG21" s="22">
        <f t="shared" si="7"/>
        <v>85.310333334976917</v>
      </c>
      <c r="BH21" s="62">
        <f t="shared" si="8"/>
        <v>378.64366666831023</v>
      </c>
      <c r="BI21" s="62">
        <f ca="1">AVERAGE(OFFSET($BH$3,0,0,'Données projet'!$E$11+1,1))-AVERAGE(OFFSET($H$3,0,0,'Données projet'!$E$11+1,1))</f>
        <v>84.664683404322943</v>
      </c>
      <c r="BJ21" s="62">
        <f t="shared" si="38"/>
        <v>79.209234837679901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1.2</v>
      </c>
      <c r="BY21" s="13">
        <f>IF('Données projet'!$A$114&gt;35,BY20+BX21-CG20,IF(A21&lt;'Données projet'!$A$114,$BV$205^A21,IF(A21='Données projet'!$A$114,'Données projet'!$B$114,BY20+BX21-CG20)))</f>
        <v>11.575168010312384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7.8999999999999995</v>
      </c>
      <c r="CT21" s="13">
        <f>IF('Données projet'!$A$140&gt;35,CT20+CS21-DB20,IF(A21&lt;'Données projet'!$A$140,$CQ$205^A21,IF(A21='Données projet'!$A$140,'Données projet'!$B$140,CT20+CS21-DB20)))</f>
        <v>31.799999999999997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</v>
      </c>
      <c r="N22" s="14">
        <f>IF('Données projet'!$A$36&gt;35,N21+M22-V21,IF(A22&lt;'Données projet'!$A$36,$K$205^A22,IF(A22='Données projet'!$A$36,'Données projet'!$B$36,N21+M22-V21)))</f>
        <v>57</v>
      </c>
      <c r="O22" s="14">
        <f>N22*VLOOKUP('Données projet'!$B$9,Paramètres!$A$1:$I$88,3,0)*VLOOKUP('Données projet'!$B$9,Paramètres!$A$1:$I$88,5,0)</f>
        <v>51.573599999999992</v>
      </c>
      <c r="P22" s="14">
        <f t="shared" si="33"/>
        <v>15.019412930275323</v>
      </c>
      <c r="Q22" s="22">
        <f t="shared" si="2"/>
        <v>115.98283085356282</v>
      </c>
      <c r="R22" s="62">
        <f t="shared" si="0"/>
        <v>409.31616418689612</v>
      </c>
      <c r="S22" s="62">
        <f ca="1">AVERAGE(OFFSET($R$3,0,0,'Données projet'!$E$9+1,1))-AVERAGE(OFFSET($H$3,0,0,'Données projet'!$E$9+1,1))</f>
        <v>182.76154982630777</v>
      </c>
      <c r="T22" s="62">
        <f t="shared" si="34"/>
        <v>119.92190922866632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projet'!$B$10,Paramètres!$A$1:$I$88,3,0)*VLOOKUP('Données projet'!$B$10,Paramètres!$A$1:$I$88,5,0)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2">
        <f t="shared" si="5"/>
        <v>379.84337213080869</v>
      </c>
      <c r="AN22" s="62">
        <f ca="1">AVERAGE(OFFSET($AM$3,0,0,'Données projet'!$E$10+1,1))-AVERAGE(OFFSET($H$3,0,0,'Données projet'!$E$10+1,1))</f>
        <v>212.1966338656834</v>
      </c>
      <c r="AO22" s="62">
        <f t="shared" si="36"/>
        <v>194.52809733694494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2.1607142857142856</v>
      </c>
      <c r="BD22" s="13">
        <f>IF('Données projet'!$A$88&gt;35,BD21+BC22-BL21,IF(A22&lt;'Données projet'!$A$88,$BA$205^A22,IF(A22='Données projet'!$A$88,'Données projet'!$B$88,BD21+BC22-BL21)))</f>
        <v>41.053571428571416</v>
      </c>
      <c r="BE22" s="14">
        <f>BD22*VLOOKUP('Données projet'!$B$11,Paramètres!$A$1:$I$88,3,0)*VLOOKUP('Données projet'!$B$11,Paramètres!$A$1:$I$88,5,0)</f>
        <v>39.707014285714273</v>
      </c>
      <c r="BF22" s="14">
        <f t="shared" si="37"/>
        <v>11.920957816003027</v>
      </c>
      <c r="BG22" s="22">
        <f t="shared" si="7"/>
        <v>89.918718077157621</v>
      </c>
      <c r="BH22" s="62">
        <f t="shared" si="8"/>
        <v>383.25205141049094</v>
      </c>
      <c r="BI22" s="62">
        <f ca="1">AVERAGE(OFFSET($BH$3,0,0,'Données projet'!$E$11+1,1))-AVERAGE(OFFSET($H$3,0,0,'Données projet'!$E$11+1,1))</f>
        <v>84.664683404322943</v>
      </c>
      <c r="BJ22" s="62">
        <f t="shared" si="38"/>
        <v>79.209234837679901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1.2</v>
      </c>
      <c r="BY22" s="13">
        <f>IF('Données projet'!$A$114&gt;35,BY21+BX22-CG21,IF(A22&lt;'Données projet'!$A$114,$BV$205^A22,IF(A22='Données projet'!$A$114,'Données projet'!$B$114,BY21+BX22-CG21)))</f>
        <v>13.262095581124292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7.8999999999999995</v>
      </c>
      <c r="CT22" s="13">
        <f>IF('Données projet'!$A$140&gt;35,CT21+CS22-DB21,IF(A22&lt;'Données projet'!$A$140,$CQ$205^A22,IF(A22='Données projet'!$A$140,'Données projet'!$B$140,CT21+CS22-DB21)))</f>
        <v>39.699999999999996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</v>
      </c>
      <c r="N23" s="14">
        <f>IF('Données projet'!$A$36&gt;35,N22+M23-V22,IF(A23&lt;'Données projet'!$A$36,$K$205^A23,IF(A23='Données projet'!$A$36,'Données projet'!$B$36,N22+M23-V22)))</f>
        <v>60</v>
      </c>
      <c r="O23" s="14">
        <f>N23*VLOOKUP('Données projet'!$B$9,Paramètres!$A$1:$I$88,3,0)*VLOOKUP('Données projet'!$B$9,Paramètres!$A$1:$I$88,5,0)</f>
        <v>54.287999999999997</v>
      </c>
      <c r="P23" s="14">
        <f t="shared" si="33"/>
        <v>15.715795896526746</v>
      </c>
      <c r="Q23" s="22">
        <f t="shared" si="2"/>
        <v>121.9232778531174</v>
      </c>
      <c r="R23" s="62">
        <f t="shared" si="0"/>
        <v>415.2566111864507</v>
      </c>
      <c r="S23" s="62">
        <f ca="1">AVERAGE(OFFSET($R$3,0,0,'Données projet'!$E$9+1,1))-AVERAGE(OFFSET($H$3,0,0,'Données projet'!$E$9+1,1))</f>
        <v>182.76154982630777</v>
      </c>
      <c r="T23" s="62">
        <f t="shared" si="34"/>
        <v>119.92190922866632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projet'!$B$10,Paramètres!$A$1:$I$88,3,0)*VLOOKUP('Données projet'!$B$10,Paramètres!$A$1:$I$88,5,0)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2">
        <f t="shared" si="5"/>
        <v>400.36809883857921</v>
      </c>
      <c r="AN23" s="62">
        <f ca="1">AVERAGE(OFFSET($AM$3,0,0,'Données projet'!$E$10+1,1))-AVERAGE(OFFSET($H$3,0,0,'Données projet'!$E$10+1,1))</f>
        <v>212.1966338656834</v>
      </c>
      <c r="AO23" s="62">
        <f t="shared" si="36"/>
        <v>194.52809733694494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2.1607142857142856</v>
      </c>
      <c r="BD23" s="13">
        <f>IF('Données projet'!$A$88&gt;35,BD22+BC23-BL22,IF(A23&lt;'Données projet'!$A$88,$BA$205^A23,IF(A23='Données projet'!$A$88,'Données projet'!$B$88,BD22+BC23-BL22)))</f>
        <v>43.214285714285701</v>
      </c>
      <c r="BE23" s="14">
        <f>BD23*VLOOKUP('Données projet'!$B$11,Paramètres!$A$1:$I$88,3,0)*VLOOKUP('Données projet'!$B$11,Paramètres!$A$1:$I$88,5,0)</f>
        <v>41.796857142857128</v>
      </c>
      <c r="BF23" s="14">
        <f t="shared" si="37"/>
        <v>12.473679284079349</v>
      </c>
      <c r="BG23" s="22">
        <f t="shared" si="7"/>
        <v>94.521184276914354</v>
      </c>
      <c r="BH23" s="62">
        <f t="shared" si="8"/>
        <v>387.85451761024768</v>
      </c>
      <c r="BI23" s="62">
        <f ca="1">AVERAGE(OFFSET($BH$3,0,0,'Données projet'!$E$11+1,1))-AVERAGE(OFFSET($H$3,0,0,'Données projet'!$E$11+1,1))</f>
        <v>84.664683404322943</v>
      </c>
      <c r="BJ23" s="62">
        <f t="shared" si="38"/>
        <v>79.209234837679901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1.2</v>
      </c>
      <c r="BY23" s="13">
        <f>IF('Données projet'!$A$114&gt;35,BY22+BX23-CG22,IF(A23&lt;'Données projet'!$A$114,$BV$205^A23,IF(A23='Données projet'!$A$114,'Données projet'!$B$114,BY22+BX23-CG22)))</f>
        <v>15.194870523363559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7.8999999999999995</v>
      </c>
      <c r="CT23" s="13">
        <f>IF('Données projet'!$A$140&gt;35,CT22+CS23-DB22,IF(A23&lt;'Données projet'!$A$140,$CQ$205^A23,IF(A23='Données projet'!$A$140,'Données projet'!$B$140,CT22+CS23-DB22)))</f>
        <v>47.599999999999994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</v>
      </c>
      <c r="N24" s="14">
        <f>IF('Données projet'!$A$36&gt;35,N23+M24-V23,IF(A24&lt;'Données projet'!$A$36,$K$205^A24,IF(A24='Données projet'!$A$36,'Données projet'!$B$36,N23+M24-V23)))</f>
        <v>63</v>
      </c>
      <c r="O24" s="14">
        <f>N24*VLOOKUP('Données projet'!$B$9,Paramètres!$A$1:$I$88,3,0)*VLOOKUP('Données projet'!$B$9,Paramètres!$A$1:$I$88,5,0)</f>
        <v>57.002400000000002</v>
      </c>
      <c r="P24" s="14">
        <f t="shared" si="33"/>
        <v>16.4081359066458</v>
      </c>
      <c r="Q24" s="22">
        <f t="shared" si="2"/>
        <v>127.85668337074144</v>
      </c>
      <c r="R24" s="62">
        <f t="shared" si="0"/>
        <v>421.19001670407476</v>
      </c>
      <c r="S24" s="62">
        <f ca="1">AVERAGE(OFFSET($R$3,0,0,'Données projet'!$E$9+1,1))-AVERAGE(OFFSET($H$3,0,0,'Données projet'!$E$9+1,1))</f>
        <v>182.76154982630777</v>
      </c>
      <c r="T24" s="62">
        <f t="shared" si="34"/>
        <v>119.92190922866632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projet'!$B$10,Paramètres!$A$1:$I$88,3,0)*VLOOKUP('Données projet'!$B$10,Paramètres!$A$1:$I$88,5,0)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2">
        <f t="shared" si="5"/>
        <v>425.77744411092726</v>
      </c>
      <c r="AN24" s="62">
        <f ca="1">AVERAGE(OFFSET($AM$3,0,0,'Données projet'!$E$10+1,1))-AVERAGE(OFFSET($H$3,0,0,'Données projet'!$E$10+1,1))</f>
        <v>212.1966338656834</v>
      </c>
      <c r="AO24" s="62">
        <f t="shared" si="36"/>
        <v>194.52809733694494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2.1607142857142856</v>
      </c>
      <c r="BD24" s="13">
        <f>IF('Données projet'!$A$88&gt;35,BD23+BC24-BL23,IF(A24&lt;'Données projet'!$A$88,$BA$205^A24,IF(A24='Données projet'!$A$88,'Données projet'!$B$88,BD23+BC24-BL23)))</f>
        <v>45.374999999999986</v>
      </c>
      <c r="BE24" s="14">
        <f>BD24*VLOOKUP('Données projet'!$B$11,Paramètres!$A$1:$I$88,3,0)*VLOOKUP('Données projet'!$B$11,Paramètres!$A$1:$I$88,5,0)</f>
        <v>43.886699999999983</v>
      </c>
      <c r="BF24" s="14">
        <f t="shared" si="37"/>
        <v>13.023191844475352</v>
      </c>
      <c r="BG24" s="22">
        <f t="shared" si="7"/>
        <v>99.118061629127865</v>
      </c>
      <c r="BH24" s="62">
        <f t="shared" si="8"/>
        <v>392.45139496246117</v>
      </c>
      <c r="BI24" s="62">
        <f ca="1">AVERAGE(OFFSET($BH$3,0,0,'Données projet'!$E$11+1,1))-AVERAGE(OFFSET($H$3,0,0,'Données projet'!$E$11+1,1))</f>
        <v>84.664683404322943</v>
      </c>
      <c r="BJ24" s="62">
        <f t="shared" si="38"/>
        <v>79.209234837679901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1.2</v>
      </c>
      <c r="BY24" s="13">
        <f>IF('Données projet'!$A$114&gt;35,BY23+BX24-CG23,IF(A24&lt;'Données projet'!$A$114,$BV$205^A24,IF(A24='Données projet'!$A$114,'Données projet'!$B$114,BY23+BX24-CG23)))</f>
        <v>17.409321838276906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7.8999999999999995</v>
      </c>
      <c r="CT24" s="13">
        <f>IF('Données projet'!$A$140&gt;35,CT23+CS24-DB23,IF(A24&lt;'Données projet'!$A$140,$CQ$205^A24,IF(A24='Données projet'!$A$140,'Données projet'!$B$140,CT23+CS24-DB23)))</f>
        <v>55.499999999999993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</v>
      </c>
      <c r="N25" s="14">
        <f>IF('Données projet'!$A$36&gt;35,N24+M25-V24,IF(A25&lt;'Données projet'!$A$36,$K$205^A25,IF(A25='Données projet'!$A$36,'Données projet'!$B$36,N24+M25-V24)))</f>
        <v>66</v>
      </c>
      <c r="O25" s="14">
        <f>N25*VLOOKUP('Données projet'!$B$9,Paramètres!$A$1:$I$88,3,0)*VLOOKUP('Données projet'!$B$9,Paramètres!$A$1:$I$88,5,0)</f>
        <v>59.716799999999992</v>
      </c>
      <c r="P25" s="14">
        <f t="shared" si="33"/>
        <v>17.096647463151516</v>
      </c>
      <c r="Q25" s="22">
        <f t="shared" si="2"/>
        <v>133.78342099832221</v>
      </c>
      <c r="R25" s="62">
        <f t="shared" si="0"/>
        <v>427.11675433165556</v>
      </c>
      <c r="S25" s="62">
        <f ca="1">AVERAGE(OFFSET($R$3,0,0,'Données projet'!$E$9+1,1))-AVERAGE(OFFSET($H$3,0,0,'Données projet'!$E$9+1,1))</f>
        <v>182.76154982630777</v>
      </c>
      <c r="T25" s="62">
        <f t="shared" si="34"/>
        <v>119.92190922866632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projet'!$B$10,Paramètres!$A$1:$I$88,3,0)*VLOOKUP('Données projet'!$B$10,Paramètres!$A$1:$I$88,5,0)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2">
        <f t="shared" si="5"/>
        <v>457.23719620976442</v>
      </c>
      <c r="AN25" s="62">
        <f ca="1">AVERAGE(OFFSET($AM$3,0,0,'Données projet'!$E$10+1,1))-AVERAGE(OFFSET($H$3,0,0,'Données projet'!$E$10+1,1))</f>
        <v>212.1966338656834</v>
      </c>
      <c r="AO25" s="62">
        <f t="shared" si="36"/>
        <v>194.52809733694494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16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0.25200000000000006</v>
      </c>
      <c r="AT25" s="17">
        <f>IF(ISNA(VLOOKUP(A25,'Données projet'!$A$61:$I$81,7,0)),0%,VLOOKUP(A25,'Données projet'!$A$61:$I$81,7,0))</f>
        <v>0.44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3.1859334940577297</v>
      </c>
      <c r="AW25" s="23">
        <f>EXP(-LN(2)/2)*AW24+(1-EXP(-LN(2)/2))/(LN(2)/2)*AQ25*AT25*VLOOKUP('Données projet'!$B$10,Paramètres!$A$1:$I$88,3,0)*0.475*44/12</f>
        <v>4.7666073940026195</v>
      </c>
      <c r="AX25" s="23">
        <f t="shared" si="6"/>
        <v>7.9525408880603496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2.1607142857142856</v>
      </c>
      <c r="BD25" s="13">
        <f>IF('Données projet'!$A$88&gt;35,BD24+BC25-BL24,IF(A25&lt;'Données projet'!$A$88,$BA$205^A25,IF(A25='Données projet'!$A$88,'Données projet'!$B$88,BD24+BC25-BL24)))</f>
        <v>47.53571428571427</v>
      </c>
      <c r="BE25" s="14">
        <f>BD25*VLOOKUP('Données projet'!$B$11,Paramètres!$A$1:$I$88,3,0)*VLOOKUP('Données projet'!$B$11,Paramètres!$A$1:$I$88,5,0)</f>
        <v>45.976542857142846</v>
      </c>
      <c r="BF25" s="14">
        <f t="shared" si="37"/>
        <v>13.569665748551234</v>
      </c>
      <c r="BG25" s="22">
        <f t="shared" si="7"/>
        <v>103.70964665491719</v>
      </c>
      <c r="BH25" s="62">
        <f t="shared" si="8"/>
        <v>397.04297998825052</v>
      </c>
      <c r="BI25" s="62">
        <f ca="1">AVERAGE(OFFSET($BH$3,0,0,'Données projet'!$E$11+1,1))-AVERAGE(OFFSET($H$3,0,0,'Données projet'!$E$11+1,1))</f>
        <v>84.664683404322943</v>
      </c>
      <c r="BJ25" s="62">
        <f t="shared" si="38"/>
        <v>79.209234837679901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1.2</v>
      </c>
      <c r="BY25" s="13">
        <f>IF('Données projet'!$A$114&gt;35,BY24+BX25-CG24,IF(A25&lt;'Données projet'!$A$114,$BV$205^A25,IF(A25='Données projet'!$A$114,'Données projet'!$B$114,BY24+BX25-CG24)))</f>
        <v>19.946500129940819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>
        <f>VLOOKUP(A25,'Données projet'!$A$139:$I$159,2,0)</f>
        <v>63.4</v>
      </c>
      <c r="CR25" s="13">
        <f>VLOOKUP(A25,'Données projet'!$A$139:$I$159,9,0)</f>
        <v>7.8999999999999995</v>
      </c>
      <c r="CS25" s="13">
        <f t="array" ref="CS25">INDEX(CR:CR,MIN(IF(ISNUMBER(CR25:CR221),ROW(CR25:CR221),"")))</f>
        <v>7.8999999999999995</v>
      </c>
      <c r="CT25" s="13">
        <f>IF('Données projet'!$A$140&gt;35,CT24+CS25-DB24,IF(A25&lt;'Données projet'!$A$140,$CQ$205^A25,IF(A25='Données projet'!$A$140,'Données projet'!$B$140,CT24+CS25-DB24)))</f>
        <v>63.399999999999991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2</v>
      </c>
      <c r="DB25" s="16">
        <f>IF(ISNA(VLOOKUP(A25,'Données projet'!$A$139:$I$159,4,0)),0,VLOOKUP(A25,'Données projet'!$A$139:$I$159,4,0))</f>
        <v>6.9</v>
      </c>
      <c r="DC25" s="17" t="e">
        <f>IF(ISNA(VLOOKUP(A25,'Données projet'!$A$139:$I$159,5,0)),0%,VLOOKUP(A25,'Données projet'!$A$139:$I$159,5,0)*VLOOKUP('Données projet'!$B$13,Paramètres!$A$1:$I$88,7,0))</f>
        <v>#N/A</v>
      </c>
      <c r="DD25" s="17" t="e">
        <f>IF(ISNA(VLOOKUP(A25,'Données projet'!$A$139:$I$159,6,0)),0%,VLOOKUP(A25,'Données projet'!$A$139:$I$159,6,0)*VLOOKUP('Données projet'!$B$13,Paramètres!$A$1:$I$88,7,0))</f>
        <v>#N/A</v>
      </c>
      <c r="DE25" s="17">
        <f>IF(ISNA(VLOOKUP(A25,'Données projet'!$A$139:$I$159,7,0)),0%,VLOOKUP(A25,'Données projet'!$A$139:$I$159,7,0))</f>
        <v>0.44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</v>
      </c>
      <c r="N26" s="14">
        <f>IF('Données projet'!$A$36&gt;35,N25+M26-V25,IF(A26&lt;'Données projet'!$A$36,$K$205^A26,IF(A26='Données projet'!$A$36,'Données projet'!$B$36,N25+M26-V25)))</f>
        <v>69</v>
      </c>
      <c r="O26" s="14">
        <f>N26*VLOOKUP('Données projet'!$B$9,Paramètres!$A$1:$I$88,3,0)*VLOOKUP('Données projet'!$B$9,Paramètres!$A$1:$I$88,5,0)</f>
        <v>62.431199999999997</v>
      </c>
      <c r="P26" s="14">
        <f t="shared" si="33"/>
        <v>17.781524466058684</v>
      </c>
      <c r="Q26" s="22">
        <f t="shared" si="2"/>
        <v>139.70382844505221</v>
      </c>
      <c r="R26" s="62">
        <f t="shared" si="0"/>
        <v>433.03716177838555</v>
      </c>
      <c r="S26" s="62">
        <f ca="1">AVERAGE(OFFSET($R$3,0,0,'Données projet'!$E$9+1,1))-AVERAGE(OFFSET($H$3,0,0,'Données projet'!$E$9+1,1))</f>
        <v>182.76154982630777</v>
      </c>
      <c r="T26" s="62">
        <f t="shared" si="34"/>
        <v>119.92190922866632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119.33333333333334</v>
      </c>
      <c r="AJ26" s="14">
        <f>AI26*VLOOKUP('Données projet'!$B$10,Paramètres!$A$1:$I$88,3,0)*VLOOKUP('Données projet'!$B$10,Paramètres!$A$1:$I$88,5,0)</f>
        <v>71.361333333333349</v>
      </c>
      <c r="AK26" s="14">
        <f t="shared" si="35"/>
        <v>20.011144716858571</v>
      </c>
      <c r="AL26" s="22">
        <f t="shared" si="4"/>
        <v>159.14039927075092</v>
      </c>
      <c r="AM26" s="62">
        <f t="shared" si="5"/>
        <v>452.47373260408426</v>
      </c>
      <c r="AN26" s="62">
        <f ca="1">AVERAGE(OFFSET($AM$3,0,0,'Données projet'!$E$10+1,1))-AVERAGE(OFFSET($H$3,0,0,'Données projet'!$E$10+1,1))</f>
        <v>212.1966338656834</v>
      </c>
      <c r="AO26" s="62">
        <f t="shared" si="36"/>
        <v>194.52809733694494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3.09881397512176</v>
      </c>
      <c r="AW26" s="23">
        <f>EXP(-LN(2)/2)*AW25+(1-EXP(-LN(2)/2))/(LN(2)/2)*AQ26*AT26*VLOOKUP('Données projet'!$B$10,Paramètres!$A$1:$I$88,3,0)*0.475*44/12</f>
        <v>3.37050041155319</v>
      </c>
      <c r="AX26" s="23">
        <f t="shared" si="6"/>
        <v>6.4693143866749505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2.1607142857142856</v>
      </c>
      <c r="BD26" s="13">
        <f>IF('Données projet'!$A$88&gt;35,BD25+BC26-BL25,IF(A26&lt;'Données projet'!$A$88,$BA$205^A26,IF(A26='Données projet'!$A$88,'Données projet'!$B$88,BD25+BC26-BL25)))</f>
        <v>49.696428571428555</v>
      </c>
      <c r="BE26" s="14">
        <f>BD26*VLOOKUP('Données projet'!$B$11,Paramètres!$A$1:$I$88,3,0)*VLOOKUP('Données projet'!$B$11,Paramètres!$A$1:$I$88,5,0)</f>
        <v>48.066385714285701</v>
      </c>
      <c r="BF26" s="14">
        <f t="shared" si="37"/>
        <v>14.113254895391274</v>
      </c>
      <c r="BG26" s="22">
        <f t="shared" si="7"/>
        <v>108.29620739518738</v>
      </c>
      <c r="BH26" s="62">
        <f t="shared" si="8"/>
        <v>401.62954072852068</v>
      </c>
      <c r="BI26" s="62">
        <f ca="1">AVERAGE(OFFSET($BH$3,0,0,'Données projet'!$E$11+1,1))-AVERAGE(OFFSET($H$3,0,0,'Données projet'!$E$11+1,1))</f>
        <v>84.664683404322943</v>
      </c>
      <c r="BJ26" s="62">
        <f t="shared" si="38"/>
        <v>79.209234837679901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1.2</v>
      </c>
      <c r="BY26" s="13">
        <f>IF('Données projet'!$A$114&gt;35,BY25+BX26-CG25,IF(A26&lt;'Données projet'!$A$114,$BV$205^A26,IF(A26='Données projet'!$A$114,'Données projet'!$B$114,BY25+BX26-CG25)))</f>
        <v>22.853438584779923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10.083333333333334</v>
      </c>
      <c r="CT26" s="13">
        <f>IF('Données projet'!$A$140&gt;35,CT25+CS26-DB25,IF(A26&lt;'Données projet'!$A$140,$CQ$205^A26,IF(A26='Données projet'!$A$140,'Données projet'!$B$140,CT25+CS26-DB25)))</f>
        <v>66.583333333333314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</v>
      </c>
      <c r="N27" s="14">
        <f>IF('Données projet'!$A$36&gt;35,N26+M27-V26,IF(A27&lt;'Données projet'!$A$36,$K$205^A27,IF(A27='Données projet'!$A$36,'Données projet'!$B$36,N26+M27-V26)))</f>
        <v>72</v>
      </c>
      <c r="O27" s="14">
        <f>N27*VLOOKUP('Données projet'!$B$9,Paramètres!$A$1:$I$88,3,0)*VLOOKUP('Données projet'!$B$9,Paramètres!$A$1:$I$88,5,0)</f>
        <v>65.145600000000002</v>
      </c>
      <c r="P27" s="14">
        <f t="shared" si="33"/>
        <v>18.462943001028204</v>
      </c>
      <c r="Q27" s="22">
        <f t="shared" si="2"/>
        <v>145.61821239345747</v>
      </c>
      <c r="R27" s="62">
        <f t="shared" si="0"/>
        <v>438.95154572679075</v>
      </c>
      <c r="S27" s="62">
        <f ca="1">AVERAGE(OFFSET($R$3,0,0,'Données projet'!$E$9+1,1))-AVERAGE(OFFSET($H$3,0,0,'Données projet'!$E$9+1,1))</f>
        <v>182.76154982630777</v>
      </c>
      <c r="T27" s="62">
        <f t="shared" si="34"/>
        <v>119.92190922866632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131.66666666666669</v>
      </c>
      <c r="AJ27" s="14">
        <f>AI27*VLOOKUP('Données projet'!$B$10,Paramètres!$A$1:$I$88,3,0)*VLOOKUP('Données projet'!$B$10,Paramètres!$A$1:$I$88,5,0)</f>
        <v>78.736666666666679</v>
      </c>
      <c r="AK27" s="14">
        <f t="shared" si="35"/>
        <v>21.828006984037064</v>
      </c>
      <c r="AL27" s="22">
        <f t="shared" si="4"/>
        <v>175.15013994164235</v>
      </c>
      <c r="AM27" s="62">
        <f t="shared" si="5"/>
        <v>468.48347327497567</v>
      </c>
      <c r="AN27" s="62">
        <f ca="1">AVERAGE(OFFSET($AM$3,0,0,'Données projet'!$E$10+1,1))-AVERAGE(OFFSET($H$3,0,0,'Données projet'!$E$10+1,1))</f>
        <v>212.1966338656834</v>
      </c>
      <c r="AO27" s="62">
        <f t="shared" si="36"/>
        <v>194.52809733694494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3.0140767440125109</v>
      </c>
      <c r="AW27" s="23">
        <f>EXP(-LN(2)/2)*AW26+(1-EXP(-LN(2)/2))/(LN(2)/2)*AQ27*AT27*VLOOKUP('Données projet'!$B$10,Paramètres!$A$1:$I$88,3,0)*0.475*44/12</f>
        <v>2.3833036970013102</v>
      </c>
      <c r="AX27" s="23">
        <f t="shared" si="6"/>
        <v>5.3973804410138211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2.1607142857142856</v>
      </c>
      <c r="BD27" s="13">
        <f>IF('Données projet'!$A$88&gt;35,BD26+BC27-BL26,IF(A27&lt;'Données projet'!$A$88,$BA$205^A27,IF(A27='Données projet'!$A$88,'Données projet'!$B$88,BD26+BC27-BL26)))</f>
        <v>51.85714285714284</v>
      </c>
      <c r="BE27" s="14">
        <f>BD27*VLOOKUP('Données projet'!$B$11,Paramètres!$A$1:$I$88,3,0)*VLOOKUP('Données projet'!$B$11,Paramètres!$A$1:$I$88,5,0)</f>
        <v>50.156228571428557</v>
      </c>
      <c r="BF27" s="14">
        <f t="shared" si="37"/>
        <v>14.654099044768126</v>
      </c>
      <c r="BG27" s="22">
        <f t="shared" si="7"/>
        <v>112.8779872648759</v>
      </c>
      <c r="BH27" s="62">
        <f t="shared" si="8"/>
        <v>406.21132059820923</v>
      </c>
      <c r="BI27" s="62">
        <f ca="1">AVERAGE(OFFSET($BH$3,0,0,'Données projet'!$E$11+1,1))-AVERAGE(OFFSET($H$3,0,0,'Données projet'!$E$11+1,1))</f>
        <v>84.664683404322943</v>
      </c>
      <c r="BJ27" s="62">
        <f t="shared" si="38"/>
        <v>79.209234837679901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1.2</v>
      </c>
      <c r="BY27" s="13">
        <f>IF('Données projet'!$A$114&gt;35,BY26+BX27-CG26,IF(A27&lt;'Données projet'!$A$114,$BV$205^A27,IF(A27='Données projet'!$A$114,'Données projet'!$B$114,BY26+BX27-CG26)))</f>
        <v>26.184024853780567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10.083333333333334</v>
      </c>
      <c r="CT27" s="13">
        <f>IF('Données projet'!$A$140&gt;35,CT26+CS27-DB26,IF(A27&lt;'Données projet'!$A$140,$CQ$205^A27,IF(A27='Données projet'!$A$140,'Données projet'!$B$140,CT26+CS27-DB26)))</f>
        <v>76.666666666666643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</v>
      </c>
      <c r="N28" s="14">
        <f>IF('Données projet'!$A$36&gt;35,N27+M28-V27,IF(A28&lt;'Données projet'!$A$36,$K$205^A28,IF(A28='Données projet'!$A$36,'Données projet'!$B$36,N27+M28-V27)))</f>
        <v>75</v>
      </c>
      <c r="O28" s="14">
        <f>N28*VLOOKUP('Données projet'!$B$9,Paramètres!$A$1:$I$88,3,0)*VLOOKUP('Données projet'!$B$9,Paramètres!$A$1:$I$88,5,0)</f>
        <v>67.86</v>
      </c>
      <c r="P28" s="14">
        <f t="shared" si="33"/>
        <v>19.141063649731766</v>
      </c>
      <c r="Q28" s="22">
        <f t="shared" si="2"/>
        <v>151.52685252328283</v>
      </c>
      <c r="R28" s="62">
        <f t="shared" si="0"/>
        <v>444.86018585661611</v>
      </c>
      <c r="S28" s="62">
        <f ca="1">AVERAGE(OFFSET($R$3,0,0,'Données projet'!$E$9+1,1))-AVERAGE(OFFSET($H$3,0,0,'Données projet'!$E$9+1,1))</f>
        <v>182.76154982630777</v>
      </c>
      <c r="T28" s="62">
        <f t="shared" si="34"/>
        <v>119.92190922866632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144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144.00000000000003</v>
      </c>
      <c r="AJ28" s="14">
        <f>AI28*VLOOKUP('Données projet'!$B$10,Paramètres!$A$1:$I$88,3,0)*VLOOKUP('Données projet'!$B$10,Paramètres!$A$1:$I$88,5,0)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2">
        <f t="shared" si="5"/>
        <v>484.4588463196344</v>
      </c>
      <c r="AN28" s="62">
        <f ca="1">AVERAGE(OFFSET($AM$3,0,0,'Données projet'!$E$10+1,1))-AVERAGE(OFFSET($H$3,0,0,'Données projet'!$E$10+1,1))</f>
        <v>212.1966338656834</v>
      </c>
      <c r="AO28" s="62">
        <f t="shared" si="36"/>
        <v>194.52809733694494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0.25200000000000006</v>
      </c>
      <c r="AT28" s="17">
        <f>IF(ISNA(VLOOKUP(A28,'Données projet'!$A$61:$I$81,7,0)),0%,VLOOKUP(A28,'Données projet'!$A$61:$I$81,7,0))</f>
        <v>0.44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6.3167109943804203</v>
      </c>
      <c r="AW28" s="23">
        <f>EXP(-LN(2)/2)*AW27+(1-EXP(-LN(2)/2))/(LN(2)/2)*AQ28*AT28*VLOOKUP('Données projet'!$B$10,Paramètres!$A$1:$I$88,3,0)*0.475*44/12</f>
        <v>6.7497705619043789</v>
      </c>
      <c r="AX28" s="23">
        <f t="shared" si="6"/>
        <v>13.066481556284799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2.1607142857142856</v>
      </c>
      <c r="BD28" s="13">
        <f>IF('Données projet'!$A$88&gt;35,BD27+BC28-BL27,IF(A28&lt;'Données projet'!$A$88,$BA$205^A28,IF(A28='Données projet'!$A$88,'Données projet'!$B$88,BD27+BC28-BL27)))</f>
        <v>54.017857142857125</v>
      </c>
      <c r="BE28" s="14">
        <f>BD28*VLOOKUP('Données projet'!$B$11,Paramètres!$A$1:$I$88,3,0)*VLOOKUP('Données projet'!$B$11,Paramètres!$A$1:$I$88,5,0)</f>
        <v>52.246071428571412</v>
      </c>
      <c r="BF28" s="14">
        <f t="shared" si="37"/>
        <v>15.19232565088671</v>
      </c>
      <c r="BG28" s="22">
        <f t="shared" si="7"/>
        <v>117.4552082467229</v>
      </c>
      <c r="BH28" s="62">
        <f t="shared" si="8"/>
        <v>410.78854158005623</v>
      </c>
      <c r="BI28" s="62">
        <f ca="1">AVERAGE(OFFSET($BH$3,0,0,'Données projet'!$E$11+1,1))-AVERAGE(OFFSET($H$3,0,0,'Données projet'!$E$11+1,1))</f>
        <v>84.664683404322943</v>
      </c>
      <c r="BJ28" s="62">
        <f t="shared" si="38"/>
        <v>79.209234837679901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30</v>
      </c>
      <c r="BW28" s="13">
        <f>VLOOKUP(A28,'Données projet'!$A$113:$I$133,9,0)</f>
        <v>1.2</v>
      </c>
      <c r="BX28" s="13">
        <f t="array" ref="BX28">INDEX(BW:BW,MIN(IF(ISNUMBER(BW28:BW224),ROW(BW28:BW224),"")))</f>
        <v>1.2</v>
      </c>
      <c r="BY28" s="13">
        <f>IF('Données projet'!$A$114&gt;35,BY27+BX28-CG27,IF(A28&lt;'Données projet'!$A$114,$BV$205^A28,IF(A28='Données projet'!$A$114,'Données projet'!$B$114,BY27+BX28-CG27)))</f>
        <v>30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0</v>
      </c>
      <c r="CH28" s="17" t="e">
        <f>IF(ISNA(VLOOKUP(A28,'Données projet'!$A$113:$I$133,5,0)),0%,VLOOKUP(A28,'Données projet'!$A$113:$I$133,5,0)*VLOOKUP('Données projet'!$B$12,Paramètres!$A$1:$I$88,7,0))</f>
        <v>#N/A</v>
      </c>
      <c r="CI28" s="17" t="e">
        <f>IF(ISNA(VLOOKUP(A28,'Données projet'!$A$113:$I$133,6,0)),0%,VLOOKUP(A28,'Données projet'!$A$113:$I$133,6,0)*VLOOKUP('Données projet'!$B$12,Paramètres!$A$1:$I$88,7,0))</f>
        <v>#N/A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10.083333333333334</v>
      </c>
      <c r="CT28" s="13">
        <f>IF('Données projet'!$A$140&gt;35,CT27+CS28-DB27,IF(A28&lt;'Données projet'!$A$140,$CQ$205^A28,IF(A28='Données projet'!$A$140,'Données projet'!$B$140,CT27+CS28-DB27)))</f>
        <v>86.749999999999972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</v>
      </c>
      <c r="N29" s="14">
        <f>IF('Données projet'!$A$36&gt;35,N28+M29-V28,IF(A29&lt;'Données projet'!$A$36,$K$205^A29,IF(A29='Données projet'!$A$36,'Données projet'!$B$36,N28+M29-V28)))</f>
        <v>78</v>
      </c>
      <c r="O29" s="14">
        <f>N29*VLOOKUP('Données projet'!$B$9,Paramètres!$A$1:$I$88,3,0)*VLOOKUP('Données projet'!$B$9,Paramètres!$A$1:$I$88,5,0)</f>
        <v>70.574399999999997</v>
      </c>
      <c r="P29" s="14">
        <f t="shared" si="33"/>
        <v>19.816033420152426</v>
      </c>
      <c r="Q29" s="22">
        <f t="shared" si="2"/>
        <v>157.43000487343213</v>
      </c>
      <c r="R29" s="62">
        <f t="shared" si="0"/>
        <v>450.76333820676541</v>
      </c>
      <c r="S29" s="62">
        <f ca="1">AVERAGE(OFFSET($R$3,0,0,'Données projet'!$E$9+1,1))-AVERAGE(OFFSET($H$3,0,0,'Données projet'!$E$9+1,1))</f>
        <v>182.76154982630777</v>
      </c>
      <c r="T29" s="62">
        <f t="shared" si="34"/>
        <v>119.92190922866632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projet'!$B$10,Paramètres!$A$1:$I$88,3,0)*VLOOKUP('Données projet'!$B$10,Paramètres!$A$1:$I$88,5,0)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2">
        <f t="shared" si="5"/>
        <v>479.79911161741188</v>
      </c>
      <c r="AN29" s="62">
        <f ca="1">AVERAGE(OFFSET($AM$3,0,0,'Données projet'!$E$10+1,1))-AVERAGE(OFFSET($H$3,0,0,'Données projet'!$E$10+1,1))</f>
        <v>212.1966338656834</v>
      </c>
      <c r="AO29" s="62">
        <f t="shared" si="36"/>
        <v>194.52809733694494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6.143980200057694</v>
      </c>
      <c r="AW29" s="23">
        <f>EXP(-LN(2)/2)*AW28+(1-EXP(-LN(2)/2))/(LN(2)/2)*AQ29*AT29*VLOOKUP('Données projet'!$B$10,Paramètres!$A$1:$I$88,3,0)*0.475*44/12</f>
        <v>4.77280853577592</v>
      </c>
      <c r="AX29" s="23">
        <f t="shared" si="6"/>
        <v>10.916788735833613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2.1607142857142856</v>
      </c>
      <c r="BD29" s="13">
        <f>IF('Données projet'!$A$88&gt;35,BD28+BC29-BL28,IF(A29&lt;'Données projet'!$A$88,$BA$205^A29,IF(A29='Données projet'!$A$88,'Données projet'!$B$88,BD28+BC29-BL28)))</f>
        <v>56.178571428571409</v>
      </c>
      <c r="BE29" s="14">
        <f>BD29*VLOOKUP('Données projet'!$B$11,Paramètres!$A$1:$I$88,3,0)*VLOOKUP('Données projet'!$B$11,Paramètres!$A$1:$I$88,5,0)</f>
        <v>54.335914285714267</v>
      </c>
      <c r="BF29" s="14">
        <f t="shared" si="37"/>
        <v>15.728051394470388</v>
      </c>
      <c r="BG29" s="22">
        <f t="shared" si="7"/>
        <v>122.02807355965494</v>
      </c>
      <c r="BH29" s="62">
        <f t="shared" si="8"/>
        <v>415.36140689298827</v>
      </c>
      <c r="BI29" s="62">
        <f ca="1">AVERAGE(OFFSET($BH$3,0,0,'Données projet'!$E$11+1,1))-AVERAGE(OFFSET($H$3,0,0,'Données projet'!$E$11+1,1))</f>
        <v>84.664683404322943</v>
      </c>
      <c r="BJ29" s="62">
        <f t="shared" si="38"/>
        <v>79.209234837679901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4.8</v>
      </c>
      <c r="BY29" s="13">
        <f>IF('Données projet'!$A$114&gt;35,BY28+BX29-CG28,IF(A29&lt;'Données projet'!$A$114,$BV$205^A29,IF(A29='Données projet'!$A$114,'Données projet'!$B$114,BY28+BX29-CG28)))</f>
        <v>34.799999999999997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10.083333333333334</v>
      </c>
      <c r="CT29" s="13">
        <f>IF('Données projet'!$A$140&gt;35,CT28+CS29-DB28,IF(A29&lt;'Données projet'!$A$140,$CQ$205^A29,IF(A29='Données projet'!$A$140,'Données projet'!$B$140,CT28+CS29-DB28)))</f>
        <v>96.8333333333333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</v>
      </c>
      <c r="N30" s="14">
        <f>IF('Données projet'!$A$36&gt;35,N29+M30-V29,IF(A30&lt;'Données projet'!$A$36,$K$205^A30,IF(A30='Données projet'!$A$36,'Données projet'!$B$36,N29+M30-V29)))</f>
        <v>81</v>
      </c>
      <c r="O30" s="14">
        <f>N30*VLOOKUP('Données projet'!$B$9,Paramètres!$A$1:$I$88,3,0)*VLOOKUP('Données projet'!$B$9,Paramètres!$A$1:$I$88,5,0)</f>
        <v>73.288799999999995</v>
      </c>
      <c r="P30" s="14">
        <f t="shared" si="33"/>
        <v>20.487987371563225</v>
      </c>
      <c r="Q30" s="22">
        <f t="shared" si="2"/>
        <v>163.32790467213928</v>
      </c>
      <c r="R30" s="62">
        <f t="shared" si="0"/>
        <v>456.66123800547257</v>
      </c>
      <c r="S30" s="62">
        <f ca="1">AVERAGE(OFFSET($R$3,0,0,'Données projet'!$E$9+1,1))-AVERAGE(OFFSET($H$3,0,0,'Données projet'!$E$9+1,1))</f>
        <v>182.76154982630777</v>
      </c>
      <c r="T30" s="62">
        <f t="shared" si="34"/>
        <v>119.92190922866632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projet'!$B$10,Paramètres!$A$1:$I$88,3,0)*VLOOKUP('Données projet'!$B$10,Paramètres!$A$1:$I$88,5,0)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2">
        <f t="shared" si="5"/>
        <v>497.13048476928668</v>
      </c>
      <c r="AN30" s="62">
        <f ca="1">AVERAGE(OFFSET($AM$3,0,0,'Données projet'!$E$10+1,1))-AVERAGE(OFFSET($H$3,0,0,'Données projet'!$E$10+1,1))</f>
        <v>212.1966338656834</v>
      </c>
      <c r="AO30" s="62">
        <f t="shared" si="36"/>
        <v>194.52809733694494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5.97597273838924</v>
      </c>
      <c r="AW30" s="23">
        <f>EXP(-LN(2)/2)*AW29+(1-EXP(-LN(2)/2))/(LN(2)/2)*AQ30*AT30*VLOOKUP('Données projet'!$B$10,Paramètres!$A$1:$I$88,3,0)*0.475*44/12</f>
        <v>3.3748852809521899</v>
      </c>
      <c r="AX30" s="23">
        <f t="shared" si="6"/>
        <v>9.3508580193414303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2.1607142857142856</v>
      </c>
      <c r="BD30" s="13">
        <f>IF('Données projet'!$A$88&gt;35,BD29+BC30-BL29,IF(A30&lt;'Données projet'!$A$88,$BA$205^A30,IF(A30='Données projet'!$A$88,'Données projet'!$B$88,BD29+BC30-BL29)))</f>
        <v>58.339285714285694</v>
      </c>
      <c r="BE30" s="14">
        <f>BD30*VLOOKUP('Données projet'!$B$11,Paramètres!$A$1:$I$88,3,0)*VLOOKUP('Données projet'!$B$11,Paramètres!$A$1:$I$88,5,0)</f>
        <v>56.425757142857123</v>
      </c>
      <c r="BF30" s="14">
        <f t="shared" si="37"/>
        <v>16.261383472511724</v>
      </c>
      <c r="BG30" s="22">
        <f t="shared" si="7"/>
        <v>126.59676990510074</v>
      </c>
      <c r="BH30" s="62">
        <f t="shared" si="8"/>
        <v>419.93010323843407</v>
      </c>
      <c r="BI30" s="62">
        <f ca="1">AVERAGE(OFFSET($BH$3,0,0,'Données projet'!$E$11+1,1))-AVERAGE(OFFSET($H$3,0,0,'Données projet'!$E$11+1,1))</f>
        <v>84.664683404322943</v>
      </c>
      <c r="BJ30" s="62">
        <f t="shared" si="38"/>
        <v>79.209234837679901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4.8</v>
      </c>
      <c r="BY30" s="13">
        <f>IF('Données projet'!$A$114&gt;35,BY29+BX30-CG29,IF(A30&lt;'Données projet'!$A$114,$BV$205^A30,IF(A30='Données projet'!$A$114,'Données projet'!$B$114,BY29+BX30-CG29)))</f>
        <v>39.599999999999994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10.083333333333334</v>
      </c>
      <c r="CT30" s="13">
        <f>IF('Données projet'!$A$140&gt;35,CT29+CS30-DB29,IF(A30&lt;'Données projet'!$A$140,$CQ$205^A30,IF(A30='Données projet'!$A$140,'Données projet'!$B$140,CT29+CS30-DB29)))</f>
        <v>106.91666666666663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projet'!$B$9,Paramètres!$A$1:$I$88,3,0)*VLOOKUP('Données projet'!$B$9,Paramètres!$A$1:$I$88,5,0)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462.55410206940076</v>
      </c>
      <c r="S31" s="62">
        <f ca="1">AVERAGE(OFFSET($R$3,0,0,'Données projet'!$E$9+1,1))-AVERAGE(OFFSET($H$3,0,0,'Données projet'!$E$9+1,1))</f>
        <v>182.76154982630777</v>
      </c>
      <c r="T31" s="62">
        <f t="shared" si="34"/>
        <v>119.92190922866632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projet'!$B$10,Paramètres!$A$1:$I$88,3,0)*VLOOKUP('Données projet'!$B$10,Paramètres!$A$1:$I$88,5,0)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2">
        <f t="shared" si="5"/>
        <v>514.42775738247849</v>
      </c>
      <c r="AN31" s="62">
        <f ca="1">AVERAGE(OFFSET($AM$3,0,0,'Données projet'!$E$10+1,1))-AVERAGE(OFFSET($H$3,0,0,'Données projet'!$E$10+1,1))</f>
        <v>212.1966338656834</v>
      </c>
      <c r="AO31" s="62">
        <f t="shared" si="36"/>
        <v>194.52809733694494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5.8125594495952386</v>
      </c>
      <c r="AW31" s="23">
        <f>EXP(-LN(2)/2)*AW30+(1-EXP(-LN(2)/2))/(LN(2)/2)*AQ31*AT31*VLOOKUP('Données projet'!$B$10,Paramètres!$A$1:$I$88,3,0)*0.475*44/12</f>
        <v>2.3864042678879605</v>
      </c>
      <c r="AX31" s="23">
        <f t="shared" si="6"/>
        <v>8.1989637174831991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2.1607142857142856</v>
      </c>
      <c r="BD31" s="13">
        <f>IF('Données projet'!$A$88&gt;35,BD30+BC31-BL30,IF(A31&lt;'Données projet'!$A$88,$BA$205^A31,IF(A31='Données projet'!$A$88,'Données projet'!$B$88,BD30+BC31-BL30)))</f>
        <v>60.499999999999979</v>
      </c>
      <c r="BE31" s="14">
        <f>BD31*VLOOKUP('Données projet'!$B$11,Paramètres!$A$1:$I$88,3,0)*VLOOKUP('Données projet'!$B$11,Paramètres!$A$1:$I$88,5,0)</f>
        <v>58.515599999999978</v>
      </c>
      <c r="BF31" s="14">
        <f t="shared" si="37"/>
        <v>16.792420691577668</v>
      </c>
      <c r="BG31" s="22">
        <f t="shared" si="7"/>
        <v>131.16146937116437</v>
      </c>
      <c r="BH31" s="62">
        <f t="shared" si="8"/>
        <v>424.49480270449772</v>
      </c>
      <c r="BI31" s="62">
        <f ca="1">AVERAGE(OFFSET($BH$3,0,0,'Données projet'!$E$11+1,1))-AVERAGE(OFFSET($H$3,0,0,'Données projet'!$E$11+1,1))</f>
        <v>84.664683404322943</v>
      </c>
      <c r="BJ31" s="62">
        <f t="shared" si="38"/>
        <v>79.209234837679901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4.8</v>
      </c>
      <c r="BY31" s="13">
        <f>IF('Données projet'!$A$114&gt;35,BY30+BX31-CG30,IF(A31&lt;'Données projet'!$A$114,$BV$205^A31,IF(A31='Données projet'!$A$114,'Données projet'!$B$114,BY30+BX31-CG30)))</f>
        <v>44.399999999999991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>
        <f>VLOOKUP(A31,'Données projet'!$A$139:$I$159,2,0)</f>
        <v>117</v>
      </c>
      <c r="CR31" s="13">
        <f>VLOOKUP(A31,'Données projet'!$A$139:$I$159,9,0)</f>
        <v>10.083333333333334</v>
      </c>
      <c r="CS31" s="13">
        <f t="array" ref="CS31">INDEX(CR:CR,MIN(IF(ISNUMBER(CR31:CR227),ROW(CR31:CR227),"")))</f>
        <v>10.083333333333334</v>
      </c>
      <c r="CT31" s="13">
        <f>IF('Données projet'!$A$140&gt;35,CT30+CS31-DB30,IF(A31&lt;'Données projet'!$A$140,$CQ$205^A31,IF(A31='Données projet'!$A$140,'Données projet'!$B$140,CT30+CS31-DB30)))</f>
        <v>116.99999999999996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3</v>
      </c>
      <c r="DB31" s="16">
        <f>IF(ISNA(VLOOKUP(A31,'Données projet'!$A$139:$I$159,4,0)),0,VLOOKUP(A31,'Données projet'!$A$139:$I$159,4,0))</f>
        <v>18.600000000000001</v>
      </c>
      <c r="DC31" s="17" t="e">
        <f>IF(ISNA(VLOOKUP(A31,'Données projet'!$A$139:$I$159,5,0)),0%,VLOOKUP(A31,'Données projet'!$A$139:$I$159,5,0)*VLOOKUP('Données projet'!$B$13,Paramètres!$A$1:$I$88,7,0))</f>
        <v>#N/A</v>
      </c>
      <c r="DD31" s="17" t="e">
        <f>IF(ISNA(VLOOKUP(A31,'Données projet'!$A$139:$I$159,6,0)),0%,VLOOKUP(A31,'Données projet'!$A$139:$I$159,6,0)*VLOOKUP('Données projet'!$B$13,Paramètres!$A$1:$I$88,7,0))</f>
        <v>#N/A</v>
      </c>
      <c r="DE31" s="17">
        <f>IF(ISNA(VLOOKUP(A31,'Données projet'!$A$139:$I$159,7,0)),0%,VLOOKUP(A31,'Données projet'!$A$139:$I$159,7,0))</f>
        <v>0.44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</v>
      </c>
      <c r="N32" s="14">
        <f>IF('Données projet'!$A$36&gt;35,N31+M32-V31,IF(A32&lt;'Données projet'!$A$36,$K$205^A32,IF(A32='Données projet'!$A$36,'Données projet'!$B$36,N31+M32-V31)))</f>
        <v>87</v>
      </c>
      <c r="O32" s="14">
        <f>N32*VLOOKUP('Données projet'!$B$9,Paramètres!$A$1:$I$88,3,0)*VLOOKUP('Données projet'!$B$9,Paramètres!$A$1:$I$88,5,0)</f>
        <v>78.71759999999999</v>
      </c>
      <c r="P32" s="14">
        <f t="shared" si="33"/>
        <v>21.823336373425391</v>
      </c>
      <c r="Q32" s="22">
        <f t="shared" si="2"/>
        <v>175.1087975170492</v>
      </c>
      <c r="R32" s="62">
        <f t="shared" si="0"/>
        <v>468.44213085038251</v>
      </c>
      <c r="S32" s="62">
        <f ca="1">AVERAGE(OFFSET($R$3,0,0,'Données projet'!$E$9+1,1))-AVERAGE(OFFSET($H$3,0,0,'Données projet'!$E$9+1,1))</f>
        <v>182.76154982630777</v>
      </c>
      <c r="T32" s="62">
        <f t="shared" si="34"/>
        <v>119.92190922866632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projet'!$B$10,Paramètres!$A$1:$I$88,3,0)*VLOOKUP('Données projet'!$B$10,Paramètres!$A$1:$I$88,5,0)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2">
        <f t="shared" si="5"/>
        <v>531.69397310455531</v>
      </c>
      <c r="AN32" s="62">
        <f ca="1">AVERAGE(OFFSET($AM$3,0,0,'Données projet'!$E$10+1,1))-AVERAGE(OFFSET($H$3,0,0,'Données projet'!$E$10+1,1))</f>
        <v>212.1966338656834</v>
      </c>
      <c r="AO32" s="62">
        <f t="shared" si="36"/>
        <v>194.52809733694494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5.6536147057768398</v>
      </c>
      <c r="AW32" s="23">
        <f>EXP(-LN(2)/2)*AW31+(1-EXP(-LN(2)/2))/(LN(2)/2)*AQ32*AT32*VLOOKUP('Données projet'!$B$10,Paramètres!$A$1:$I$88,3,0)*0.475*44/12</f>
        <v>1.6874426404760954</v>
      </c>
      <c r="AX32" s="23">
        <f t="shared" si="6"/>
        <v>7.3410573462529349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2.1607142857142856</v>
      </c>
      <c r="BD32" s="13">
        <f>IF('Données projet'!$A$88&gt;35,BD31+BC32-BL31,IF(A32&lt;'Données projet'!$A$88,$BA$205^A32,IF(A32='Données projet'!$A$88,'Données projet'!$B$88,BD31+BC32-BL31)))</f>
        <v>62.660714285714263</v>
      </c>
      <c r="BE32" s="14">
        <f>BD32*VLOOKUP('Données projet'!$B$11,Paramètres!$A$1:$I$88,3,0)*VLOOKUP('Données projet'!$B$11,Paramètres!$A$1:$I$88,5,0)</f>
        <v>60.605442857142833</v>
      </c>
      <c r="BF32" s="14">
        <f t="shared" si="37"/>
        <v>17.321254400539324</v>
      </c>
      <c r="BG32" s="22">
        <f t="shared" si="7"/>
        <v>135.72233105712974</v>
      </c>
      <c r="BH32" s="62">
        <f t="shared" si="8"/>
        <v>429.05566439046305</v>
      </c>
      <c r="BI32" s="62">
        <f ca="1">AVERAGE(OFFSET($BH$3,0,0,'Données projet'!$E$11+1,1))-AVERAGE(OFFSET($H$3,0,0,'Données projet'!$E$11+1,1))</f>
        <v>84.664683404322943</v>
      </c>
      <c r="BJ32" s="62">
        <f t="shared" si="38"/>
        <v>79.209234837679901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4.8</v>
      </c>
      <c r="BY32" s="13">
        <f>IF('Données projet'!$A$114&gt;35,BY31+BX32-CG31,IF(A32&lt;'Données projet'!$A$114,$BV$205^A32,IF(A32='Données projet'!$A$114,'Données projet'!$B$114,BY31+BX32-CG31)))</f>
        <v>49.199999999999989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10.883333333333331</v>
      </c>
      <c r="CT32" s="13">
        <f>IF('Données projet'!$A$140&gt;35,CT31+CS32-DB31,IF(A32&lt;'Données projet'!$A$140,$CQ$205^A32,IF(A32='Données projet'!$A$140,'Données projet'!$B$140,CT31+CS32-DB31)))</f>
        <v>109.28333333333327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</v>
      </c>
      <c r="N33" s="14">
        <f>IF('Données projet'!$A$36&gt;35,N32+M33-V32,IF(A33&lt;'Données projet'!$A$36,$K$205^A33,IF(A33='Données projet'!$A$36,'Données projet'!$B$36,N32+M33-V32)))</f>
        <v>90</v>
      </c>
      <c r="O33" s="14">
        <f>N33*VLOOKUP('Données projet'!$B$9,Paramètres!$A$1:$I$88,3,0)*VLOOKUP('Données projet'!$B$9,Paramètres!$A$1:$I$88,5,0)</f>
        <v>81.432000000000002</v>
      </c>
      <c r="P33" s="14">
        <f t="shared" si="33"/>
        <v>22.486953220240881</v>
      </c>
      <c r="Q33" s="22">
        <f t="shared" si="2"/>
        <v>180.99217685858619</v>
      </c>
      <c r="R33" s="62">
        <f t="shared" si="0"/>
        <v>474.32551019191953</v>
      </c>
      <c r="S33" s="62">
        <f ca="1">AVERAGE(OFFSET($R$3,0,0,'Données projet'!$E$9+1,1))-AVERAGE(OFFSET($H$3,0,0,'Données projet'!$E$9+1,1))</f>
        <v>182.76154982630777</v>
      </c>
      <c r="T33" s="62">
        <f t="shared" si="34"/>
        <v>119.92190922866632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projet'!$B$10,Paramètres!$A$1:$I$88,3,0)*VLOOKUP('Données projet'!$B$10,Paramètres!$A$1:$I$88,5,0)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2">
        <f t="shared" si="5"/>
        <v>548.93169830019815</v>
      </c>
      <c r="AN33" s="62">
        <f ca="1">AVERAGE(OFFSET($AM$3,0,0,'Données projet'!$E$10+1,1))-AVERAGE(OFFSET($H$3,0,0,'Données projet'!$E$10+1,1))</f>
        <v>212.1966338656834</v>
      </c>
      <c r="AO33" s="62">
        <f t="shared" si="36"/>
        <v>194.52809733694494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0.25200000000000006</v>
      </c>
      <c r="AT33" s="17">
        <f>IF(ISNA(VLOOKUP(A33,'Données projet'!$A$61:$I$81,7,0)),0%,VLOOKUP(A33,'Données projet'!$A$61:$I$81,7,0))</f>
        <v>0.44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12.269124989209374</v>
      </c>
      <c r="AW33" s="23">
        <f>EXP(-LN(2)/2)*AW32+(1-EXP(-LN(2)/2))/(LN(2)/2)*AQ33*AT33*VLOOKUP('Données projet'!$B$10,Paramètres!$A$1:$I$88,3,0)*0.475*44/12</f>
        <v>11.322242846199547</v>
      </c>
      <c r="AX33" s="23">
        <f t="shared" si="6"/>
        <v>23.591367835408921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2.1607142857142856</v>
      </c>
      <c r="BD33" s="13">
        <f>IF('Données projet'!$A$88&gt;35,BD32+BC33-BL32,IF(A33&lt;'Données projet'!$A$88,$BA$205^A33,IF(A33='Données projet'!$A$88,'Données projet'!$B$88,BD32+BC33-BL32)))</f>
        <v>64.821428571428555</v>
      </c>
      <c r="BE33" s="14">
        <f>BD33*VLOOKUP('Données projet'!$B$11,Paramètres!$A$1:$I$88,3,0)*VLOOKUP('Données projet'!$B$11,Paramètres!$A$1:$I$88,5,0)</f>
        <v>62.695285714285696</v>
      </c>
      <c r="BF33" s="14">
        <f t="shared" si="37"/>
        <v>17.847969291034797</v>
      </c>
      <c r="BG33" s="22">
        <f t="shared" si="7"/>
        <v>140.27950246759983</v>
      </c>
      <c r="BH33" s="62">
        <f t="shared" si="8"/>
        <v>433.61283580093311</v>
      </c>
      <c r="BI33" s="62">
        <f ca="1">AVERAGE(OFFSET($BH$3,0,0,'Données projet'!$E$11+1,1))-AVERAGE(OFFSET($H$3,0,0,'Données projet'!$E$11+1,1))</f>
        <v>84.664683404322943</v>
      </c>
      <c r="BJ33" s="62">
        <f t="shared" si="38"/>
        <v>79.209234837679901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4.8</v>
      </c>
      <c r="BX33" s="13">
        <f t="array" ref="BX33">INDEX(BW:BW,MIN(IF(ISNUMBER(BW33:BW229),ROW(BW33:BW229),"")))</f>
        <v>4.8</v>
      </c>
      <c r="BY33" s="13">
        <f>IF('Données projet'!$A$114&gt;35,BY32+BX33-CG32,IF(A33&lt;'Données projet'!$A$114,$BV$205^A33,IF(A33='Données projet'!$A$114,'Données projet'!$B$114,BY32+BX33-CG32)))</f>
        <v>53.999999999999986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0</v>
      </c>
      <c r="CH33" s="17" t="e">
        <f>IF(ISNA(VLOOKUP(A33,'Données projet'!$A$113:$I$133,5,0)),0%,VLOOKUP(A33,'Données projet'!$A$113:$I$133,5,0)*VLOOKUP('Données projet'!$B$12,Paramètres!$A$1:$I$88,7,0))</f>
        <v>#N/A</v>
      </c>
      <c r="CI33" s="17" t="e">
        <f>IF(ISNA(VLOOKUP(A33,'Données projet'!$A$113:$I$133,6,0)),0%,VLOOKUP(A33,'Données projet'!$A$113:$I$133,6,0)*VLOOKUP('Données projet'!$B$12,Paramètres!$A$1:$I$88,7,0))</f>
        <v>#N/A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10.883333333333331</v>
      </c>
      <c r="CT33" s="13">
        <f>IF('Données projet'!$A$140&gt;35,CT32+CS33-DB32,IF(A33&lt;'Données projet'!$A$140,$CQ$205^A33,IF(A33='Données projet'!$A$140,'Données projet'!$B$140,CT32+CS33-DB32)))</f>
        <v>120.1666666666666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</v>
      </c>
      <c r="N34" s="14">
        <f>IF('Données projet'!$A$36&gt;35,N33+M34-V33,IF(A34&lt;'Données projet'!$A$36,$K$205^A34,IF(A34='Données projet'!$A$36,'Données projet'!$B$36,N33+M34-V33)))</f>
        <v>93</v>
      </c>
      <c r="O34" s="14">
        <f>N34*VLOOKUP('Données projet'!$B$9,Paramètres!$A$1:$I$88,3,0)*VLOOKUP('Données projet'!$B$9,Paramètres!$A$1:$I$88,5,0)</f>
        <v>84.1464</v>
      </c>
      <c r="P34" s="14">
        <f t="shared" si="33"/>
        <v>23.14799971956144</v>
      </c>
      <c r="Q34" s="22">
        <f t="shared" si="2"/>
        <v>186.87107951156952</v>
      </c>
      <c r="R34" s="62">
        <f t="shared" si="0"/>
        <v>480.20441284490283</v>
      </c>
      <c r="S34" s="62">
        <f ca="1">AVERAGE(OFFSET($R$3,0,0,'Données projet'!$E$9+1,1))-AVERAGE(OFFSET($H$3,0,0,'Données projet'!$E$9+1,1))</f>
        <v>182.76154982630777</v>
      </c>
      <c r="T34" s="62">
        <f t="shared" si="34"/>
        <v>119.92190922866632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projet'!$B$10,Paramètres!$A$1:$I$88,3,0)*VLOOKUP('Données projet'!$B$10,Paramètres!$A$1:$I$88,5,0)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2">
        <f t="shared" si="5"/>
        <v>523.96649762023048</v>
      </c>
      <c r="AN34" s="62">
        <f ca="1">AVERAGE(OFFSET($AM$3,0,0,'Données projet'!$E$10+1,1))-AVERAGE(OFFSET($H$3,0,0,'Données projet'!$E$10+1,1))</f>
        <v>212.1966338656834</v>
      </c>
      <c r="AO34" s="62">
        <f t="shared" si="36"/>
        <v>194.52809733694494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11.933625121174202</v>
      </c>
      <c r="AW34" s="23">
        <f>EXP(-LN(2)/2)*AW33+(1-EXP(-LN(2)/2))/(LN(2)/2)*AQ34*AT34*VLOOKUP('Données projet'!$B$10,Paramètres!$A$1:$I$88,3,0)*0.475*44/12</f>
        <v>8.0060346947885765</v>
      </c>
      <c r="AX34" s="23">
        <f t="shared" si="6"/>
        <v>19.939659815962777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2.1607142857142856</v>
      </c>
      <c r="BD34" s="13">
        <f>IF('Données projet'!$A$88&gt;35,BD33+BC34-BL33,IF(A34&lt;'Données projet'!$A$88,$BA$205^A34,IF(A34='Données projet'!$A$88,'Données projet'!$B$88,BD33+BC34-BL33)))</f>
        <v>66.982142857142847</v>
      </c>
      <c r="BE34" s="14">
        <f>BD34*VLOOKUP('Données projet'!$B$11,Paramètres!$A$1:$I$88,3,0)*VLOOKUP('Données projet'!$B$11,Paramètres!$A$1:$I$88,5,0)</f>
        <v>64.785128571428558</v>
      </c>
      <c r="BF34" s="14">
        <f t="shared" si="37"/>
        <v>18.372644088205618</v>
      </c>
      <c r="BG34" s="22">
        <f t="shared" si="7"/>
        <v>144.83312071552953</v>
      </c>
      <c r="BH34" s="62">
        <f t="shared" si="8"/>
        <v>438.16645404886287</v>
      </c>
      <c r="BI34" s="62">
        <f ca="1">AVERAGE(OFFSET($BH$3,0,0,'Données projet'!$E$11+1,1))-AVERAGE(OFFSET($H$3,0,0,'Données projet'!$E$11+1,1))</f>
        <v>84.664683404322943</v>
      </c>
      <c r="BJ34" s="62">
        <f t="shared" si="38"/>
        <v>79.209234837679901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</v>
      </c>
      <c r="BY34" s="13">
        <f>IF('Données projet'!$A$114&gt;35,BY33+BX34-CG33,IF(A34&lt;'Données projet'!$A$114,$BV$205^A34,IF(A34='Données projet'!$A$114,'Données projet'!$B$114,BY33+BX34-CG33)))</f>
        <v>58.999999999999986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10.883333333333331</v>
      </c>
      <c r="CT34" s="13">
        <f>IF('Données projet'!$A$140&gt;35,CT33+CS34-DB33,IF(A34&lt;'Données projet'!$A$140,$CQ$205^A34,IF(A34='Données projet'!$A$140,'Données projet'!$B$140,CT33+CS34-DB33)))</f>
        <v>131.04999999999993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</v>
      </c>
      <c r="N35" s="14">
        <f>IF('Données projet'!$A$36&gt;35,N34+M35-V34,IF(A35&lt;'Données projet'!$A$36,$K$205^A35,IF(A35='Données projet'!$A$36,'Données projet'!$B$36,N34+M35-V34)))</f>
        <v>96</v>
      </c>
      <c r="O35" s="14">
        <f>N35*VLOOKUP('Données projet'!$B$9,Paramètres!$A$1:$I$88,3,0)*VLOOKUP('Données projet'!$B$9,Paramètres!$A$1:$I$88,5,0)</f>
        <v>86.860799999999998</v>
      </c>
      <c r="P35" s="14">
        <f t="shared" si="33"/>
        <v>23.806568296036275</v>
      </c>
      <c r="Q35" s="22">
        <f t="shared" ref="Q35:Q66" si="53">(O35+P35)*0.475*44/12</f>
        <v>192.74566644892982</v>
      </c>
      <c r="R35" s="62">
        <f t="shared" si="0"/>
        <v>486.07899978226317</v>
      </c>
      <c r="S35" s="62">
        <f ca="1">AVERAGE(OFFSET($R$3,0,0,'Données projet'!$E$9+1,1))-AVERAGE(OFFSET($H$3,0,0,'Données projet'!$E$9+1,1))</f>
        <v>182.76154982630777</v>
      </c>
      <c r="T35" s="62">
        <f t="shared" si="34"/>
        <v>119.92190922866632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projet'!$B$10,Paramètres!$A$1:$I$88,3,0)*VLOOKUP('Données projet'!$B$10,Paramètres!$A$1:$I$88,5,0)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2">
        <f t="shared" si="5"/>
        <v>542.76012075698407</v>
      </c>
      <c r="AN35" s="62">
        <f ca="1">AVERAGE(OFFSET($AM$3,0,0,'Données projet'!$E$10+1,1))-AVERAGE(OFFSET($H$3,0,0,'Données projet'!$E$10+1,1))</f>
        <v>212.1966338656834</v>
      </c>
      <c r="AO35" s="62">
        <f t="shared" si="36"/>
        <v>194.52809733694494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11.607299514673624</v>
      </c>
      <c r="AW35" s="23">
        <f>EXP(-LN(2)/2)*AW34+(1-EXP(-LN(2)/2))/(LN(2)/2)*AQ35*AT35*VLOOKUP('Données projet'!$B$10,Paramètres!$A$1:$I$88,3,0)*0.475*44/12</f>
        <v>5.6611214230997744</v>
      </c>
      <c r="AX35" s="23">
        <f t="shared" si="6"/>
        <v>17.268420937773399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2.1607142857142856</v>
      </c>
      <c r="BD35" s="13">
        <f>IF('Données projet'!$A$88&gt;35,BD34+BC35-BL34,IF(A35&lt;'Données projet'!$A$88,$BA$205^A35,IF(A35='Données projet'!$A$88,'Données projet'!$B$88,BD34+BC35-BL34)))</f>
        <v>69.142857142857139</v>
      </c>
      <c r="BE35" s="14">
        <f>BD35*VLOOKUP('Données projet'!$B$11,Paramètres!$A$1:$I$88,3,0)*VLOOKUP('Données projet'!$B$11,Paramètres!$A$1:$I$88,5,0)</f>
        <v>66.874971428571428</v>
      </c>
      <c r="BF35" s="14">
        <f t="shared" si="37"/>
        <v>18.895352149802122</v>
      </c>
      <c r="BG35" s="22">
        <f t="shared" si="7"/>
        <v>149.38331356566724</v>
      </c>
      <c r="BH35" s="62">
        <f t="shared" si="8"/>
        <v>442.71664689900058</v>
      </c>
      <c r="BI35" s="62">
        <f ca="1">AVERAGE(OFFSET($BH$3,0,0,'Données projet'!$E$11+1,1))-AVERAGE(OFFSET($H$3,0,0,'Données projet'!$E$11+1,1))</f>
        <v>84.664683404322943</v>
      </c>
      <c r="BJ35" s="62">
        <f t="shared" si="38"/>
        <v>79.209234837679901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</v>
      </c>
      <c r="BY35" s="13">
        <f>IF('Données projet'!$A$114&gt;35,BY34+BX35-CG34,IF(A35&lt;'Données projet'!$A$114,$BV$205^A35,IF(A35='Données projet'!$A$114,'Données projet'!$B$114,BY34+BX35-CG34)))</f>
        <v>63.999999999999986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10.883333333333331</v>
      </c>
      <c r="CT35" s="13">
        <f>IF('Données projet'!$A$140&gt;35,CT34+CS35-DB34,IF(A35&lt;'Données projet'!$A$140,$CQ$205^A35,IF(A35='Données projet'!$A$140,'Données projet'!$B$140,CT34+CS35-DB34)))</f>
        <v>141.93333333333325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</v>
      </c>
      <c r="N36" s="14">
        <f>IF('Données projet'!$A$36&gt;35,N35+M36-V35,IF(A36&lt;'Données projet'!$A$36,$K$205^A36,IF(A36='Données projet'!$A$36,'Données projet'!$B$36,N35+M36-V35)))</f>
        <v>99</v>
      </c>
      <c r="O36" s="14">
        <f>N36*VLOOKUP('Données projet'!$B$9,Paramètres!$A$1:$I$88,3,0)*VLOOKUP('Données projet'!$B$9,Paramètres!$A$1:$I$88,5,0)</f>
        <v>89.575199999999995</v>
      </c>
      <c r="P36" s="14">
        <f t="shared" si="33"/>
        <v>24.462745269668691</v>
      </c>
      <c r="Q36" s="22">
        <f t="shared" si="53"/>
        <v>198.6160880113396</v>
      </c>
      <c r="R36" s="62">
        <f t="shared" si="0"/>
        <v>491.94942134467294</v>
      </c>
      <c r="S36" s="62">
        <f ca="1">AVERAGE(OFFSET($R$3,0,0,'Données projet'!$E$9+1,1))-AVERAGE(OFFSET($H$3,0,0,'Données projet'!$E$9+1,1))</f>
        <v>182.76154982630777</v>
      </c>
      <c r="T36" s="62">
        <f t="shared" si="34"/>
        <v>119.92190922866632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projet'!$B$10,Paramètres!$A$1:$I$88,3,0)*VLOOKUP('Données projet'!$B$10,Paramètres!$A$1:$I$88,5,0)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2">
        <f t="shared" si="5"/>
        <v>561.52163095029562</v>
      </c>
      <c r="AN36" s="62">
        <f ca="1">AVERAGE(OFFSET($AM$3,0,0,'Données projet'!$E$10+1,1))-AVERAGE(OFFSET($H$3,0,0,'Données projet'!$E$10+1,1))</f>
        <v>212.1966338656834</v>
      </c>
      <c r="AO36" s="62">
        <f t="shared" si="36"/>
        <v>194.52809733694494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11.28989729904352</v>
      </c>
      <c r="AW36" s="23">
        <f>EXP(-LN(2)/2)*AW35+(1-EXP(-LN(2)/2))/(LN(2)/2)*AQ36*AT36*VLOOKUP('Données projet'!$B$10,Paramètres!$A$1:$I$88,3,0)*0.475*44/12</f>
        <v>4.0030173473942892</v>
      </c>
      <c r="AX36" s="23">
        <f t="shared" si="6"/>
        <v>15.29291464643781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2.1607142857142856</v>
      </c>
      <c r="BD36" s="13">
        <f>IF('Données projet'!$A$88&gt;35,BD35+BC36-BL35,IF(A36&lt;'Données projet'!$A$88,$BA$205^A36,IF(A36='Données projet'!$A$88,'Données projet'!$B$88,BD35+BC36-BL35)))</f>
        <v>71.303571428571431</v>
      </c>
      <c r="BE36" s="14">
        <f>BD36*VLOOKUP('Données projet'!$B$11,Paramètres!$A$1:$I$88,3,0)*VLOOKUP('Données projet'!$B$11,Paramètres!$A$1:$I$88,5,0)</f>
        <v>68.964814285714283</v>
      </c>
      <c r="BF36" s="14">
        <f t="shared" si="37"/>
        <v>19.416161988296999</v>
      </c>
      <c r="BG36" s="22">
        <f t="shared" si="7"/>
        <v>153.93020034390298</v>
      </c>
      <c r="BH36" s="62">
        <f t="shared" si="8"/>
        <v>447.2635336772363</v>
      </c>
      <c r="BI36" s="62">
        <f ca="1">AVERAGE(OFFSET($BH$3,0,0,'Données projet'!$E$11+1,1))-AVERAGE(OFFSET($H$3,0,0,'Données projet'!$E$11+1,1))</f>
        <v>84.664683404322943</v>
      </c>
      <c r="BJ36" s="62">
        <f t="shared" si="38"/>
        <v>79.209234837679901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</v>
      </c>
      <c r="BY36" s="13">
        <f>IF('Données projet'!$A$114&gt;35,BY35+BX36-CG35,IF(A36&lt;'Données projet'!$A$114,$BV$205^A36,IF(A36='Données projet'!$A$114,'Données projet'!$B$114,BY35+BX36-CG35)))</f>
        <v>68.999999999999986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10.883333333333331</v>
      </c>
      <c r="CT36" s="13">
        <f>IF('Données projet'!$A$140&gt;35,CT35+CS36-DB35,IF(A36&lt;'Données projet'!$A$140,$CQ$205^A36,IF(A36='Données projet'!$A$140,'Données projet'!$B$140,CT35+CS36-DB35)))</f>
        <v>152.81666666666658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</v>
      </c>
      <c r="N37" s="14">
        <f>IF('Données projet'!$A$36&gt;35,N36+M37-V36,IF(A37&lt;'Données projet'!$A$36,$K$205^A37,IF(A37='Données projet'!$A$36,'Données projet'!$B$36,N36+M37-V36)))</f>
        <v>102</v>
      </c>
      <c r="O37" s="14">
        <f>N37*VLOOKUP('Données projet'!$B$9,Paramètres!$A$1:$I$88,3,0)*VLOOKUP('Données projet'!$B$9,Paramètres!$A$1:$I$88,5,0)</f>
        <v>92.289599999999993</v>
      </c>
      <c r="P37" s="14">
        <f t="shared" si="33"/>
        <v>25.116611431659546</v>
      </c>
      <c r="Q37" s="22">
        <f t="shared" si="53"/>
        <v>204.48248491014036</v>
      </c>
      <c r="R37" s="62">
        <f t="shared" si="0"/>
        <v>497.8158182434737</v>
      </c>
      <c r="S37" s="62">
        <f ca="1">AVERAGE(OFFSET($R$3,0,0,'Données projet'!$E$9+1,1))-AVERAGE(OFFSET($H$3,0,0,'Données projet'!$E$9+1,1))</f>
        <v>182.76154982630777</v>
      </c>
      <c r="T37" s="62">
        <f t="shared" si="34"/>
        <v>119.92190922866632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projet'!$B$10,Paramètres!$A$1:$I$88,3,0)*VLOOKUP('Données projet'!$B$10,Paramètres!$A$1:$I$88,5,0)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2">
        <f t="shared" si="5"/>
        <v>580.25359037922033</v>
      </c>
      <c r="AN37" s="62">
        <f ca="1">AVERAGE(OFFSET($AM$3,0,0,'Données projet'!$E$10+1,1))-AVERAGE(OFFSET($H$3,0,0,'Données projet'!$E$10+1,1))</f>
        <v>212.1966338656834</v>
      </c>
      <c r="AO37" s="62">
        <f t="shared" si="36"/>
        <v>194.52809733694494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10.98117446369128</v>
      </c>
      <c r="AW37" s="23">
        <f>EXP(-LN(2)/2)*AW36+(1-EXP(-LN(2)/2))/(LN(2)/2)*AQ37*AT37*VLOOKUP('Données projet'!$B$10,Paramètres!$A$1:$I$88,3,0)*0.475*44/12</f>
        <v>2.8305607115498876</v>
      </c>
      <c r="AX37" s="23">
        <f t="shared" si="6"/>
        <v>13.811735175241168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2.1607142857142856</v>
      </c>
      <c r="BD37" s="13">
        <f>IF('Données projet'!$A$88&gt;35,BD36+BC37-BL36,IF(A37&lt;'Données projet'!$A$88,$BA$205^A37,IF(A37='Données projet'!$A$88,'Données projet'!$B$88,BD36+BC37-BL36)))</f>
        <v>73.464285714285722</v>
      </c>
      <c r="BE37" s="14">
        <f>BD37*VLOOKUP('Données projet'!$B$11,Paramètres!$A$1:$I$88,3,0)*VLOOKUP('Données projet'!$B$11,Paramètres!$A$1:$I$88,5,0)</f>
        <v>71.054657142857153</v>
      </c>
      <c r="BF37" s="14">
        <f t="shared" si="37"/>
        <v>19.935137727934109</v>
      </c>
      <c r="BG37" s="22">
        <f t="shared" si="7"/>
        <v>158.47389273329478</v>
      </c>
      <c r="BH37" s="62">
        <f t="shared" si="8"/>
        <v>451.80722606662812</v>
      </c>
      <c r="BI37" s="62">
        <f ca="1">AVERAGE(OFFSET($BH$3,0,0,'Données projet'!$E$11+1,1))-AVERAGE(OFFSET($H$3,0,0,'Données projet'!$E$11+1,1))</f>
        <v>84.664683404322943</v>
      </c>
      <c r="BJ37" s="62">
        <f t="shared" si="38"/>
        <v>79.209234837679901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</v>
      </c>
      <c r="BY37" s="13">
        <f>IF('Données projet'!$A$114&gt;35,BY36+BX37-CG36,IF(A37&lt;'Données projet'!$A$114,$BV$205^A37,IF(A37='Données projet'!$A$114,'Données projet'!$B$114,BY36+BX37-CG36)))</f>
        <v>73.999999999999986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>
        <f>VLOOKUP(A37,'Données projet'!$A$139:$I$159,2,0)</f>
        <v>163.69999999999999</v>
      </c>
      <c r="CR37" s="13">
        <f>VLOOKUP(A37,'Données projet'!$A$139:$I$159,9,0)</f>
        <v>10.883333333333331</v>
      </c>
      <c r="CS37" s="13">
        <f t="array" ref="CS37">INDEX(CR:CR,MIN(IF(ISNUMBER(CR37:CR233),ROW(CR37:CR233),"")))</f>
        <v>10.883333333333331</v>
      </c>
      <c r="CT37" s="13">
        <f>IF('Données projet'!$A$140&gt;35,CT36+CS37-DB36,IF(A37&lt;'Données projet'!$A$140,$CQ$205^A37,IF(A37='Données projet'!$A$140,'Données projet'!$B$140,CT36+CS37-DB36)))</f>
        <v>163.6999999999999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4</v>
      </c>
      <c r="DB37" s="16">
        <f>IF(ISNA(VLOOKUP(A37,'Données projet'!$A$139:$I$159,4,0)),0,VLOOKUP(A37,'Données projet'!$A$139:$I$159,4,0))</f>
        <v>35.4</v>
      </c>
      <c r="DC37" s="17" t="e">
        <f>IF(ISNA(VLOOKUP(A37,'Données projet'!$A$139:$I$159,5,0)),0%,VLOOKUP(A37,'Données projet'!$A$139:$I$159,5,0)*VLOOKUP('Données projet'!$B$13,Paramètres!$A$1:$I$88,7,0))</f>
        <v>#N/A</v>
      </c>
      <c r="DD37" s="17" t="e">
        <f>IF(ISNA(VLOOKUP(A37,'Données projet'!$A$139:$I$159,6,0)),0%,VLOOKUP(A37,'Données projet'!$A$139:$I$159,6,0)*VLOOKUP('Données projet'!$B$13,Paramètres!$A$1:$I$88,7,0))</f>
        <v>#N/A</v>
      </c>
      <c r="DE37" s="17">
        <f>IF(ISNA(VLOOKUP(A37,'Données projet'!$A$139:$I$159,7,0)),0%,VLOOKUP(A37,'Données projet'!$A$139:$I$159,7,0))</f>
        <v>0.35200000000000004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</v>
      </c>
      <c r="N38" s="14">
        <f>IF('Données projet'!$A$36&gt;35,N37+M38-V37,IF(A38&lt;'Données projet'!$A$36,$K$205^A38,IF(A38='Données projet'!$A$36,'Données projet'!$B$36,N37+M38-V37)))</f>
        <v>105</v>
      </c>
      <c r="O38" s="14">
        <f>N38*VLOOKUP('Données projet'!$B$9,Paramètres!$A$1:$I$88,3,0)*VLOOKUP('Données projet'!$B$9,Paramètres!$A$1:$I$88,5,0)</f>
        <v>95.004000000000005</v>
      </c>
      <c r="P38" s="14">
        <f t="shared" si="33"/>
        <v>25.768242550600785</v>
      </c>
      <c r="Q38" s="22">
        <f t="shared" si="53"/>
        <v>210.34498910896306</v>
      </c>
      <c r="R38" s="62">
        <f t="shared" si="0"/>
        <v>503.67832244229635</v>
      </c>
      <c r="S38" s="62">
        <f ca="1">AVERAGE(OFFSET($R$3,0,0,'Données projet'!$E$9+1,1))-AVERAGE(OFFSET($H$3,0,0,'Données projet'!$E$9+1,1))</f>
        <v>182.76154982630777</v>
      </c>
      <c r="T38" s="62">
        <f t="shared" si="34"/>
        <v>119.92190922866632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projet'!$B$10,Paramètres!$A$1:$I$88,3,0)*VLOOKUP('Données projet'!$B$10,Paramètres!$A$1:$I$88,5,0)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2">
        <f t="shared" si="5"/>
        <v>598.95819927907769</v>
      </c>
      <c r="AN38" s="62">
        <f ca="1">AVERAGE(OFFSET($AM$3,0,0,'Données projet'!$E$10+1,1))-AVERAGE(OFFSET($H$3,0,0,'Données projet'!$E$10+1,1))</f>
        <v>212.1966338656834</v>
      </c>
      <c r="AO38" s="62">
        <f t="shared" si="36"/>
        <v>194.52809733694494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projet'!$B$10,Paramètres!$A$1:$I$88,7,0))</f>
        <v>9.0000000000000011E-2</v>
      </c>
      <c r="AS38" s="17">
        <f>IF(ISNA(VLOOKUP(A38,'Données projet'!$A$61:$I$81,6,0)),0%,VLOOKUP(A38,'Données projet'!$A$61:$I$81,6,0)*VLOOKUP('Données projet'!$B$10,Paramètres!$A$1:$I$88,7,0))</f>
        <v>0.20160000000000003</v>
      </c>
      <c r="AT38" s="17">
        <f>IF(ISNA(VLOOKUP(A38,'Données projet'!$A$61:$I$81,7,0)),0%,VLOOKUP(A38,'Données projet'!$A$61:$I$81,7,0))</f>
        <v>0.35200000000000004</v>
      </c>
      <c r="AU38" s="23">
        <f>EXP(-LN(2)/35)*AU37+(1-EXP(-LN(2)/35))/(LN(2)/35)*AQ38*AR38*VLOOKUP('Données projet'!$B$10,Paramètres!$A$1:$I$88,3,0)*0.475*44/12</f>
        <v>2.9272236586619989</v>
      </c>
      <c r="AV38" s="23">
        <f>EXP(-LN(2)/25)*AV37+(1-EXP(-LN(2)/25))/(LN(2)/25)*Calculateur!AQ38*Calculateur!AS38*VLOOKUP('Données projet'!$B$10,Paramètres!$A$1:$I$88,3,0)*0.475*44/12</f>
        <v>17.21205733332512</v>
      </c>
      <c r="AW38" s="23">
        <f>EXP(-LN(2)/2)*AW37+(1-EXP(-LN(2)/2))/(LN(2)/2)*AQ38*AT38*VLOOKUP('Données projet'!$B$10,Paramètres!$A$1:$I$88,3,0)*0.475*44/12</f>
        <v>11.773053831402514</v>
      </c>
      <c r="AX38" s="23">
        <f t="shared" si="6"/>
        <v>31.912334823389632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2.1607142857142856</v>
      </c>
      <c r="BD38" s="13">
        <f>IF('Données projet'!$A$88&gt;35,BD37+BC38-BL37,IF(A38&lt;'Données projet'!$A$88,$BA$205^A38,IF(A38='Données projet'!$A$88,'Données projet'!$B$88,BD37+BC38-BL37)))</f>
        <v>75.625000000000014</v>
      </c>
      <c r="BE38" s="14">
        <f>BD38*VLOOKUP('Données projet'!$B$11,Paramètres!$A$1:$I$88,3,0)*VLOOKUP('Données projet'!$B$11,Paramètres!$A$1:$I$88,5,0)</f>
        <v>73.144500000000022</v>
      </c>
      <c r="BF38" s="14">
        <f t="shared" si="37"/>
        <v>20.452339506495957</v>
      </c>
      <c r="BG38" s="22">
        <f t="shared" si="7"/>
        <v>163.01449547381381</v>
      </c>
      <c r="BH38" s="62">
        <f t="shared" si="8"/>
        <v>456.34782880714715</v>
      </c>
      <c r="BI38" s="62">
        <f ca="1">AVERAGE(OFFSET($BH$3,0,0,'Données projet'!$E$11+1,1))-AVERAGE(OFFSET($H$3,0,0,'Données projet'!$E$11+1,1))</f>
        <v>84.664683404322943</v>
      </c>
      <c r="BJ38" s="62">
        <f t="shared" si="38"/>
        <v>79.209234837679901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79</v>
      </c>
      <c r="BW38" s="13">
        <f>VLOOKUP(A38,'Données projet'!$A$113:$I$133,9,0)</f>
        <v>5</v>
      </c>
      <c r="BX38" s="13">
        <f t="array" ref="BX38">INDEX(BW:BW,MIN(IF(ISNUMBER(BW38:BW234),ROW(BW38:BW234),"")))</f>
        <v>5</v>
      </c>
      <c r="BY38" s="13">
        <f>IF('Données projet'!$A$114&gt;35,BY37+BX38-CG37,IF(A38&lt;'Données projet'!$A$114,$BV$205^A38,IF(A38='Données projet'!$A$114,'Données projet'!$B$114,BY37+BX38-CG37)))</f>
        <v>78.999999999999986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14</v>
      </c>
      <c r="CH38" s="17" t="e">
        <f>IF(ISNA(VLOOKUP(A38,'Données projet'!$A$113:$I$133,5,0)),0%,VLOOKUP(A38,'Données projet'!$A$113:$I$133,5,0)*VLOOKUP('Données projet'!$B$12,Paramètres!$A$1:$I$88,7,0))</f>
        <v>#N/A</v>
      </c>
      <c r="CI38" s="17" t="e">
        <f>IF(ISNA(VLOOKUP(A38,'Données projet'!$A$113:$I$133,6,0)),0%,VLOOKUP(A38,'Données projet'!$A$113:$I$133,6,0)*VLOOKUP('Données projet'!$B$12,Paramètres!$A$1:$I$88,7,0))</f>
        <v>#N/A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9.6750000000000043</v>
      </c>
      <c r="CT38" s="13">
        <f>IF('Données projet'!$A$140&gt;35,CT37+CS38-DB37,IF(A38&lt;'Données projet'!$A$140,$CQ$205^A38,IF(A38='Données projet'!$A$140,'Données projet'!$B$140,CT37+CS38-DB37)))</f>
        <v>137.97499999999991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</v>
      </c>
      <c r="N39" s="14">
        <f>IF('Données projet'!$A$36&gt;35,N38+M39-V38,IF(A39&lt;'Données projet'!$A$36,$K$205^A39,IF(A39='Données projet'!$A$36,'Données projet'!$B$36,N38+M39-V38)))</f>
        <v>108</v>
      </c>
      <c r="O39" s="14">
        <f>N39*VLOOKUP('Données projet'!$B$9,Paramètres!$A$1:$I$88,3,0)*VLOOKUP('Données projet'!$B$9,Paramètres!$A$1:$I$88,5,0)</f>
        <v>97.718399999999988</v>
      </c>
      <c r="P39" s="14">
        <f t="shared" si="33"/>
        <v>26.417709819192194</v>
      </c>
      <c r="Q39" s="22">
        <f t="shared" si="53"/>
        <v>216.20372460175972</v>
      </c>
      <c r="R39" s="62">
        <f t="shared" si="0"/>
        <v>509.537057935093</v>
      </c>
      <c r="S39" s="62">
        <f ca="1">AVERAGE(OFFSET($R$3,0,0,'Données projet'!$E$9+1,1))-AVERAGE(OFFSET($H$3,0,0,'Données projet'!$E$9+1,1))</f>
        <v>182.76154982630777</v>
      </c>
      <c r="T39" s="62">
        <f t="shared" si="34"/>
        <v>119.92190922866632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projet'!$B$10,Paramètres!$A$1:$I$88,3,0)*VLOOKUP('Données projet'!$B$10,Paramètres!$A$1:$I$88,5,0)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2">
        <f t="shared" si="5"/>
        <v>564.85955448553761</v>
      </c>
      <c r="AN39" s="62">
        <f ca="1">AVERAGE(OFFSET($AM$3,0,0,'Données projet'!$E$10+1,1))-AVERAGE(OFFSET($H$3,0,0,'Données projet'!$E$10+1,1))</f>
        <v>212.1966338656834</v>
      </c>
      <c r="AO39" s="62">
        <f t="shared" si="36"/>
        <v>194.52809733694494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2.8698225881457722</v>
      </c>
      <c r="AV39" s="23">
        <f>EXP(-LN(2)/25)*AV38+(1-EXP(-LN(2)/25))/(LN(2)/25)*Calculateur!AQ39*Calculateur!AS39*VLOOKUP('Données projet'!$B$10,Paramètres!$A$1:$I$88,3,0)*0.475*44/12</f>
        <v>16.741392720402587</v>
      </c>
      <c r="AW39" s="23">
        <f>EXP(-LN(2)/2)*AW38+(1-EXP(-LN(2)/2))/(LN(2)/2)*AQ39*AT39*VLOOKUP('Données projet'!$B$10,Paramètres!$A$1:$I$88,3,0)*0.475*44/12</f>
        <v>8.3248061994589833</v>
      </c>
      <c r="AX39" s="23">
        <f t="shared" si="6"/>
        <v>27.936021508007343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2.1607142857142856</v>
      </c>
      <c r="BD39" s="13">
        <f>IF('Données projet'!$A$88&gt;35,BD38+BC39-BL38,IF(A39&lt;'Données projet'!$A$88,$BA$205^A39,IF(A39='Données projet'!$A$88,'Données projet'!$B$88,BD38+BC39-BL38)))</f>
        <v>77.785714285714306</v>
      </c>
      <c r="BE39" s="14">
        <f>BD39*VLOOKUP('Données projet'!$B$11,Paramètres!$A$1:$I$88,3,0)*VLOOKUP('Données projet'!$B$11,Paramètres!$A$1:$I$88,5,0)</f>
        <v>75.234342857142877</v>
      </c>
      <c r="BF39" s="14">
        <f t="shared" si="37"/>
        <v>20.967823829864322</v>
      </c>
      <c r="BG39" s="22">
        <f t="shared" si="7"/>
        <v>167.5521069798709</v>
      </c>
      <c r="BH39" s="62">
        <f t="shared" si="8"/>
        <v>460.88544031320419</v>
      </c>
      <c r="BI39" s="62">
        <f ca="1">AVERAGE(OFFSET($BH$3,0,0,'Données projet'!$E$11+1,1))-AVERAGE(OFFSET($H$3,0,0,'Données projet'!$E$11+1,1))</f>
        <v>84.664683404322943</v>
      </c>
      <c r="BJ39" s="62">
        <f t="shared" si="38"/>
        <v>79.209234837679901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5.6</v>
      </c>
      <c r="BY39" s="13">
        <f>IF('Données projet'!$A$114&gt;35,BY38+BX39-CG38,IF(A39&lt;'Données projet'!$A$114,$BV$205^A39,IF(A39='Données projet'!$A$114,'Données projet'!$B$114,BY38+BX39-CG38)))</f>
        <v>70.59999999999998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9.6750000000000043</v>
      </c>
      <c r="CT39" s="13">
        <f>IF('Données projet'!$A$140&gt;35,CT38+CS39-DB38,IF(A39&lt;'Données projet'!$A$140,$CQ$205^A39,IF(A39='Données projet'!$A$140,'Données projet'!$B$140,CT38+CS39-DB38)))</f>
        <v>147.64999999999992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</v>
      </c>
      <c r="N40" s="14">
        <f>IF('Données projet'!$A$36&gt;35,N39+M40-V39,IF(A40&lt;'Données projet'!$A$36,$K$205^A40,IF(A40='Données projet'!$A$36,'Données projet'!$B$36,N39+M40-V39)))</f>
        <v>111</v>
      </c>
      <c r="O40" s="14">
        <f>N40*VLOOKUP('Données projet'!$B$9,Paramètres!$A$1:$I$88,3,0)*VLOOKUP('Données projet'!$B$9,Paramètres!$A$1:$I$88,5,0)</f>
        <v>100.4328</v>
      </c>
      <c r="P40" s="14">
        <f t="shared" si="33"/>
        <v>27.065080249927675</v>
      </c>
      <c r="Q40" s="22">
        <f t="shared" si="53"/>
        <v>222.0588081019574</v>
      </c>
      <c r="R40" s="62">
        <f t="shared" si="0"/>
        <v>515.39214143529068</v>
      </c>
      <c r="S40" s="62">
        <f ca="1">AVERAGE(OFFSET($R$3,0,0,'Données projet'!$E$9+1,1))-AVERAGE(OFFSET($H$3,0,0,'Données projet'!$E$9+1,1))</f>
        <v>182.76154982630777</v>
      </c>
      <c r="T40" s="62">
        <f t="shared" si="34"/>
        <v>119.92190922866632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projet'!$B$10,Paramètres!$A$1:$I$88,3,0)*VLOOKUP('Données projet'!$B$10,Paramètres!$A$1:$I$88,5,0)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2">
        <f t="shared" si="5"/>
        <v>583.33014493564747</v>
      </c>
      <c r="AN40" s="62">
        <f ca="1">AVERAGE(OFFSET($AM$3,0,0,'Données projet'!$E$10+1,1))-AVERAGE(OFFSET($H$3,0,0,'Données projet'!$E$10+1,1))</f>
        <v>212.1966338656834</v>
      </c>
      <c r="AO40" s="62">
        <f t="shared" si="36"/>
        <v>194.52809733694494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2.813547117611173</v>
      </c>
      <c r="AV40" s="23">
        <f>EXP(-LN(2)/25)*AV39+(1-EXP(-LN(2)/25))/(LN(2)/25)*Calculateur!AQ40*Calculateur!AS40*VLOOKUP('Données projet'!$B$10,Paramètres!$A$1:$I$88,3,0)*0.475*44/12</f>
        <v>16.283598456071598</v>
      </c>
      <c r="AW40" s="23">
        <f>EXP(-LN(2)/2)*AW39+(1-EXP(-LN(2)/2))/(LN(2)/2)*AQ40*AT40*VLOOKUP('Données projet'!$B$10,Paramètres!$A$1:$I$88,3,0)*0.475*44/12</f>
        <v>5.8865269157012579</v>
      </c>
      <c r="AX40" s="23">
        <f t="shared" si="6"/>
        <v>24.983672489384027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2.1607142857142856</v>
      </c>
      <c r="BD40" s="13">
        <f>IF('Données projet'!$A$88&gt;35,BD39+BC40-BL39,IF(A40&lt;'Données projet'!$A$88,$BA$205^A40,IF(A40='Données projet'!$A$88,'Données projet'!$B$88,BD39+BC40-BL39)))</f>
        <v>79.946428571428598</v>
      </c>
      <c r="BE40" s="14">
        <f>BD40*VLOOKUP('Données projet'!$B$11,Paramètres!$A$1:$I$88,3,0)*VLOOKUP('Données projet'!$B$11,Paramètres!$A$1:$I$88,5,0)</f>
        <v>77.324185714285733</v>
      </c>
      <c r="BF40" s="14">
        <f t="shared" si="37"/>
        <v>21.481643886077677</v>
      </c>
      <c r="BG40" s="22">
        <f t="shared" si="7"/>
        <v>172.08681988729961</v>
      </c>
      <c r="BH40" s="62">
        <f t="shared" si="8"/>
        <v>465.42015322063293</v>
      </c>
      <c r="BI40" s="62">
        <f ca="1">AVERAGE(OFFSET($BH$3,0,0,'Données projet'!$E$11+1,1))-AVERAGE(OFFSET($H$3,0,0,'Données projet'!$E$11+1,1))</f>
        <v>84.664683404322943</v>
      </c>
      <c r="BJ40" s="62">
        <f t="shared" si="38"/>
        <v>79.209234837679901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5.6</v>
      </c>
      <c r="BY40" s="13">
        <f>IF('Données projet'!$A$114&gt;35,BY39+BX40-CG39,IF(A40&lt;'Données projet'!$A$114,$BV$205^A40,IF(A40='Données projet'!$A$114,'Données projet'!$B$114,BY39+BX40-CG39)))</f>
        <v>76.199999999999974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9.6750000000000043</v>
      </c>
      <c r="CT40" s="13">
        <f>IF('Données projet'!$A$140&gt;35,CT39+CS40-DB39,IF(A40&lt;'Données projet'!$A$140,$CQ$205^A40,IF(A40='Données projet'!$A$140,'Données projet'!$B$140,CT39+CS40-DB39)))</f>
        <v>157.32499999999993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</v>
      </c>
      <c r="N41" s="14">
        <f>IF('Données projet'!$A$36&gt;35,N40+M41-V40,IF(A41&lt;'Données projet'!$A$36,$K$205^A41,IF(A41='Données projet'!$A$36,'Données projet'!$B$36,N40+M41-V40)))</f>
        <v>114</v>
      </c>
      <c r="O41" s="14">
        <f>N41*VLOOKUP('Données projet'!$B$9,Paramètres!$A$1:$I$88,3,0)*VLOOKUP('Données projet'!$B$9,Paramètres!$A$1:$I$88,5,0)</f>
        <v>103.14719999999998</v>
      </c>
      <c r="P41" s="14">
        <f t="shared" si="33"/>
        <v>27.710417026801451</v>
      </c>
      <c r="Q41" s="22">
        <f t="shared" si="53"/>
        <v>227.91034965501251</v>
      </c>
      <c r="R41" s="62">
        <f t="shared" si="0"/>
        <v>521.24368298834588</v>
      </c>
      <c r="S41" s="62">
        <f ca="1">AVERAGE(OFFSET($R$3,0,0,'Données projet'!$E$9+1,1))-AVERAGE(OFFSET($H$3,0,0,'Données projet'!$E$9+1,1))</f>
        <v>182.76154982630777</v>
      </c>
      <c r="T41" s="62">
        <f t="shared" si="34"/>
        <v>119.92190922866632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projet'!$B$10,Paramètres!$A$1:$I$88,3,0)*VLOOKUP('Données projet'!$B$10,Paramètres!$A$1:$I$88,5,0)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2">
        <f t="shared" si="5"/>
        <v>601.7744528299088</v>
      </c>
      <c r="AN41" s="62">
        <f ca="1">AVERAGE(OFFSET($AM$3,0,0,'Données projet'!$E$10+1,1))-AVERAGE(OFFSET($H$3,0,0,'Données projet'!$E$10+1,1))</f>
        <v>212.1966338656834</v>
      </c>
      <c r="AO41" s="62">
        <f t="shared" si="36"/>
        <v>194.52809733694494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2.7583751747291094</v>
      </c>
      <c r="AV41" s="23">
        <f>EXP(-LN(2)/25)*AV40+(1-EXP(-LN(2)/25))/(LN(2)/25)*Calculateur!AQ41*Calculateur!AS41*VLOOKUP('Données projet'!$B$10,Paramètres!$A$1:$I$88,3,0)*0.475*44/12</f>
        <v>15.838322599973093</v>
      </c>
      <c r="AW41" s="23">
        <f>EXP(-LN(2)/2)*AW40+(1-EXP(-LN(2)/2))/(LN(2)/2)*AQ41*AT41*VLOOKUP('Données projet'!$B$10,Paramètres!$A$1:$I$88,3,0)*0.475*44/12</f>
        <v>4.1624030997294925</v>
      </c>
      <c r="AX41" s="23">
        <f t="shared" si="6"/>
        <v>22.759100874431695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2.1607142857142856</v>
      </c>
      <c r="BD41" s="13">
        <f>IF('Données projet'!$A$88&gt;35,BD40+BC41-BL40,IF(A41&lt;'Données projet'!$A$88,$BA$205^A41,IF(A41='Données projet'!$A$88,'Données projet'!$B$88,BD40+BC41-BL40)))</f>
        <v>82.10714285714289</v>
      </c>
      <c r="BE41" s="14">
        <f>BD41*VLOOKUP('Données projet'!$B$11,Paramètres!$A$1:$I$88,3,0)*VLOOKUP('Données projet'!$B$11,Paramètres!$A$1:$I$88,5,0)</f>
        <v>79.414028571428602</v>
      </c>
      <c r="BF41" s="14">
        <f t="shared" si="37"/>
        <v>21.993849824481597</v>
      </c>
      <c r="BG41" s="22">
        <f t="shared" si="7"/>
        <v>176.61872153954357</v>
      </c>
      <c r="BH41" s="62">
        <f t="shared" si="8"/>
        <v>469.95205487287689</v>
      </c>
      <c r="BI41" s="62">
        <f ca="1">AVERAGE(OFFSET($BH$3,0,0,'Données projet'!$E$11+1,1))-AVERAGE(OFFSET($H$3,0,0,'Données projet'!$E$11+1,1))</f>
        <v>84.664683404322943</v>
      </c>
      <c r="BJ41" s="62">
        <f t="shared" si="38"/>
        <v>79.209234837679901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5.6</v>
      </c>
      <c r="BY41" s="13">
        <f>IF('Données projet'!$A$114&gt;35,BY40+BX41-CG40,IF(A41&lt;'Données projet'!$A$114,$BV$205^A41,IF(A41='Données projet'!$A$114,'Données projet'!$B$114,BY40+BX41-CG40)))</f>
        <v>81.799999999999969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>
        <f>VLOOKUP(A41,'Données projet'!$A$139:$I$159,2,0)</f>
        <v>167</v>
      </c>
      <c r="CR41" s="13">
        <f>VLOOKUP(A41,'Données projet'!$A$139:$I$159,9,0)</f>
        <v>9.6750000000000043</v>
      </c>
      <c r="CS41" s="13">
        <f t="array" ref="CS41">INDEX(CR:CR,MIN(IF(ISNUMBER(CR41:CR237),ROW(CR41:CR237),"")))</f>
        <v>9.6750000000000043</v>
      </c>
      <c r="CT41" s="13">
        <f>IF('Données projet'!$A$140&gt;35,CT40+CS41-DB40,IF(A41&lt;'Données projet'!$A$140,$CQ$205^A41,IF(A41='Données projet'!$A$140,'Données projet'!$B$140,CT40+CS41-DB40)))</f>
        <v>166.99999999999994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5</v>
      </c>
      <c r="DB41" s="16">
        <f>IF(ISNA(VLOOKUP(A41,'Données projet'!$A$139:$I$159,4,0)),0,VLOOKUP(A41,'Données projet'!$A$139:$I$159,4,0))</f>
        <v>0</v>
      </c>
      <c r="DC41" s="17" t="e">
        <f>IF(ISNA(VLOOKUP(A41,'Données projet'!$A$139:$I$159,5,0)),0%,VLOOKUP(A41,'Données projet'!$A$139:$I$159,5,0)*VLOOKUP('Données projet'!$B$13,Paramètres!$A$1:$I$88,7,0))</f>
        <v>#N/A</v>
      </c>
      <c r="DD41" s="17" t="e">
        <f>IF(ISNA(VLOOKUP(A41,'Données projet'!$A$139:$I$159,6,0)),0%,VLOOKUP(A41,'Données projet'!$A$139:$I$159,6,0)*VLOOKUP('Données projet'!$B$13,Paramètres!$A$1:$I$88,7,0))</f>
        <v>#N/A</v>
      </c>
      <c r="DE41" s="17">
        <f>IF(ISNA(VLOOKUP(A41,'Données projet'!$A$139:$I$159,7,0)),0%,VLOOKUP(A41,'Données projet'!$A$139:$I$159,7,0))</f>
        <v>0.35200000000000004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</v>
      </c>
      <c r="N42" s="14">
        <f>IF('Données projet'!$A$36&gt;35,N41+M42-V41,IF(A42&lt;'Données projet'!$A$36,$K$205^A42,IF(A42='Données projet'!$A$36,'Données projet'!$B$36,N41+M42-V41)))</f>
        <v>117</v>
      </c>
      <c r="O42" s="14">
        <f>N42*VLOOKUP('Données projet'!$B$9,Paramètres!$A$1:$I$88,3,0)*VLOOKUP('Données projet'!$B$9,Paramètres!$A$1:$I$88,5,0)</f>
        <v>105.8616</v>
      </c>
      <c r="P42" s="14">
        <f t="shared" si="33"/>
        <v>28.353779818951288</v>
      </c>
      <c r="Q42" s="22">
        <f t="shared" si="53"/>
        <v>233.75845318467347</v>
      </c>
      <c r="R42" s="62">
        <f t="shared" si="0"/>
        <v>527.09178651800676</v>
      </c>
      <c r="S42" s="62">
        <f ca="1">AVERAGE(OFFSET($R$3,0,0,'Données projet'!$E$9+1,1))-AVERAGE(OFFSET($H$3,0,0,'Données projet'!$E$9+1,1))</f>
        <v>182.76154982630777</v>
      </c>
      <c r="T42" s="62">
        <f t="shared" si="34"/>
        <v>119.92190922866632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projet'!$B$10,Paramètres!$A$1:$I$88,3,0)*VLOOKUP('Données projet'!$B$10,Paramètres!$A$1:$I$88,5,0)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2">
        <f t="shared" si="5"/>
        <v>620.1942705288061</v>
      </c>
      <c r="AN42" s="62">
        <f ca="1">AVERAGE(OFFSET($AM$3,0,0,'Données projet'!$E$10+1,1))-AVERAGE(OFFSET($H$3,0,0,'Données projet'!$E$10+1,1))</f>
        <v>212.1966338656834</v>
      </c>
      <c r="AO42" s="62">
        <f t="shared" si="36"/>
        <v>194.52809733694494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2.7042851199954008</v>
      </c>
      <c r="AV42" s="23">
        <f>EXP(-LN(2)/25)*AV41+(1-EXP(-LN(2)/25))/(LN(2)/25)*Calculateur!AQ42*Calculateur!AS42*VLOOKUP('Données projet'!$B$10,Paramètres!$A$1:$I$88,3,0)*0.475*44/12</f>
        <v>15.405222835575643</v>
      </c>
      <c r="AW42" s="23">
        <f>EXP(-LN(2)/2)*AW41+(1-EXP(-LN(2)/2))/(LN(2)/2)*AQ42*AT42*VLOOKUP('Données projet'!$B$10,Paramètres!$A$1:$I$88,3,0)*0.475*44/12</f>
        <v>2.9432634578506298</v>
      </c>
      <c r="AX42" s="23">
        <f t="shared" si="6"/>
        <v>21.052771413421674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2.1607142857142856</v>
      </c>
      <c r="BD42" s="13">
        <f>IF('Données projet'!$A$88&gt;35,BD41+BC42-BL41,IF(A42&lt;'Données projet'!$A$88,$BA$205^A42,IF(A42='Données projet'!$A$88,'Données projet'!$B$88,BD41+BC42-BL41)))</f>
        <v>84.267857142857181</v>
      </c>
      <c r="BE42" s="14">
        <f>BD42*VLOOKUP('Données projet'!$B$11,Paramètres!$A$1:$I$88,3,0)*VLOOKUP('Données projet'!$B$11,Paramètres!$A$1:$I$88,5,0)</f>
        <v>81.503871428571472</v>
      </c>
      <c r="BF42" s="14">
        <f t="shared" si="37"/>
        <v>22.504489004668486</v>
      </c>
      <c r="BG42" s="22">
        <f t="shared" si="7"/>
        <v>181.14789442122625</v>
      </c>
      <c r="BH42" s="62">
        <f t="shared" si="8"/>
        <v>474.48122775455954</v>
      </c>
      <c r="BI42" s="62">
        <f ca="1">AVERAGE(OFFSET($BH$3,0,0,'Données projet'!$E$11+1,1))-AVERAGE(OFFSET($H$3,0,0,'Données projet'!$E$11+1,1))</f>
        <v>84.664683404322943</v>
      </c>
      <c r="BJ42" s="62">
        <f t="shared" si="38"/>
        <v>79.209234837679901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5.6</v>
      </c>
      <c r="BY42" s="13">
        <f>IF('Données projet'!$A$114&gt;35,BY41+BX42-CG41,IF(A42&lt;'Données projet'!$A$114,$BV$205^A42,IF(A42='Données projet'!$A$114,'Données projet'!$B$114,BY41+BX42-CG41)))</f>
        <v>87.399999999999963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10.299999999999997</v>
      </c>
      <c r="CT42" s="13">
        <f>IF('Données projet'!$A$140&gt;35,CT41+CS42-DB41,IF(A42&lt;'Données projet'!$A$140,$CQ$205^A42,IF(A42='Données projet'!$A$140,'Données projet'!$B$140,CT41+CS42-DB41)))</f>
        <v>177.29999999999995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</v>
      </c>
      <c r="N43" s="14">
        <f>IF('Données projet'!$A$36&gt;35,N42+M43-V42,IF(A43&lt;'Données projet'!$A$36,$K$205^A43,IF(A43='Données projet'!$A$36,'Données projet'!$B$36,N42+M43-V42)))</f>
        <v>120</v>
      </c>
      <c r="O43" s="14">
        <f>N43*VLOOKUP('Données projet'!$B$9,Paramètres!$A$1:$I$88,3,0)*VLOOKUP('Données projet'!$B$9,Paramètres!$A$1:$I$88,5,0)</f>
        <v>108.57599999999999</v>
      </c>
      <c r="P43" s="14">
        <f t="shared" si="33"/>
        <v>28.995225061228002</v>
      </c>
      <c r="Q43" s="22">
        <f t="shared" si="53"/>
        <v>239.60321698163875</v>
      </c>
      <c r="R43" s="62">
        <f t="shared" si="0"/>
        <v>532.93655031497201</v>
      </c>
      <c r="S43" s="62">
        <f ca="1">AVERAGE(OFFSET($R$3,0,0,'Données projet'!$E$9+1,1))-AVERAGE(OFFSET($H$3,0,0,'Données projet'!$E$9+1,1))</f>
        <v>182.76154982630777</v>
      </c>
      <c r="T43" s="62">
        <f t="shared" si="34"/>
        <v>119.92190922866632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projet'!$B$10,Paramètres!$A$1:$I$88,3,0)*VLOOKUP('Données projet'!$B$10,Paramètres!$A$1:$I$88,5,0)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2">
        <f t="shared" si="5"/>
        <v>638.59117190026234</v>
      </c>
      <c r="AN43" s="62">
        <f ca="1">AVERAGE(OFFSET($AM$3,0,0,'Données projet'!$E$10+1,1))-AVERAGE(OFFSET($H$3,0,0,'Données projet'!$E$10+1,1))</f>
        <v>212.1966338656834</v>
      </c>
      <c r="AO43" s="62">
        <f t="shared" si="36"/>
        <v>194.52809733694494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projet'!$B$10,Paramètres!$A$1:$I$88,7,0))</f>
        <v>9.0000000000000011E-2</v>
      </c>
      <c r="AS43" s="17">
        <f>IF(ISNA(VLOOKUP(A43,'Données projet'!$A$61:$I$81,6,0)),0%,VLOOKUP(A43,'Données projet'!$A$61:$I$81,6,0)*VLOOKUP('Données projet'!$B$10,Paramètres!$A$1:$I$88,7,0))</f>
        <v>0.20160000000000003</v>
      </c>
      <c r="AT43" s="17">
        <f>IF(ISNA(VLOOKUP(A43,'Données projet'!$A$61:$I$81,7,0)),0%,VLOOKUP(A43,'Données projet'!$A$61:$I$81,7,0))</f>
        <v>0.35200000000000004</v>
      </c>
      <c r="AU43" s="23">
        <f>EXP(-LN(2)/35)*AU42+(1-EXP(-LN(2)/35))/(LN(2)/35)*AQ43*AR43*VLOOKUP('Données projet'!$B$10,Paramètres!$A$1:$I$88,3,0)*0.475*44/12</f>
        <v>5.5784793969053439</v>
      </c>
      <c r="AV43" s="23">
        <f>EXP(-LN(2)/25)*AV42+(1-EXP(-LN(2)/25))/(LN(2)/25)*Calculateur!AQ43*Calculateur!AS43*VLOOKUP('Données projet'!$B$10,Paramètres!$A$1:$I$88,3,0)*0.475*44/12</f>
        <v>21.515129869829714</v>
      </c>
      <c r="AW43" s="23">
        <f>EXP(-LN(2)/2)*AW42+(1-EXP(-LN(2)/2))/(LN(2)/2)*AQ43*AT43*VLOOKUP('Données projet'!$B$10,Paramètres!$A$1:$I$88,3,0)*0.475*44/12</f>
        <v>11.852746707570116</v>
      </c>
      <c r="AX43" s="23">
        <f t="shared" si="6"/>
        <v>38.946355974305177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2.1607142857142856</v>
      </c>
      <c r="BD43" s="13">
        <f>IF('Données projet'!$A$88&gt;35,BD42+BC43-BL42,IF(A43&lt;'Données projet'!$A$88,$BA$205^A43,IF(A43='Données projet'!$A$88,'Données projet'!$B$88,BD42+BC43-BL42)))</f>
        <v>86.428571428571473</v>
      </c>
      <c r="BE43" s="14">
        <f>BD43*VLOOKUP('Données projet'!$B$11,Paramètres!$A$1:$I$88,3,0)*VLOOKUP('Données projet'!$B$11,Paramètres!$A$1:$I$88,5,0)</f>
        <v>83.593714285714327</v>
      </c>
      <c r="BF43" s="14">
        <f t="shared" si="37"/>
        <v>23.013606219166455</v>
      </c>
      <c r="BG43" s="22">
        <f t="shared" si="7"/>
        <v>185.67441654600069</v>
      </c>
      <c r="BH43" s="62">
        <f t="shared" si="8"/>
        <v>479.00774987933403</v>
      </c>
      <c r="BI43" s="62">
        <f ca="1">AVERAGE(OFFSET($BH$3,0,0,'Données projet'!$E$11+1,1))-AVERAGE(OFFSET($H$3,0,0,'Données projet'!$E$11+1,1))</f>
        <v>84.664683404322943</v>
      </c>
      <c r="BJ43" s="62">
        <f t="shared" si="38"/>
        <v>79.209234837679901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93</v>
      </c>
      <c r="BW43" s="13">
        <f>VLOOKUP(A43,'Données projet'!$A$113:$I$133,9,0)</f>
        <v>5.6</v>
      </c>
      <c r="BX43" s="13">
        <f t="array" ref="BX43">INDEX(BW:BW,MIN(IF(ISNUMBER(BW43:BW239),ROW(BW43:BW239),"")))</f>
        <v>5.6</v>
      </c>
      <c r="BY43" s="13">
        <f>IF('Données projet'!$A$114&gt;35,BY42+BX43-CG42,IF(A43&lt;'Données projet'!$A$114,$BV$205^A43,IF(A43='Données projet'!$A$114,'Données projet'!$B$114,BY42+BX43-CG42)))</f>
        <v>92.999999999999957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14</v>
      </c>
      <c r="CH43" s="17" t="e">
        <f>IF(ISNA(VLOOKUP(A43,'Données projet'!$A$113:$I$133,5,0)),0%,VLOOKUP(A43,'Données projet'!$A$113:$I$133,5,0)*VLOOKUP('Données projet'!$B$12,Paramètres!$A$1:$I$88,7,0))</f>
        <v>#N/A</v>
      </c>
      <c r="CI43" s="17" t="e">
        <f>IF(ISNA(VLOOKUP(A43,'Données projet'!$A$113:$I$133,6,0)),0%,VLOOKUP(A43,'Données projet'!$A$113:$I$133,6,0)*VLOOKUP('Données projet'!$B$12,Paramètres!$A$1:$I$88,7,0))</f>
        <v>#N/A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10.299999999999997</v>
      </c>
      <c r="CT43" s="13">
        <f>IF('Données projet'!$A$140&gt;35,CT42+CS43-DB42,IF(A43&lt;'Données projet'!$A$140,$CQ$205^A43,IF(A43='Données projet'!$A$140,'Données projet'!$B$140,CT42+CS43-DB42)))</f>
        <v>187.59999999999997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</v>
      </c>
      <c r="N44" s="14">
        <f>IF('Données projet'!$A$36&gt;35,N43+M44-V43,IF(A44&lt;'Données projet'!$A$36,$K$205^A44,IF(A44='Données projet'!$A$36,'Données projet'!$B$36,N43+M44-V43)))</f>
        <v>123</v>
      </c>
      <c r="O44" s="14">
        <f>N44*VLOOKUP('Données projet'!$B$9,Paramètres!$A$1:$I$88,3,0)*VLOOKUP('Données projet'!$B$9,Paramètres!$A$1:$I$88,5,0)</f>
        <v>111.29039999999999</v>
      </c>
      <c r="P44" s="14">
        <f t="shared" si="33"/>
        <v>29.634806205918245</v>
      </c>
      <c r="Q44" s="22">
        <f t="shared" si="53"/>
        <v>245.44473414197429</v>
      </c>
      <c r="R44" s="62">
        <f t="shared" si="0"/>
        <v>538.77806747530758</v>
      </c>
      <c r="S44" s="62">
        <f ca="1">AVERAGE(OFFSET($R$3,0,0,'Données projet'!$E$9+1,1))-AVERAGE(OFFSET($H$3,0,0,'Données projet'!$E$9+1,1))</f>
        <v>182.76154982630777</v>
      </c>
      <c r="T44" s="62">
        <f t="shared" si="34"/>
        <v>119.92190922866632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</v>
      </c>
      <c r="AI44" s="14">
        <f>IF('Données projet'!$A$62&gt;35,AI43+AH44-AQ43,IF(A44&lt;'Données projet'!$A$62,$AF$205^A44,IF(A44='Données projet'!$A$62,'Données projet'!$B$62,AI43+AH44-AQ43)))</f>
        <v>242.00000000000006</v>
      </c>
      <c r="AJ44" s="14">
        <f>AI44*VLOOKUP('Données projet'!$B$10,Paramètres!$A$1:$I$88,3,0)*VLOOKUP('Données projet'!$B$10,Paramètres!$A$1:$I$88,5,0)</f>
        <v>144.71600000000007</v>
      </c>
      <c r="AK44" s="14">
        <f t="shared" si="35"/>
        <v>37.375282885096105</v>
      </c>
      <c r="AL44" s="22">
        <f t="shared" si="4"/>
        <v>317.14231769154247</v>
      </c>
      <c r="AM44" s="62">
        <f t="shared" si="5"/>
        <v>610.47565102487579</v>
      </c>
      <c r="AN44" s="62">
        <f ca="1">AVERAGE(OFFSET($AM$3,0,0,'Données projet'!$E$10+1,1))-AVERAGE(OFFSET($H$3,0,0,'Données projet'!$E$10+1,1))</f>
        <v>212.1966338656834</v>
      </c>
      <c r="AO44" s="62">
        <f t="shared" si="36"/>
        <v>194.52809733694494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5.4690888184684896</v>
      </c>
      <c r="AV44" s="23">
        <f>EXP(-LN(2)/25)*AV43+(1-EXP(-LN(2)/25))/(LN(2)/25)*Calculateur!AQ44*Calculateur!AS44*VLOOKUP('Données projet'!$B$10,Paramètres!$A$1:$I$88,3,0)*0.475*44/12</f>
        <v>20.926797512107715</v>
      </c>
      <c r="AW44" s="23">
        <f>EXP(-LN(2)/2)*AW43+(1-EXP(-LN(2)/2))/(LN(2)/2)*AQ44*AT44*VLOOKUP('Données projet'!$B$10,Paramètres!$A$1:$I$88,3,0)*0.475*44/12</f>
        <v>8.3811575726093537</v>
      </c>
      <c r="AX44" s="23">
        <f t="shared" si="6"/>
        <v>34.777043903185557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2.1607142857142856</v>
      </c>
      <c r="BD44" s="13">
        <f>IF('Données projet'!$A$88&gt;35,BD43+BC44-BL43,IF(A44&lt;'Données projet'!$A$88,$BA$205^A44,IF(A44='Données projet'!$A$88,'Données projet'!$B$88,BD43+BC44-BL43)))</f>
        <v>88.589285714285765</v>
      </c>
      <c r="BE44" s="14">
        <f>BD44*VLOOKUP('Données projet'!$B$11,Paramètres!$A$1:$I$88,3,0)*VLOOKUP('Données projet'!$B$11,Paramètres!$A$1:$I$88,5,0)</f>
        <v>85.683557142857197</v>
      </c>
      <c r="BF44" s="14">
        <f t="shared" si="37"/>
        <v>23.521243893232558</v>
      </c>
      <c r="BG44" s="22">
        <f t="shared" si="7"/>
        <v>190.19836180452296</v>
      </c>
      <c r="BH44" s="62">
        <f t="shared" si="8"/>
        <v>483.53169513785627</v>
      </c>
      <c r="BI44" s="62">
        <f ca="1">AVERAGE(OFFSET($BH$3,0,0,'Données projet'!$E$11+1,1))-AVERAGE(OFFSET($H$3,0,0,'Données projet'!$E$11+1,1))</f>
        <v>84.664683404322943</v>
      </c>
      <c r="BJ44" s="62">
        <f t="shared" si="38"/>
        <v>79.209234837679901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5.6</v>
      </c>
      <c r="BY44" s="13">
        <f>IF('Données projet'!$A$114&gt;35,BY43+BX44-CG43,IF(A44&lt;'Données projet'!$A$114,$BV$205^A44,IF(A44='Données projet'!$A$114,'Données projet'!$B$114,BY43+BX44-CG43)))</f>
        <v>84.599999999999952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10.299999999999997</v>
      </c>
      <c r="CT44" s="13">
        <f>IF('Données projet'!$A$140&gt;35,CT43+CS44-DB43,IF(A44&lt;'Données projet'!$A$140,$CQ$205^A44,IF(A44='Données projet'!$A$140,'Données projet'!$B$140,CT43+CS44-DB43)))</f>
        <v>197.89999999999998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126</v>
      </c>
      <c r="L45" s="13">
        <f>VLOOKUP(A45,'Données projet'!$A$35:$I$55,9,0)</f>
        <v>3</v>
      </c>
      <c r="M45" s="13">
        <f t="array" ref="M45">INDEX(L:L,MIN(IF(ISNUMBER(L45:L241),ROW(L45:L241),"")))</f>
        <v>3</v>
      </c>
      <c r="N45" s="14">
        <f>IF('Données projet'!$A$36&gt;35,N44+M45-V44,IF(A45&lt;'Données projet'!$A$36,$K$205^A45,IF(A45='Données projet'!$A$36,'Données projet'!$B$36,N44+M45-V44)))</f>
        <v>126</v>
      </c>
      <c r="O45" s="14">
        <f>N45*VLOOKUP('Données projet'!$B$9,Paramètres!$A$1:$I$88,3,0)*VLOOKUP('Données projet'!$B$9,Paramètres!$A$1:$I$88,5,0)</f>
        <v>114.0048</v>
      </c>
      <c r="P45" s="14">
        <f t="shared" si="33"/>
        <v>30.272573949217303</v>
      </c>
      <c r="Q45" s="22">
        <f t="shared" si="53"/>
        <v>251.28309296155342</v>
      </c>
      <c r="R45" s="62">
        <f t="shared" si="0"/>
        <v>544.61642629488676</v>
      </c>
      <c r="S45" s="62">
        <f ca="1">AVERAGE(OFFSET($R$3,0,0,'Données projet'!$E$9+1,1))-AVERAGE(OFFSET($H$3,0,0,'Données projet'!$E$9+1,1))</f>
        <v>182.76154982630777</v>
      </c>
      <c r="T45" s="62">
        <f t="shared" si="34"/>
        <v>119.92190922866632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30</v>
      </c>
      <c r="W45" s="17">
        <f>IF(ISNA(VLOOKUP(A45,'Données projet'!$A$35:$I$55,5,0)),0%,VLOOKUP(A45,'Données projet'!$A$35:$I$55,5,0)*VLOOKUP('Données projet'!$B$9,Paramètres!$A$1:$I$88,7,0))</f>
        <v>4.3000000000000003E-2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1.290296183227823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1.290296183227823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19</v>
      </c>
      <c r="AI45" s="14">
        <f>IF('Données projet'!$A$62&gt;35,AI44+AH45-AQ44,IF(A45&lt;'Données projet'!$A$62,$AF$205^A45,IF(A45='Données projet'!$A$62,'Données projet'!$B$62,AI44+AH45-AQ44)))</f>
        <v>261.00000000000006</v>
      </c>
      <c r="AJ45" s="14">
        <f>AI45*VLOOKUP('Données projet'!$B$10,Paramètres!$A$1:$I$88,3,0)*VLOOKUP('Données projet'!$B$10,Paramètres!$A$1:$I$88,5,0)</f>
        <v>156.07800000000003</v>
      </c>
      <c r="AK45" s="14">
        <f t="shared" si="35"/>
        <v>39.956623674978466</v>
      </c>
      <c r="AL45" s="22">
        <f t="shared" si="4"/>
        <v>341.42696956725422</v>
      </c>
      <c r="AM45" s="62">
        <f t="shared" si="5"/>
        <v>634.76030290058748</v>
      </c>
      <c r="AN45" s="62">
        <f ca="1">AVERAGE(OFFSET($AM$3,0,0,'Données projet'!$E$10+1,1))-AVERAGE(OFFSET($H$3,0,0,'Données projet'!$E$10+1,1))</f>
        <v>212.1966338656834</v>
      </c>
      <c r="AO45" s="62">
        <f t="shared" si="36"/>
        <v>194.52809733694494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5.361843322553117</v>
      </c>
      <c r="AV45" s="23">
        <f>EXP(-LN(2)/25)*AV44+(1-EXP(-LN(2)/25))/(LN(2)/25)*Calculateur!AQ45*Calculateur!AS45*VLOOKUP('Données projet'!$B$10,Paramètres!$A$1:$I$88,3,0)*0.475*44/12</f>
        <v>20.354553133646679</v>
      </c>
      <c r="AW45" s="23">
        <f>EXP(-LN(2)/2)*AW44+(1-EXP(-LN(2)/2))/(LN(2)/2)*AQ45*AT45*VLOOKUP('Données projet'!$B$10,Paramètres!$A$1:$I$88,3,0)*0.475*44/12</f>
        <v>5.926373353785058</v>
      </c>
      <c r="AX45" s="23">
        <f t="shared" si="6"/>
        <v>31.642769809984856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2.1607142857142856</v>
      </c>
      <c r="BD45" s="13">
        <f>IF('Données projet'!$A$88&gt;35,BD44+BC45-BL44,IF(A45&lt;'Données projet'!$A$88,$BA$205^A45,IF(A45='Données projet'!$A$88,'Données projet'!$B$88,BD44+BC45-BL44)))</f>
        <v>90.750000000000057</v>
      </c>
      <c r="BE45" s="14">
        <f>BD45*VLOOKUP('Données projet'!$B$11,Paramètres!$A$1:$I$88,3,0)*VLOOKUP('Données projet'!$B$11,Paramètres!$A$1:$I$88,5,0)</f>
        <v>87.773400000000066</v>
      </c>
      <c r="BF45" s="14">
        <f t="shared" si="37"/>
        <v>24.027442264604989</v>
      </c>
      <c r="BG45" s="22">
        <f t="shared" si="7"/>
        <v>194.71980027752045</v>
      </c>
      <c r="BH45" s="62">
        <f t="shared" si="8"/>
        <v>488.05313361085376</v>
      </c>
      <c r="BI45" s="62">
        <f ca="1">AVERAGE(OFFSET($BH$3,0,0,'Données projet'!$E$11+1,1))-AVERAGE(OFFSET($H$3,0,0,'Données projet'!$E$11+1,1))</f>
        <v>84.664683404322943</v>
      </c>
      <c r="BJ45" s="62">
        <f t="shared" si="38"/>
        <v>79.209234837679901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5.6</v>
      </c>
      <c r="BY45" s="13">
        <f>IF('Données projet'!$A$114&gt;35,BY44+BX45-CG44,IF(A45&lt;'Données projet'!$A$114,$BV$205^A45,IF(A45='Données projet'!$A$114,'Données projet'!$B$114,BY44+BX45-CG44)))</f>
        <v>90.199999999999946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208.2</v>
      </c>
      <c r="CR45" s="13">
        <f>VLOOKUP(A45,'Données projet'!$A$139:$I$159,9,0)</f>
        <v>10.299999999999997</v>
      </c>
      <c r="CS45" s="13">
        <f t="array" ref="CS45">INDEX(CR:CR,MIN(IF(ISNUMBER(CR45:CR241),ROW(CR45:CR241),"")))</f>
        <v>10.299999999999997</v>
      </c>
      <c r="CT45" s="13">
        <f>IF('Données projet'!$A$140&gt;35,CT44+CS45-DB44,IF(A45&lt;'Données projet'!$A$140,$CQ$205^A45,IF(A45='Données projet'!$A$140,'Données projet'!$B$140,CT44+CS45-DB44)))</f>
        <v>208.2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6</v>
      </c>
      <c r="DB45" s="16">
        <f>IF(ISNA(VLOOKUP(A45,'Données projet'!$A$139:$I$159,4,0)),0,VLOOKUP(A45,'Données projet'!$A$139:$I$159,4,0))</f>
        <v>58.4</v>
      </c>
      <c r="DC45" s="17" t="e">
        <f>IF(ISNA(VLOOKUP(A45,'Données projet'!$A$139:$I$159,5,0)),0%,VLOOKUP(A45,'Données projet'!$A$139:$I$159,5,0)*VLOOKUP('Données projet'!$B$13,Paramètres!$A$1:$I$88,7,0))</f>
        <v>#N/A</v>
      </c>
      <c r="DD45" s="17" t="e">
        <f>IF(ISNA(VLOOKUP(A45,'Données projet'!$A$139:$I$159,6,0)),0%,VLOOKUP(A45,'Données projet'!$A$139:$I$159,6,0)*VLOOKUP('Données projet'!$B$13,Paramètres!$A$1:$I$88,7,0))</f>
        <v>#N/A</v>
      </c>
      <c r="DE45" s="17">
        <f>IF(ISNA(VLOOKUP(A45,'Données projet'!$A$139:$I$159,7,0)),0%,VLOOKUP(A45,'Données projet'!$A$139:$I$159,7,0))</f>
        <v>0.22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6.875</v>
      </c>
      <c r="N46" s="14">
        <f>IF('Données projet'!$A$36&gt;35,N45+M46-V45,IF(A46&lt;'Données projet'!$A$36,$K$205^A46,IF(A46='Données projet'!$A$36,'Données projet'!$B$36,N45+M46-V45)))</f>
        <v>102.875</v>
      </c>
      <c r="O46" s="14">
        <f>N46*VLOOKUP('Données projet'!$B$9,Paramètres!$A$1:$I$88,3,0)*VLOOKUP('Données projet'!$B$9,Paramètres!$A$1:$I$88,5,0)</f>
        <v>93.081299999999999</v>
      </c>
      <c r="P46" s="14">
        <f t="shared" si="33"/>
        <v>25.306898135221367</v>
      </c>
      <c r="Q46" s="22">
        <f t="shared" si="53"/>
        <v>206.19277841884386</v>
      </c>
      <c r="R46" s="62">
        <f t="shared" si="0"/>
        <v>499.52611175217714</v>
      </c>
      <c r="S46" s="62">
        <f ca="1">AVERAGE(OFFSET($R$3,0,0,'Données projet'!$E$9+1,1))-AVERAGE(OFFSET($H$3,0,0,'Données projet'!$E$9+1,1))</f>
        <v>182.76154982630777</v>
      </c>
      <c r="T46" s="62">
        <f t="shared" si="34"/>
        <v>119.92190922866632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1.2649942620776871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1.2649942620776871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19</v>
      </c>
      <c r="AI46" s="14">
        <f>IF('Données projet'!$A$62&gt;35,AI45+AH46-AQ45,IF(A46&lt;'Données projet'!$A$62,$AF$205^A46,IF(A46='Données projet'!$A$62,'Données projet'!$B$62,AI45+AH46-AQ45)))</f>
        <v>280.00000000000006</v>
      </c>
      <c r="AJ46" s="14">
        <f>AI46*VLOOKUP('Données projet'!$B$10,Paramètres!$A$1:$I$88,3,0)*VLOOKUP('Données projet'!$B$10,Paramètres!$A$1:$I$88,5,0)</f>
        <v>167.44000000000005</v>
      </c>
      <c r="AK46" s="14">
        <f t="shared" si="35"/>
        <v>42.516163405082935</v>
      </c>
      <c r="AL46" s="22">
        <f t="shared" si="4"/>
        <v>365.67365126385283</v>
      </c>
      <c r="AM46" s="62">
        <f t="shared" si="5"/>
        <v>659.00698459718615</v>
      </c>
      <c r="AN46" s="62">
        <f ca="1">AVERAGE(OFFSET($AM$3,0,0,'Données projet'!$E$10+1,1))-AVERAGE(OFFSET($H$3,0,0,'Données projet'!$E$10+1,1))</f>
        <v>212.1966338656834</v>
      </c>
      <c r="AO46" s="62">
        <f t="shared" si="36"/>
        <v>194.52809733694494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5.2567008453993518</v>
      </c>
      <c r="AV46" s="23">
        <f>EXP(-LN(2)/25)*AV45+(1-EXP(-LN(2)/25))/(LN(2)/25)*Calculateur!AQ46*Calculateur!AS46*VLOOKUP('Données projet'!$B$10,Paramètres!$A$1:$I$88,3,0)*0.475*44/12</f>
        <v>19.797956807807683</v>
      </c>
      <c r="AW46" s="23">
        <f>EXP(-LN(2)/2)*AW45+(1-EXP(-LN(2)/2))/(LN(2)/2)*AQ46*AT46*VLOOKUP('Données projet'!$B$10,Paramètres!$A$1:$I$88,3,0)*0.475*44/12</f>
        <v>4.1905787863046768</v>
      </c>
      <c r="AX46" s="23">
        <f t="shared" si="6"/>
        <v>29.245236439511711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2.1607142857142856</v>
      </c>
      <c r="BD46" s="13">
        <f>IF('Données projet'!$A$88&gt;35,BD45+BC46-BL45,IF(A46&lt;'Données projet'!$A$88,$BA$205^A46,IF(A46='Données projet'!$A$88,'Données projet'!$B$88,BD45+BC46-BL45)))</f>
        <v>92.910714285714349</v>
      </c>
      <c r="BE46" s="14">
        <f>BD46*VLOOKUP('Données projet'!$B$11,Paramètres!$A$1:$I$88,3,0)*VLOOKUP('Données projet'!$B$11,Paramètres!$A$1:$I$88,5,0)</f>
        <v>89.863242857142922</v>
      </c>
      <c r="BF46" s="14">
        <f t="shared" si="37"/>
        <v>24.532239545654154</v>
      </c>
      <c r="BG46" s="22">
        <f t="shared" si="7"/>
        <v>199.2387985182049</v>
      </c>
      <c r="BH46" s="62">
        <f t="shared" si="8"/>
        <v>492.57213185153819</v>
      </c>
      <c r="BI46" s="62">
        <f ca="1">AVERAGE(OFFSET($BH$3,0,0,'Données projet'!$E$11+1,1))-AVERAGE(OFFSET($H$3,0,0,'Données projet'!$E$11+1,1))</f>
        <v>84.664683404322943</v>
      </c>
      <c r="BJ46" s="62">
        <f t="shared" si="38"/>
        <v>79.209234837679901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5.6</v>
      </c>
      <c r="BY46" s="13">
        <f>IF('Données projet'!$A$114&gt;35,BY45+BX46-CG45,IF(A46&lt;'Données projet'!$A$114,$BV$205^A46,IF(A46='Données projet'!$A$114,'Données projet'!$B$114,BY45+BX46-CG45)))</f>
        <v>95.79999999999994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8.1000000000000014</v>
      </c>
      <c r="CT46" s="13">
        <f>IF('Données projet'!$A$140&gt;35,CT45+CS46-DB45,IF(A46&lt;'Données projet'!$A$140,$CQ$205^A46,IF(A46='Données projet'!$A$140,'Données projet'!$B$140,CT45+CS46-DB45)))</f>
        <v>157.89999999999998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6.875</v>
      </c>
      <c r="N47" s="14">
        <f>IF('Données projet'!$A$36&gt;35,N46+M47-V46,IF(A47&lt;'Données projet'!$A$36,$K$205^A47,IF(A47='Données projet'!$A$36,'Données projet'!$B$36,N46+M47-V46)))</f>
        <v>109.75</v>
      </c>
      <c r="O47" s="14">
        <f>N47*VLOOKUP('Données projet'!$B$9,Paramètres!$A$1:$I$88,3,0)*VLOOKUP('Données projet'!$B$9,Paramètres!$A$1:$I$88,5,0)</f>
        <v>99.3018</v>
      </c>
      <c r="P47" s="14">
        <f t="shared" si="33"/>
        <v>26.795593258779039</v>
      </c>
      <c r="Q47" s="22">
        <f t="shared" si="53"/>
        <v>219.61962659237349</v>
      </c>
      <c r="R47" s="62">
        <f t="shared" si="0"/>
        <v>512.95295992570686</v>
      </c>
      <c r="S47" s="62">
        <f ca="1">AVERAGE(OFFSET($R$3,0,0,'Données projet'!$E$9+1,1))-AVERAGE(OFFSET($H$3,0,0,'Données projet'!$E$9+1,1))</f>
        <v>182.76154982630777</v>
      </c>
      <c r="T47" s="62">
        <f t="shared" si="34"/>
        <v>119.92190922866632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1.2401884961686573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1.2401884961686573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19</v>
      </c>
      <c r="AI47" s="14">
        <f>IF('Données projet'!$A$62&gt;35,AI46+AH47-AQ46,IF(A47&lt;'Données projet'!$A$62,$AF$205^A47,IF(A47='Données projet'!$A$62,'Données projet'!$B$62,AI46+AH47-AQ46)))</f>
        <v>299.00000000000006</v>
      </c>
      <c r="AJ47" s="14">
        <f>AI47*VLOOKUP('Données projet'!$B$10,Paramètres!$A$1:$I$88,3,0)*VLOOKUP('Données projet'!$B$10,Paramètres!$A$1:$I$88,5,0)</f>
        <v>178.80200000000002</v>
      </c>
      <c r="AK47" s="14">
        <f t="shared" si="35"/>
        <v>45.055549739375941</v>
      </c>
      <c r="AL47" s="22">
        <f t="shared" si="4"/>
        <v>389.88523246274644</v>
      </c>
      <c r="AM47" s="62">
        <f t="shared" si="5"/>
        <v>683.2185657960797</v>
      </c>
      <c r="AN47" s="62">
        <f ca="1">AVERAGE(OFFSET($AM$3,0,0,'Données projet'!$E$10+1,1))-AVERAGE(OFFSET($H$3,0,0,'Données projet'!$E$10+1,1))</f>
        <v>212.1966338656834</v>
      </c>
      <c r="AO47" s="62">
        <f t="shared" si="36"/>
        <v>194.52809733694494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5.153620148091993</v>
      </c>
      <c r="AV47" s="23">
        <f>EXP(-LN(2)/25)*AV46+(1-EXP(-LN(2)/25))/(LN(2)/25)*Calculateur!AQ47*Calculateur!AS47*VLOOKUP('Données projet'!$B$10,Paramètres!$A$1:$I$88,3,0)*0.475*44/12</f>
        <v>19.256580637768881</v>
      </c>
      <c r="AW47" s="23">
        <f>EXP(-LN(2)/2)*AW46+(1-EXP(-LN(2)/2))/(LN(2)/2)*AQ47*AT47*VLOOKUP('Données projet'!$B$10,Paramètres!$A$1:$I$88,3,0)*0.475*44/12</f>
        <v>2.963186676892529</v>
      </c>
      <c r="AX47" s="23">
        <f t="shared" si="6"/>
        <v>27.373387462753403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2.1607142857142856</v>
      </c>
      <c r="BD47" s="13">
        <f>IF('Données projet'!$A$88&gt;35,BD46+BC47-BL46,IF(A47&lt;'Données projet'!$A$88,$BA$205^A47,IF(A47='Données projet'!$A$88,'Données projet'!$B$88,BD46+BC47-BL46)))</f>
        <v>95.07142857142864</v>
      </c>
      <c r="BE47" s="14">
        <f>BD47*VLOOKUP('Données projet'!$B$11,Paramètres!$A$1:$I$88,3,0)*VLOOKUP('Données projet'!$B$11,Paramètres!$A$1:$I$88,5,0)</f>
        <v>91.953085714285777</v>
      </c>
      <c r="BF47" s="14">
        <f t="shared" si="37"/>
        <v>25.035672070024511</v>
      </c>
      <c r="BG47" s="22">
        <f t="shared" si="7"/>
        <v>203.75541980767375</v>
      </c>
      <c r="BH47" s="62">
        <f t="shared" si="8"/>
        <v>497.08875314100703</v>
      </c>
      <c r="BI47" s="62">
        <f ca="1">AVERAGE(OFFSET($BH$3,0,0,'Données projet'!$E$11+1,1))-AVERAGE(OFFSET($H$3,0,0,'Données projet'!$E$11+1,1))</f>
        <v>84.664683404322943</v>
      </c>
      <c r="BJ47" s="62">
        <f t="shared" si="38"/>
        <v>79.209234837679901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5.6</v>
      </c>
      <c r="BY47" s="13">
        <f>IF('Données projet'!$A$114&gt;35,BY46+BX47-CG46,IF(A47&lt;'Données projet'!$A$114,$BV$205^A47,IF(A47='Données projet'!$A$114,'Données projet'!$B$114,BY46+BX47-CG46)))</f>
        <v>101.39999999999993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8.1000000000000014</v>
      </c>
      <c r="CT47" s="13">
        <f>IF('Données projet'!$A$140&gt;35,CT46+CS47-DB46,IF(A47&lt;'Données projet'!$A$140,$CQ$205^A47,IF(A47='Données projet'!$A$140,'Données projet'!$B$140,CT46+CS47-DB46)))</f>
        <v>165.99999999999997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6.875</v>
      </c>
      <c r="N48" s="14">
        <f>IF('Données projet'!$A$36&gt;35,N47+M48-V47,IF(A48&lt;'Données projet'!$A$36,$K$205^A48,IF(A48='Données projet'!$A$36,'Données projet'!$B$36,N47+M48-V47)))</f>
        <v>116.625</v>
      </c>
      <c r="O48" s="14">
        <f>N48*VLOOKUP('Données projet'!$B$9,Paramètres!$A$1:$I$88,3,0)*VLOOKUP('Données projet'!$B$9,Paramètres!$A$1:$I$88,5,0)</f>
        <v>105.5223</v>
      </c>
      <c r="P48" s="14">
        <f t="shared" si="33"/>
        <v>28.273465463649</v>
      </c>
      <c r="Q48" s="22">
        <f t="shared" si="53"/>
        <v>233.02762484918864</v>
      </c>
      <c r="R48" s="62">
        <f t="shared" si="0"/>
        <v>526.36095818252193</v>
      </c>
      <c r="S48" s="62">
        <f ca="1">AVERAGE(OFFSET($R$3,0,0,'Données projet'!$E$9+1,1))-AVERAGE(OFFSET($H$3,0,0,'Données projet'!$E$9+1,1))</f>
        <v>182.76154982630777</v>
      </c>
      <c r="T48" s="62">
        <f t="shared" si="34"/>
        <v>119.92190922866632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1.2158691561990804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1.2158691561990804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318</v>
      </c>
      <c r="AG48" s="13">
        <f>VLOOKUP(A48,'Données projet'!$A$61:$I$81,9,0)</f>
        <v>19</v>
      </c>
      <c r="AH48" s="13">
        <f t="array" ref="AH48">INDEX(AG:AG,MIN(IF(ISNUMBER(AG48:AG244),ROW(AG48:AG244),"")))</f>
        <v>19</v>
      </c>
      <c r="AI48" s="14">
        <f>IF('Données projet'!$A$62&gt;35,AI47+AH48-AQ47,IF(A48&lt;'Données projet'!$A$62,$AF$205^A48,IF(A48='Données projet'!$A$62,'Données projet'!$B$62,AI47+AH48-AQ47)))</f>
        <v>318.00000000000006</v>
      </c>
      <c r="AJ48" s="14">
        <f>AI48*VLOOKUP('Données projet'!$B$10,Paramètres!$A$1:$I$88,3,0)*VLOOKUP('Données projet'!$B$10,Paramètres!$A$1:$I$88,5,0)</f>
        <v>190.16400000000004</v>
      </c>
      <c r="AK48" s="14">
        <f t="shared" si="35"/>
        <v>47.576209101852911</v>
      </c>
      <c r="AL48" s="22">
        <f t="shared" si="4"/>
        <v>414.06419751906054</v>
      </c>
      <c r="AM48" s="62">
        <f t="shared" si="5"/>
        <v>707.39753085239386</v>
      </c>
      <c r="AN48" s="62">
        <f ca="1">AVERAGE(OFFSET($AM$3,0,0,'Données projet'!$E$10+1,1))-AVERAGE(OFFSET($H$3,0,0,'Données projet'!$E$10+1,1))</f>
        <v>212.1966338656834</v>
      </c>
      <c r="AO48" s="62">
        <f t="shared" si="36"/>
        <v>194.52809733694494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projet'!$B$10,Paramètres!$A$1:$I$88,7,0))</f>
        <v>0.18000000000000002</v>
      </c>
      <c r="AS48" s="17">
        <f>IF(ISNA(VLOOKUP(A48,'Données projet'!$A$61:$I$81,6,0)),0%,VLOOKUP(A48,'Données projet'!$A$61:$I$81,6,0)*VLOOKUP('Données projet'!$B$10,Paramètres!$A$1:$I$88,7,0))</f>
        <v>0.14850000000000002</v>
      </c>
      <c r="AT48" s="17">
        <f>IF(ISNA(VLOOKUP(A48,'Données projet'!$A$61:$I$81,7,0)),0%,VLOOKUP(A48,'Données projet'!$A$61:$I$81,7,0))</f>
        <v>0.27</v>
      </c>
      <c r="AU48" s="23">
        <f>EXP(-LN(2)/35)*AU47+(1-EXP(-LN(2)/35))/(LN(2)/35)*AQ48*AR48*VLOOKUP('Données projet'!$B$10,Paramètres!$A$1:$I$88,3,0)*0.475*44/12</f>
        <v>12.620504893511956</v>
      </c>
      <c r="AV48" s="23">
        <f>EXP(-LN(2)/25)*AV47+(1-EXP(-LN(2)/25))/(LN(2)/25)*Calculateur!AQ48*Calculateur!AS48*VLOOKUP('Données projet'!$B$10,Paramètres!$A$1:$I$88,3,0)*0.475*44/12</f>
        <v>24.948979053804983</v>
      </c>
      <c r="AW48" s="23">
        <f>EXP(-LN(2)/2)*AW47+(1-EXP(-LN(2)/2))/(LN(2)/2)*AQ48*AT48*VLOOKUP('Données projet'!$B$10,Paramètres!$A$1:$I$88,3,0)*0.475*44/12</f>
        <v>11.784231411359366</v>
      </c>
      <c r="AX48" s="23">
        <f t="shared" si="6"/>
        <v>49.353715358676304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2.1607142857142856</v>
      </c>
      <c r="BD48" s="13">
        <f>IF('Données projet'!$A$88&gt;35,BD47+BC48-BL47,IF(A48&lt;'Données projet'!$A$88,$BA$205^A48,IF(A48='Données projet'!$A$88,'Données projet'!$B$88,BD47+BC48-BL47)))</f>
        <v>97.232142857142932</v>
      </c>
      <c r="BE48" s="14">
        <f>BD48*VLOOKUP('Données projet'!$B$11,Paramètres!$A$1:$I$88,3,0)*VLOOKUP('Données projet'!$B$11,Paramètres!$A$1:$I$88,5,0)</f>
        <v>94.042928571428646</v>
      </c>
      <c r="BF48" s="14">
        <f t="shared" si="37"/>
        <v>25.537774425569818</v>
      </c>
      <c r="BG48" s="22">
        <f t="shared" si="7"/>
        <v>208.26972438643898</v>
      </c>
      <c r="BH48" s="62">
        <f t="shared" si="8"/>
        <v>501.60305771977232</v>
      </c>
      <c r="BI48" s="62">
        <f ca="1">AVERAGE(OFFSET($BH$3,0,0,'Données projet'!$E$11+1,1))-AVERAGE(OFFSET($H$3,0,0,'Données projet'!$E$11+1,1))</f>
        <v>84.664683404322943</v>
      </c>
      <c r="BJ48" s="62">
        <f t="shared" si="38"/>
        <v>79.209234837679901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0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107</v>
      </c>
      <c r="BW48" s="13">
        <f>VLOOKUP(A48,'Données projet'!$A$113:$I$133,9,0)</f>
        <v>5.6</v>
      </c>
      <c r="BX48" s="13">
        <f t="array" ref="BX48">INDEX(BW:BW,MIN(IF(ISNUMBER(BW48:BW244),ROW(BW48:BW244),"")))</f>
        <v>5.6</v>
      </c>
      <c r="BY48" s="13">
        <f>IF('Données projet'!$A$114&gt;35,BY47+BX48-CG47,IF(A48&lt;'Données projet'!$A$114,$BV$205^A48,IF(A48='Données projet'!$A$114,'Données projet'!$B$114,BY47+BX48-CG47)))</f>
        <v>106.99999999999993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14</v>
      </c>
      <c r="CH48" s="17" t="e">
        <f>IF(ISNA(VLOOKUP(A48,'Données projet'!$A$113:$I$133,5,0)),0%,VLOOKUP(A48,'Données projet'!$A$113:$I$133,5,0)*VLOOKUP('Données projet'!$B$12,Paramètres!$A$1:$I$88,7,0))</f>
        <v>#N/A</v>
      </c>
      <c r="CI48" s="17" t="e">
        <f>IF(ISNA(VLOOKUP(A48,'Données projet'!$A$113:$I$133,6,0)),0%,VLOOKUP(A48,'Données projet'!$A$113:$I$133,6,0)*VLOOKUP('Données projet'!$B$12,Paramètres!$A$1:$I$88,7,0))</f>
        <v>#N/A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8.1000000000000014</v>
      </c>
      <c r="CT48" s="13">
        <f>IF('Données projet'!$A$140&gt;35,CT47+CS48-DB47,IF(A48&lt;'Données projet'!$A$140,$CQ$205^A48,IF(A48='Données projet'!$A$140,'Données projet'!$B$140,CT47+CS48-DB47)))</f>
        <v>174.09999999999997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6.875</v>
      </c>
      <c r="N49" s="14">
        <f>IF('Données projet'!$A$36&gt;35,N48+M49-V48,IF(A49&lt;'Données projet'!$A$36,$K$205^A49,IF(A49='Données projet'!$A$36,'Données projet'!$B$36,N48+M49-V48)))</f>
        <v>123.5</v>
      </c>
      <c r="O49" s="14">
        <f>N49*VLOOKUP('Données projet'!$B$9,Paramètres!$A$1:$I$88,3,0)*VLOOKUP('Données projet'!$B$9,Paramètres!$A$1:$I$88,5,0)</f>
        <v>111.7428</v>
      </c>
      <c r="P49" s="14">
        <f t="shared" si="33"/>
        <v>29.741225429709573</v>
      </c>
      <c r="Q49" s="22">
        <f t="shared" si="53"/>
        <v>246.4180109567441</v>
      </c>
      <c r="R49" s="62">
        <f t="shared" si="0"/>
        <v>539.75134429007744</v>
      </c>
      <c r="S49" s="62">
        <f ca="1">AVERAGE(OFFSET($R$3,0,0,'Données projet'!$E$9+1,1))-AVERAGE(OFFSET($H$3,0,0,'Données projet'!$E$9+1,1))</f>
        <v>182.76154982630777</v>
      </c>
      <c r="T49" s="62">
        <f t="shared" si="34"/>
        <v>119.92190922866632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1.1920267036529741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1.1920267036529741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17.399999999999999</v>
      </c>
      <c r="AI49" s="14">
        <f>IF('Données projet'!$A$62&gt;35,AI48+AH49-AQ48,IF(A49&lt;'Données projet'!$A$62,$AF$205^A49,IF(A49='Données projet'!$A$62,'Données projet'!$B$62,AI48+AH49-AQ48)))</f>
        <v>282.40000000000003</v>
      </c>
      <c r="AJ49" s="14">
        <f>AI49*VLOOKUP('Données projet'!$B$10,Paramètres!$A$1:$I$88,3,0)*VLOOKUP('Données projet'!$B$10,Paramètres!$A$1:$I$88,5,0)</f>
        <v>168.87520000000004</v>
      </c>
      <c r="AK49" s="14">
        <f t="shared" si="35"/>
        <v>42.838008554673955</v>
      </c>
      <c r="AL49" s="22">
        <f t="shared" si="4"/>
        <v>368.73383823272388</v>
      </c>
      <c r="AM49" s="62">
        <f t="shared" si="5"/>
        <v>662.06717156605714</v>
      </c>
      <c r="AN49" s="62">
        <f ca="1">AVERAGE(OFFSET($AM$3,0,0,'Données projet'!$E$10+1,1))-AVERAGE(OFFSET($H$3,0,0,'Données projet'!$E$10+1,1))</f>
        <v>212.1966338656834</v>
      </c>
      <c r="AO49" s="62">
        <f t="shared" si="36"/>
        <v>194.52809733694494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12.373024490298082</v>
      </c>
      <c r="AV49" s="23">
        <f>EXP(-LN(2)/25)*AV48+(1-EXP(-LN(2)/25))/(LN(2)/25)*Calculateur!AQ49*Calculateur!AS49*VLOOKUP('Données projet'!$B$10,Paramètres!$A$1:$I$88,3,0)*0.475*44/12</f>
        <v>24.266747909568899</v>
      </c>
      <c r="AW49" s="23">
        <f>EXP(-LN(2)/2)*AW48+(1-EXP(-LN(2)/2))/(LN(2)/2)*AQ49*AT49*VLOOKUP('Données projet'!$B$10,Paramètres!$A$1:$I$88,3,0)*0.475*44/12</f>
        <v>8.3327099420437278</v>
      </c>
      <c r="AX49" s="23">
        <f t="shared" si="6"/>
        <v>44.972482341910712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2.1607142857142856</v>
      </c>
      <c r="BD49" s="13">
        <f>IF('Données projet'!$A$88&gt;35,BD48+BC49-BL48,IF(A49&lt;'Données projet'!$A$88,$BA$205^A49,IF(A49='Données projet'!$A$88,'Données projet'!$B$88,BD48+BC49-BL48)))</f>
        <v>99.392857142857224</v>
      </c>
      <c r="BE49" s="14">
        <f>BD49*VLOOKUP('Données projet'!$B$11,Paramètres!$A$1:$I$88,3,0)*VLOOKUP('Données projet'!$B$11,Paramètres!$A$1:$I$88,5,0)</f>
        <v>96.132771428571516</v>
      </c>
      <c r="BF49" s="14">
        <f t="shared" si="37"/>
        <v>26.038579575138627</v>
      </c>
      <c r="BG49" s="22">
        <f t="shared" si="7"/>
        <v>212.78176966479518</v>
      </c>
      <c r="BH49" s="62">
        <f t="shared" si="8"/>
        <v>506.11510299812846</v>
      </c>
      <c r="BI49" s="62">
        <f ca="1">AVERAGE(OFFSET($BH$3,0,0,'Données projet'!$E$11+1,1))-AVERAGE(OFFSET($H$3,0,0,'Données projet'!$E$11+1,1))</f>
        <v>84.664683404322943</v>
      </c>
      <c r="BJ49" s="62">
        <f t="shared" si="38"/>
        <v>79.209234837679901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98.599999999999923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>
        <f>VLOOKUP(A49,'Données projet'!$A$139:$I$159,2,0)</f>
        <v>182.2</v>
      </c>
      <c r="CR49" s="13">
        <f>VLOOKUP(A49,'Données projet'!$A$139:$I$159,9,0)</f>
        <v>8.1000000000000014</v>
      </c>
      <c r="CS49" s="13">
        <f t="array" ref="CS49">INDEX(CR:CR,MIN(IF(ISNUMBER(CR49:CR245),ROW(CR49:CR245),"")))</f>
        <v>8.1000000000000014</v>
      </c>
      <c r="CT49" s="13">
        <f>IF('Données projet'!$A$140&gt;35,CT48+CS49-DB48,IF(A49&lt;'Données projet'!$A$140,$CQ$205^A49,IF(A49='Données projet'!$A$140,'Données projet'!$B$140,CT48+CS49-DB48)))</f>
        <v>182.19999999999996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7</v>
      </c>
      <c r="DB49" s="16">
        <f>IF(ISNA(VLOOKUP(A49,'Données projet'!$A$139:$I$159,4,0)),0,VLOOKUP(A49,'Données projet'!$A$139:$I$159,4,0))</f>
        <v>0</v>
      </c>
      <c r="DC49" s="17" t="e">
        <f>IF(ISNA(VLOOKUP(A49,'Données projet'!$A$139:$I$159,5,0)),0%,VLOOKUP(A49,'Données projet'!$A$139:$I$159,5,0)*VLOOKUP('Données projet'!$B$13,Paramètres!$A$1:$I$88,7,0))</f>
        <v>#N/A</v>
      </c>
      <c r="DD49" s="17" t="e">
        <f>IF(ISNA(VLOOKUP(A49,'Données projet'!$A$139:$I$159,6,0)),0%,VLOOKUP(A49,'Données projet'!$A$139:$I$159,6,0)*VLOOKUP('Données projet'!$B$13,Paramètres!$A$1:$I$88,7,0))</f>
        <v>#N/A</v>
      </c>
      <c r="DE49" s="17">
        <f>IF(ISNA(VLOOKUP(A49,'Données projet'!$A$139:$I$159,7,0)),0%,VLOOKUP(A49,'Données projet'!$A$139:$I$159,7,0))</f>
        <v>0.22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6.875</v>
      </c>
      <c r="N50" s="14">
        <f>IF('Données projet'!$A$36&gt;35,N49+M50-V49,IF(A50&lt;'Données projet'!$A$36,$K$205^A50,IF(A50='Données projet'!$A$36,'Données projet'!$B$36,N49+M50-V49)))</f>
        <v>130.375</v>
      </c>
      <c r="O50" s="14">
        <f>N50*VLOOKUP('Données projet'!$B$9,Paramètres!$A$1:$I$88,3,0)*VLOOKUP('Données projet'!$B$9,Paramètres!$A$1:$I$88,5,0)</f>
        <v>117.96329999999999</v>
      </c>
      <c r="P50" s="14">
        <f t="shared" si="33"/>
        <v>31.199500243690945</v>
      </c>
      <c r="Q50" s="22">
        <f t="shared" si="53"/>
        <v>259.79187709109505</v>
      </c>
      <c r="R50" s="62">
        <f t="shared" si="0"/>
        <v>553.12521042442836</v>
      </c>
      <c r="S50" s="62">
        <f ca="1">AVERAGE(OFFSET($R$3,0,0,'Données projet'!$E$9+1,1))-AVERAGE(OFFSET($H$3,0,0,'Données projet'!$E$9+1,1))</f>
        <v>182.76154982630777</v>
      </c>
      <c r="T50" s="62">
        <f t="shared" si="34"/>
        <v>119.92190922866632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1.1686517870588369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1.1686517870588369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17.399999999999999</v>
      </c>
      <c r="AI50" s="14">
        <f>IF('Données projet'!$A$62&gt;35,AI49+AH50-AQ49,IF(A50&lt;'Données projet'!$A$62,$AF$205^A50,IF(A50='Données projet'!$A$62,'Données projet'!$B$62,AI49+AH50-AQ49)))</f>
        <v>299.8</v>
      </c>
      <c r="AJ50" s="14">
        <f>AI50*VLOOKUP('Données projet'!$B$10,Paramètres!$A$1:$I$88,3,0)*VLOOKUP('Données projet'!$B$10,Paramètres!$A$1:$I$88,5,0)</f>
        <v>179.28040000000001</v>
      </c>
      <c r="AK50" s="14">
        <f t="shared" si="35"/>
        <v>45.162051118824294</v>
      </c>
      <c r="AL50" s="22">
        <f t="shared" si="4"/>
        <v>390.90393569861902</v>
      </c>
      <c r="AM50" s="62">
        <f t="shared" si="5"/>
        <v>684.23726903195234</v>
      </c>
      <c r="AN50" s="62">
        <f ca="1">AVERAGE(OFFSET($AM$3,0,0,'Données projet'!$E$10+1,1))-AVERAGE(OFFSET($H$3,0,0,'Données projet'!$E$10+1,1))</f>
        <v>212.1966338656834</v>
      </c>
      <c r="AO50" s="62">
        <f t="shared" si="36"/>
        <v>194.52809733694494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12.130397026843092</v>
      </c>
      <c r="AV50" s="23">
        <f>EXP(-LN(2)/25)*AV49+(1-EXP(-LN(2)/25))/(LN(2)/25)*Calculateur!AQ50*Calculateur!AS50*VLOOKUP('Données projet'!$B$10,Paramètres!$A$1:$I$88,3,0)*0.475*44/12</f>
        <v>23.603172411848927</v>
      </c>
      <c r="AW50" s="23">
        <f>EXP(-LN(2)/2)*AW49+(1-EXP(-LN(2)/2))/(LN(2)/2)*AQ50*AT50*VLOOKUP('Données projet'!$B$10,Paramètres!$A$1:$I$88,3,0)*0.475*44/12</f>
        <v>5.892115705679684</v>
      </c>
      <c r="AX50" s="23">
        <f t="shared" si="6"/>
        <v>41.625685144371701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2.1607142857142856</v>
      </c>
      <c r="BD50" s="13">
        <f>IF('Données projet'!$A$88&gt;35,BD49+BC50-BL49,IF(A50&lt;'Données projet'!$A$88,$BA$205^A50,IF(A50='Données projet'!$A$88,'Données projet'!$B$88,BD49+BC50-BL49)))</f>
        <v>101.55357142857152</v>
      </c>
      <c r="BE50" s="14">
        <f>BD50*VLOOKUP('Données projet'!$B$11,Paramètres!$A$1:$I$88,3,0)*VLOOKUP('Données projet'!$B$11,Paramètres!$A$1:$I$88,5,0)</f>
        <v>98.222614285714371</v>
      </c>
      <c r="BF50" s="14">
        <f t="shared" si="37"/>
        <v>26.538118966560454</v>
      </c>
      <c r="BG50" s="22">
        <f t="shared" si="7"/>
        <v>217.29161041437865</v>
      </c>
      <c r="BH50" s="62">
        <f t="shared" si="8"/>
        <v>510.624943747712</v>
      </c>
      <c r="BI50" s="62">
        <f ca="1">AVERAGE(OFFSET($BH$3,0,0,'Données projet'!$E$11+1,1))-AVERAGE(OFFSET($H$3,0,0,'Données projet'!$E$11+1,1))</f>
        <v>84.664683404322943</v>
      </c>
      <c r="BJ50" s="62">
        <f t="shared" si="38"/>
        <v>79.209234837679901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104.19999999999992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8.3500000000000014</v>
      </c>
      <c r="CT50" s="13">
        <f>IF('Données projet'!$A$140&gt;35,CT49+CS50-DB49,IF(A50&lt;'Données projet'!$A$140,$CQ$205^A50,IF(A50='Données projet'!$A$140,'Données projet'!$B$140,CT49+CS50-DB49)))</f>
        <v>190.54999999999995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6.875</v>
      </c>
      <c r="N51" s="14">
        <f>IF('Données projet'!$A$36&gt;35,N50+M51-V50,IF(A51&lt;'Données projet'!$A$36,$K$205^A51,IF(A51='Données projet'!$A$36,'Données projet'!$B$36,N50+M51-V50)))</f>
        <v>137.25</v>
      </c>
      <c r="O51" s="14">
        <f>N51*VLOOKUP('Données projet'!$B$9,Paramètres!$A$1:$I$88,3,0)*VLOOKUP('Données projet'!$B$9,Paramètres!$A$1:$I$88,5,0)</f>
        <v>124.18379999999999</v>
      </c>
      <c r="P51" s="14">
        <f t="shared" si="33"/>
        <v>32.648847121304541</v>
      </c>
      <c r="Q51" s="22">
        <f t="shared" si="53"/>
        <v>273.15019373627206</v>
      </c>
      <c r="R51" s="62">
        <f t="shared" si="0"/>
        <v>566.48352706960532</v>
      </c>
      <c r="S51" s="62">
        <f ca="1">AVERAGE(OFFSET($R$3,0,0,'Données projet'!$E$9+1,1))-AVERAGE(OFFSET($H$3,0,0,'Données projet'!$E$9+1,1))</f>
        <v>182.76154982630777</v>
      </c>
      <c r="T51" s="62">
        <f t="shared" si="34"/>
        <v>119.92190922866632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1.1457352383218193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1.1457352383218193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17.399999999999999</v>
      </c>
      <c r="AI51" s="14">
        <f>IF('Données projet'!$A$62&gt;35,AI50+AH51-AQ50,IF(A51&lt;'Données projet'!$A$62,$AF$205^A51,IF(A51='Données projet'!$A$62,'Données projet'!$B$62,AI50+AH51-AQ50)))</f>
        <v>317.2</v>
      </c>
      <c r="AJ51" s="14">
        <f>AI51*VLOOKUP('Données projet'!$B$10,Paramètres!$A$1:$I$88,3,0)*VLOOKUP('Données projet'!$B$10,Paramètres!$A$1:$I$88,5,0)</f>
        <v>189.68560000000002</v>
      </c>
      <c r="AK51" s="14">
        <f t="shared" si="35"/>
        <v>47.470436776872745</v>
      </c>
      <c r="AL51" s="22">
        <f t="shared" si="4"/>
        <v>413.04676405305344</v>
      </c>
      <c r="AM51" s="62">
        <f t="shared" si="5"/>
        <v>706.38009738638675</v>
      </c>
      <c r="AN51" s="62">
        <f ca="1">AVERAGE(OFFSET($AM$3,0,0,'Données projet'!$E$10+1,1))-AVERAGE(OFFSET($H$3,0,0,'Données projet'!$E$10+1,1))</f>
        <v>212.1966338656834</v>
      </c>
      <c r="AO51" s="62">
        <f t="shared" si="36"/>
        <v>194.52809733694494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11.892527339958313</v>
      </c>
      <c r="AV51" s="23">
        <f>EXP(-LN(2)/25)*AV50+(1-EXP(-LN(2)/25))/(LN(2)/25)*Calculateur!AQ51*Calculateur!AS51*VLOOKUP('Données projet'!$B$10,Paramètres!$A$1:$I$88,3,0)*0.475*44/12</f>
        <v>22.957742421010028</v>
      </c>
      <c r="AW51" s="23">
        <f>EXP(-LN(2)/2)*AW50+(1-EXP(-LN(2)/2))/(LN(2)/2)*AQ51*AT51*VLOOKUP('Données projet'!$B$10,Paramètres!$A$1:$I$88,3,0)*0.475*44/12</f>
        <v>4.1663549710218648</v>
      </c>
      <c r="AX51" s="23">
        <f t="shared" si="6"/>
        <v>39.016624731990213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2.1607142857142856</v>
      </c>
      <c r="BD51" s="13">
        <f>IF('Données projet'!$A$88&gt;35,BD50+BC51-BL50,IF(A51&lt;'Données projet'!$A$88,$BA$205^A51,IF(A51='Données projet'!$A$88,'Données projet'!$B$88,BD50+BC51-BL50)))</f>
        <v>103.71428571428581</v>
      </c>
      <c r="BE51" s="14">
        <f>BD51*VLOOKUP('Données projet'!$B$11,Paramètres!$A$1:$I$88,3,0)*VLOOKUP('Données projet'!$B$11,Paramètres!$A$1:$I$88,5,0)</f>
        <v>100.31245714285724</v>
      </c>
      <c r="BF51" s="14">
        <f t="shared" si="37"/>
        <v>27.03642263300728</v>
      </c>
      <c r="BG51" s="22">
        <f t="shared" si="7"/>
        <v>221.79929894296401</v>
      </c>
      <c r="BH51" s="62">
        <f t="shared" si="8"/>
        <v>515.13263227629727</v>
      </c>
      <c r="BI51" s="62">
        <f ca="1">AVERAGE(OFFSET($BH$3,0,0,'Données projet'!$E$11+1,1))-AVERAGE(OFFSET($H$3,0,0,'Données projet'!$E$11+1,1))</f>
        <v>84.664683404322943</v>
      </c>
      <c r="BJ51" s="62">
        <f t="shared" si="38"/>
        <v>79.209234837679901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109.79999999999991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8.3500000000000014</v>
      </c>
      <c r="CT51" s="13">
        <f>IF('Données projet'!$A$140&gt;35,CT50+CS51-DB50,IF(A51&lt;'Données projet'!$A$140,$CQ$205^A51,IF(A51='Données projet'!$A$140,'Données projet'!$B$140,CT50+CS51-DB50)))</f>
        <v>198.89999999999995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6.875</v>
      </c>
      <c r="N52" s="14">
        <f>IF('Données projet'!$A$36&gt;35,N51+M52-V51,IF(A52&lt;'Données projet'!$A$36,$K$205^A52,IF(A52='Données projet'!$A$36,'Données projet'!$B$36,N51+M52-V51)))</f>
        <v>144.125</v>
      </c>
      <c r="O52" s="14">
        <f>N52*VLOOKUP('Données projet'!$B$9,Paramètres!$A$1:$I$88,3,0)*VLOOKUP('Données projet'!$B$9,Paramètres!$A$1:$I$88,5,0)</f>
        <v>130.40430000000001</v>
      </c>
      <c r="P52" s="14">
        <f t="shared" si="33"/>
        <v>34.089764301804081</v>
      </c>
      <c r="Q52" s="22">
        <f t="shared" si="53"/>
        <v>286.49382865897542</v>
      </c>
      <c r="R52" s="62">
        <f t="shared" si="0"/>
        <v>579.82716199230867</v>
      </c>
      <c r="S52" s="62">
        <f ca="1">AVERAGE(OFFSET($R$3,0,0,'Données projet'!$E$9+1,1))-AVERAGE(OFFSET($H$3,0,0,'Données projet'!$E$9+1,1))</f>
        <v>182.76154982630777</v>
      </c>
      <c r="T52" s="62">
        <f t="shared" si="34"/>
        <v>119.92190922866632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1.1232680691278201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1.1232680691278201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17.399999999999999</v>
      </c>
      <c r="AI52" s="14">
        <f>IF('Données projet'!$A$62&gt;35,AI51+AH52-AQ51,IF(A52&lt;'Données projet'!$A$62,$AF$205^A52,IF(A52='Données projet'!$A$62,'Données projet'!$B$62,AI51+AH52-AQ51)))</f>
        <v>334.59999999999997</v>
      </c>
      <c r="AJ52" s="14">
        <f>AI52*VLOOKUP('Données projet'!$B$10,Paramètres!$A$1:$I$88,3,0)*VLOOKUP('Données projet'!$B$10,Paramètres!$A$1:$I$88,5,0)</f>
        <v>200.0908</v>
      </c>
      <c r="AK52" s="14">
        <f t="shared" si="35"/>
        <v>49.764122289960234</v>
      </c>
      <c r="AL52" s="22">
        <f t="shared" si="4"/>
        <v>435.16398965501406</v>
      </c>
      <c r="AM52" s="62">
        <f t="shared" si="5"/>
        <v>728.49732298834738</v>
      </c>
      <c r="AN52" s="62">
        <f ca="1">AVERAGE(OFFSET($AM$3,0,0,'Données projet'!$E$10+1,1))-AVERAGE(OFFSET($H$3,0,0,'Données projet'!$E$10+1,1))</f>
        <v>212.1966338656834</v>
      </c>
      <c r="AO52" s="62">
        <f t="shared" si="36"/>
        <v>194.52809733694494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11.659322132547162</v>
      </c>
      <c r="AV52" s="23">
        <f>EXP(-LN(2)/25)*AV51+(1-EXP(-LN(2)/25))/(LN(2)/25)*Calculateur!AQ52*Calculateur!AS52*VLOOKUP('Données projet'!$B$10,Paramètres!$A$1:$I$88,3,0)*0.475*44/12</f>
        <v>22.329961747212305</v>
      </c>
      <c r="AW52" s="23">
        <f>EXP(-LN(2)/2)*AW51+(1-EXP(-LN(2)/2))/(LN(2)/2)*AQ52*AT52*VLOOKUP('Données projet'!$B$10,Paramètres!$A$1:$I$88,3,0)*0.475*44/12</f>
        <v>2.9460578528398425</v>
      </c>
      <c r="AX52" s="23">
        <f t="shared" si="6"/>
        <v>36.935341732599312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2.1607142857142856</v>
      </c>
      <c r="BD52" s="13">
        <f>IF('Données projet'!$A$88&gt;35,BD51+BC52-BL51,IF(A52&lt;'Données projet'!$A$88,$BA$205^A52,IF(A52='Données projet'!$A$88,'Données projet'!$B$88,BD51+BC52-BL51)))</f>
        <v>105.8750000000001</v>
      </c>
      <c r="BE52" s="14">
        <f>BD52*VLOOKUP('Données projet'!$B$11,Paramètres!$A$1:$I$88,3,0)*VLOOKUP('Données projet'!$B$11,Paramètres!$A$1:$I$88,5,0)</f>
        <v>102.4023000000001</v>
      </c>
      <c r="BF52" s="14">
        <f t="shared" si="37"/>
        <v>27.533519284755538</v>
      </c>
      <c r="BG52" s="22">
        <f t="shared" si="7"/>
        <v>226.30488525428271</v>
      </c>
      <c r="BH52" s="62">
        <f t="shared" si="8"/>
        <v>519.63821858761605</v>
      </c>
      <c r="BI52" s="62">
        <f ca="1">AVERAGE(OFFSET($BH$3,0,0,'Données projet'!$E$11+1,1))-AVERAGE(OFFSET($H$3,0,0,'Données projet'!$E$11+1,1))</f>
        <v>84.664683404322943</v>
      </c>
      <c r="BJ52" s="62">
        <f t="shared" si="38"/>
        <v>79.209234837679901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115.39999999999991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8.3500000000000014</v>
      </c>
      <c r="CT52" s="13">
        <f>IF('Données projet'!$A$140&gt;35,CT51+CS52-DB51,IF(A52&lt;'Données projet'!$A$140,$CQ$205^A52,IF(A52='Données projet'!$A$140,'Données projet'!$B$140,CT51+CS52-DB51)))</f>
        <v>207.24999999999994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151</v>
      </c>
      <c r="L53" s="13">
        <f>VLOOKUP(A53,'Données projet'!$A$35:$I$55,9,0)</f>
        <v>6.875</v>
      </c>
      <c r="M53" s="13">
        <f t="array" ref="M53">INDEX(L:L,MIN(IF(ISNUMBER(L53:L249),ROW(L53:L249),"")))</f>
        <v>6.875</v>
      </c>
      <c r="N53" s="14">
        <f>IF('Données projet'!$A$36&gt;35,N52+M53-V52,IF(A53&lt;'Données projet'!$A$36,$K$205^A53,IF(A53='Données projet'!$A$36,'Données projet'!$B$36,N52+M53-V52)))</f>
        <v>151</v>
      </c>
      <c r="O53" s="14">
        <f>N53*VLOOKUP('Données projet'!$B$9,Paramètres!$A$1:$I$88,3,0)*VLOOKUP('Données projet'!$B$9,Paramètres!$A$1:$I$88,5,0)</f>
        <v>136.62479999999999</v>
      </c>
      <c r="P53" s="14">
        <f t="shared" si="33"/>
        <v>35.522699804888632</v>
      </c>
      <c r="Q53" s="22">
        <f t="shared" si="53"/>
        <v>299.82356216018104</v>
      </c>
      <c r="R53" s="62">
        <f t="shared" si="0"/>
        <v>593.15689549351441</v>
      </c>
      <c r="S53" s="62">
        <f ca="1">AVERAGE(OFFSET($R$3,0,0,'Données projet'!$E$9+1,1))-AVERAGE(OFFSET($H$3,0,0,'Données projet'!$E$9+1,1))</f>
        <v>182.76154982630777</v>
      </c>
      <c r="T53" s="62">
        <f t="shared" si="34"/>
        <v>119.92190922866632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35</v>
      </c>
      <c r="W53" s="17">
        <f>IF(ISNA(VLOOKUP(A53,'Données projet'!$A$35:$I$55,5,0)),0%,VLOOKUP(A53,'Données projet'!$A$35:$I$55,5,0)*VLOOKUP('Données projet'!$B$9,Paramètres!$A$1:$I$88,7,0))</f>
        <v>8.6000000000000007E-2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4.1119325616163493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4.1119325616163493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352</v>
      </c>
      <c r="AG53" s="13">
        <f>VLOOKUP(A53,'Données projet'!$A$61:$I$81,9,0)</f>
        <v>17.399999999999999</v>
      </c>
      <c r="AH53" s="13">
        <f t="array" ref="AH53">INDEX(AG:AG,MIN(IF(ISNUMBER(AG53:AG249),ROW(AG53:AG249),"")))</f>
        <v>17.399999999999999</v>
      </c>
      <c r="AI53" s="14">
        <f>IF('Données projet'!$A$62&gt;35,AI52+AH53-AQ52,IF(A53&lt;'Données projet'!$A$62,$AF$205^A53,IF(A53='Données projet'!$A$62,'Données projet'!$B$62,AI52+AH53-AQ52)))</f>
        <v>351.99999999999994</v>
      </c>
      <c r="AJ53" s="14">
        <f>AI53*VLOOKUP('Données projet'!$B$10,Paramètres!$A$1:$I$88,3,0)*VLOOKUP('Données projet'!$B$10,Paramètres!$A$1:$I$88,5,0)</f>
        <v>210.49599999999998</v>
      </c>
      <c r="AK53" s="14">
        <f t="shared" si="35"/>
        <v>52.043959291168463</v>
      </c>
      <c r="AL53" s="22">
        <f t="shared" si="4"/>
        <v>457.25709576545165</v>
      </c>
      <c r="AM53" s="62">
        <f t="shared" si="5"/>
        <v>750.59042909878497</v>
      </c>
      <c r="AN53" s="62">
        <f ca="1">AVERAGE(OFFSET($AM$3,0,0,'Données projet'!$E$10+1,1))-AVERAGE(OFFSET($H$3,0,0,'Données projet'!$E$10+1,1))</f>
        <v>212.1966338656834</v>
      </c>
      <c r="AO53" s="62">
        <f t="shared" si="36"/>
        <v>194.52809733694494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projet'!$B$10,Paramètres!$A$1:$I$88,7,0))</f>
        <v>0.18000000000000002</v>
      </c>
      <c r="AS53" s="17">
        <f>IF(ISNA(VLOOKUP(A53,'Données projet'!$A$61:$I$81,6,0)),0%,VLOOKUP(A53,'Données projet'!$A$61:$I$81,6,0)*VLOOKUP('Données projet'!$B$10,Paramètres!$A$1:$I$88,7,0))</f>
        <v>0.14850000000000002</v>
      </c>
      <c r="AT53" s="17">
        <f>IF(ISNA(VLOOKUP(A53,'Données projet'!$A$61:$I$81,7,0)),0%,VLOOKUP(A53,'Données projet'!$A$61:$I$81,7,0))</f>
        <v>0.27</v>
      </c>
      <c r="AU53" s="23">
        <f>EXP(-LN(2)/35)*AU52+(1-EXP(-LN(2)/35))/(LN(2)/35)*AQ53*AR53*VLOOKUP('Données projet'!$B$10,Paramètres!$A$1:$I$88,3,0)*0.475*44/12</f>
        <v>18.998634030138355</v>
      </c>
      <c r="AV53" s="23">
        <f>EXP(-LN(2)/25)*AV52+(1-EXP(-LN(2)/25))/(LN(2)/25)*Calculateur!AQ53*Calculateur!AS53*VLOOKUP('Données projet'!$B$10,Paramètres!$A$1:$I$88,3,0)*0.475*44/12</f>
        <v>27.938318395188588</v>
      </c>
      <c r="AW53" s="23">
        <f>EXP(-LN(2)/2)*AW52+(1-EXP(-LN(2)/2))/(LN(2)/2)*AQ53*AT53*VLOOKUP('Données projet'!$B$10,Paramètres!$A$1:$I$88,3,0)*0.475*44/12</f>
        <v>11.77211950371796</v>
      </c>
      <c r="AX53" s="23">
        <f t="shared" si="6"/>
        <v>58.709071929044903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2.1607142857142856</v>
      </c>
      <c r="BD53" s="13">
        <f>IF('Données projet'!$A$88&gt;35,BD52+BC53-BL52,IF(A53&lt;'Données projet'!$A$88,$BA$205^A53,IF(A53='Données projet'!$A$88,'Données projet'!$B$88,BD52+BC53-BL52)))</f>
        <v>108.03571428571439</v>
      </c>
      <c r="BE53" s="14">
        <f>BD53*VLOOKUP('Données projet'!$B$11,Paramètres!$A$1:$I$88,3,0)*VLOOKUP('Données projet'!$B$11,Paramètres!$A$1:$I$88,5,0)</f>
        <v>104.49214285714295</v>
      </c>
      <c r="BF53" s="14">
        <f t="shared" si="37"/>
        <v>28.029436393245707</v>
      </c>
      <c r="BG53" s="22">
        <f t="shared" si="7"/>
        <v>230.80841719442694</v>
      </c>
      <c r="BH53" s="62">
        <f t="shared" si="8"/>
        <v>524.14175052776022</v>
      </c>
      <c r="BI53" s="62">
        <f ca="1">AVERAGE(OFFSET($BH$3,0,0,'Données projet'!$E$11+1,1))-AVERAGE(OFFSET($H$3,0,0,'Données projet'!$E$11+1,1))</f>
        <v>84.664683404322943</v>
      </c>
      <c r="BJ53" s="62">
        <f t="shared" si="38"/>
        <v>79.209234837679901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121</v>
      </c>
      <c r="BW53" s="13">
        <f>VLOOKUP(A53,'Données projet'!$A$113:$I$133,9,0)</f>
        <v>5.6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120.9999999999999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14</v>
      </c>
      <c r="CH53" s="17" t="e">
        <f>IF(ISNA(VLOOKUP(A53,'Données projet'!$A$113:$I$133,5,0)),0%,VLOOKUP(A53,'Données projet'!$A$113:$I$133,5,0)*VLOOKUP('Données projet'!$B$12,Paramètres!$A$1:$I$88,7,0))</f>
        <v>#N/A</v>
      </c>
      <c r="CI53" s="17" t="e">
        <f>IF(ISNA(VLOOKUP(A53,'Données projet'!$A$113:$I$133,6,0)),0%,VLOOKUP(A53,'Données projet'!$A$113:$I$133,6,0)*VLOOKUP('Données projet'!$B$12,Paramètres!$A$1:$I$88,7,0))</f>
        <v>#N/A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215.6</v>
      </c>
      <c r="CR53" s="13">
        <f>VLOOKUP(A53,'Données projet'!$A$139:$I$159,9,0)</f>
        <v>8.3500000000000014</v>
      </c>
      <c r="CS53" s="13">
        <f t="array" ref="CS53">INDEX(CR:CR,MIN(IF(ISNUMBER(CR53:CR249),ROW(CR53:CR249),"")))</f>
        <v>8.3500000000000014</v>
      </c>
      <c r="CT53" s="13">
        <f>IF('Données projet'!$A$140&gt;35,CT52+CS53-DB52,IF(A53&lt;'Données projet'!$A$140,$CQ$205^A53,IF(A53='Données projet'!$A$140,'Données projet'!$B$140,CT52+CS53-DB52)))</f>
        <v>215.59999999999994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8</v>
      </c>
      <c r="DB53" s="16">
        <f>IF(ISNA(VLOOKUP(A53,'Données projet'!$A$139:$I$159,4,0)),0,VLOOKUP(A53,'Données projet'!$A$139:$I$159,4,0))</f>
        <v>215.6</v>
      </c>
      <c r="DC53" s="17" t="e">
        <f>IF(ISNA(VLOOKUP(A53,'Données projet'!$A$139:$I$159,5,0)),0%,VLOOKUP(A53,'Données projet'!$A$139:$I$159,5,0)*VLOOKUP('Données projet'!$B$13,Paramètres!$A$1:$I$88,7,0))</f>
        <v>#N/A</v>
      </c>
      <c r="DD53" s="17" t="e">
        <f>IF(ISNA(VLOOKUP(A53,'Données projet'!$A$139:$I$159,6,0)),0%,VLOOKUP(A53,'Données projet'!$A$139:$I$159,6,0)*VLOOKUP('Données projet'!$B$13,Paramètres!$A$1:$I$88,7,0))</f>
        <v>#N/A</v>
      </c>
      <c r="DE53" s="17">
        <f>IF(ISNA(VLOOKUP(A53,'Données projet'!$A$139:$I$159,7,0)),0%,VLOOKUP(A53,'Données projet'!$A$139:$I$159,7,0))</f>
        <v>0.09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7.875</v>
      </c>
      <c r="N54" s="14">
        <f>IF('Données projet'!$A$36&gt;35,N53+M54-V53,IF(A54&lt;'Données projet'!$A$36,$K$205^A54,IF(A54='Données projet'!$A$36,'Données projet'!$B$36,N53+M54-V53)))</f>
        <v>123.875</v>
      </c>
      <c r="O54" s="14">
        <f>N54*VLOOKUP('Données projet'!$B$9,Paramètres!$A$1:$I$88,3,0)*VLOOKUP('Données projet'!$B$9,Paramètres!$A$1:$I$88,5,0)</f>
        <v>112.0821</v>
      </c>
      <c r="P54" s="14">
        <f t="shared" si="33"/>
        <v>29.821006931508371</v>
      </c>
      <c r="Q54" s="22">
        <f t="shared" si="53"/>
        <v>247.14791123904374</v>
      </c>
      <c r="R54" s="62">
        <f t="shared" si="0"/>
        <v>540.48124457237702</v>
      </c>
      <c r="S54" s="62">
        <f ca="1">AVERAGE(OFFSET($R$3,0,0,'Données projet'!$E$9+1,1))-AVERAGE(OFFSET($H$3,0,0,'Données projet'!$E$9+1,1))</f>
        <v>182.76154982630777</v>
      </c>
      <c r="T54" s="62">
        <f t="shared" si="34"/>
        <v>119.92190922866632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4.0313000721142682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4.0313000721142682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316.62499999999994</v>
      </c>
      <c r="AJ54" s="14">
        <f>AI54*VLOOKUP('Données projet'!$B$10,Paramètres!$A$1:$I$88,3,0)*VLOOKUP('Données projet'!$B$10,Paramètres!$A$1:$I$88,5,0)</f>
        <v>189.34174999999999</v>
      </c>
      <c r="AK54" s="14">
        <f t="shared" si="35"/>
        <v>47.394393740797923</v>
      </c>
      <c r="AL54" s="22">
        <f t="shared" si="4"/>
        <v>412.31545034855634</v>
      </c>
      <c r="AM54" s="62">
        <f t="shared" si="5"/>
        <v>705.64878368188965</v>
      </c>
      <c r="AN54" s="62">
        <f ca="1">AVERAGE(OFFSET($AM$3,0,0,'Données projet'!$E$10+1,1))-AVERAGE(OFFSET($H$3,0,0,'Données projet'!$E$10+1,1))</f>
        <v>212.1966338656834</v>
      </c>
      <c r="AO54" s="62">
        <f t="shared" si="36"/>
        <v>194.52809733694494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18.626082404829877</v>
      </c>
      <c r="AV54" s="23">
        <f>EXP(-LN(2)/25)*AV53+(1-EXP(-LN(2)/25))/(LN(2)/25)*Calculateur!AQ54*Calculateur!AS54*VLOOKUP('Données projet'!$B$10,Paramètres!$A$1:$I$88,3,0)*0.475*44/12</f>
        <v>27.174343609459847</v>
      </c>
      <c r="AW54" s="23">
        <f>EXP(-LN(2)/2)*AW53+(1-EXP(-LN(2)/2))/(LN(2)/2)*AQ54*AT54*VLOOKUP('Données projet'!$B$10,Paramètres!$A$1:$I$88,3,0)*0.475*44/12</f>
        <v>8.3241455300173843</v>
      </c>
      <c r="AX54" s="23">
        <f t="shared" si="6"/>
        <v>54.124571544307109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2.1607142857142856</v>
      </c>
      <c r="BD54" s="13">
        <f>IF('Données projet'!$A$88&gt;35,BD53+BC54-BL53,IF(A54&lt;'Données projet'!$A$88,$BA$205^A54,IF(A54='Données projet'!$A$88,'Données projet'!$B$88,BD53+BC54-BL53)))</f>
        <v>110.19642857142868</v>
      </c>
      <c r="BE54" s="14">
        <f>BD54*VLOOKUP('Données projet'!$B$11,Paramètres!$A$1:$I$88,3,0)*VLOOKUP('Données projet'!$B$11,Paramètres!$A$1:$I$88,5,0)</f>
        <v>106.58198571428582</v>
      </c>
      <c r="BF54" s="14">
        <f t="shared" si="37"/>
        <v>28.524200268227315</v>
      </c>
      <c r="BG54" s="22">
        <f t="shared" si="7"/>
        <v>235.30994058621036</v>
      </c>
      <c r="BH54" s="62">
        <f t="shared" si="8"/>
        <v>528.64327391954362</v>
      </c>
      <c r="BI54" s="62">
        <f ca="1">AVERAGE(OFFSET($BH$3,0,0,'Données projet'!$E$11+1,1))-AVERAGE(OFFSET($H$3,0,0,'Données projet'!$E$11+1,1))</f>
        <v>84.664683404322943</v>
      </c>
      <c r="BJ54" s="62">
        <f t="shared" si="38"/>
        <v>79.209234837679901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</v>
      </c>
      <c r="BY54" s="13">
        <f>IF('Données projet'!$A$114&gt;35,BY53+BX54-CG53,IF(A54&lt;'Données projet'!$A$114,$BV$205^A54,IF(A54='Données projet'!$A$114,'Données projet'!$B$114,BY53+BX54-CG53)))</f>
        <v>112.59999999999989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-5.6843418860808015E-14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7.875</v>
      </c>
      <c r="N55" s="14">
        <f>IF('Données projet'!$A$36&gt;35,N54+M55-V54,IF(A55&lt;'Données projet'!$A$36,$K$205^A55,IF(A55='Données projet'!$A$36,'Données projet'!$B$36,N54+M55-V54)))</f>
        <v>131.75</v>
      </c>
      <c r="O55" s="14">
        <f>N55*VLOOKUP('Données projet'!$B$9,Paramètres!$A$1:$I$88,3,0)*VLOOKUP('Données projet'!$B$9,Paramètres!$A$1:$I$88,5,0)</f>
        <v>119.20739999999999</v>
      </c>
      <c r="P55" s="14">
        <f t="shared" si="33"/>
        <v>31.490067122235608</v>
      </c>
      <c r="Q55" s="22">
        <f t="shared" si="53"/>
        <v>262.46475523789366</v>
      </c>
      <c r="R55" s="62">
        <f t="shared" si="0"/>
        <v>555.79808857122703</v>
      </c>
      <c r="S55" s="62">
        <f ca="1">AVERAGE(OFFSET($R$3,0,0,'Données projet'!$E$9+1,1))-AVERAGE(OFFSET($H$3,0,0,'Données projet'!$E$9+1,1))</f>
        <v>182.76154982630777</v>
      </c>
      <c r="T55" s="62">
        <f t="shared" si="34"/>
        <v>119.92190922866632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3.9522487365503602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3.9522487365503602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334.24999999999994</v>
      </c>
      <c r="AJ55" s="14">
        <f>AI55*VLOOKUP('Données projet'!$B$10,Paramètres!$A$1:$I$88,3,0)*VLOOKUP('Données projet'!$B$10,Paramètres!$A$1:$I$88,5,0)</f>
        <v>199.88149999999996</v>
      </c>
      <c r="AK55" s="14">
        <f t="shared" si="35"/>
        <v>49.71812411377941</v>
      </c>
      <c r="AL55" s="22">
        <f t="shared" si="4"/>
        <v>434.71934533149914</v>
      </c>
      <c r="AM55" s="62">
        <f t="shared" si="5"/>
        <v>728.05267866483246</v>
      </c>
      <c r="AN55" s="62">
        <f ca="1">AVERAGE(OFFSET($AM$3,0,0,'Données projet'!$E$10+1,1))-AVERAGE(OFFSET($H$3,0,0,'Données projet'!$E$10+1,1))</f>
        <v>212.1966338656834</v>
      </c>
      <c r="AO55" s="62">
        <f t="shared" si="36"/>
        <v>194.52809733694494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18.260836289659643</v>
      </c>
      <c r="AV55" s="23">
        <f>EXP(-LN(2)/25)*AV54+(1-EXP(-LN(2)/25))/(LN(2)/25)*Calculateur!AQ55*Calculateur!AS55*VLOOKUP('Données projet'!$B$10,Paramètres!$A$1:$I$88,3,0)*0.475*44/12</f>
        <v>26.431259754422545</v>
      </c>
      <c r="AW55" s="23">
        <f>EXP(-LN(2)/2)*AW54+(1-EXP(-LN(2)/2))/(LN(2)/2)*AQ55*AT55*VLOOKUP('Données projet'!$B$10,Paramètres!$A$1:$I$88,3,0)*0.475*44/12</f>
        <v>5.8860597518589808</v>
      </c>
      <c r="AX55" s="23">
        <f t="shared" si="6"/>
        <v>50.578155795941171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2.1607142857142856</v>
      </c>
      <c r="BD55" s="13">
        <f>IF('Données projet'!$A$88&gt;35,BD54+BC55-BL54,IF(A55&lt;'Données projet'!$A$88,$BA$205^A55,IF(A55='Données projet'!$A$88,'Données projet'!$B$88,BD54+BC55-BL54)))</f>
        <v>112.35714285714297</v>
      </c>
      <c r="BE55" s="14">
        <f>BD55*VLOOKUP('Données projet'!$B$11,Paramètres!$A$1:$I$88,3,0)*VLOOKUP('Données projet'!$B$11,Paramètres!$A$1:$I$88,5,0)</f>
        <v>108.67182857142869</v>
      </c>
      <c r="BF55" s="14">
        <f t="shared" si="37"/>
        <v>29.017836128682298</v>
      </c>
      <c r="BG55" s="22">
        <f t="shared" si="7"/>
        <v>239.80949935269334</v>
      </c>
      <c r="BH55" s="62">
        <f t="shared" si="8"/>
        <v>533.14283268602662</v>
      </c>
      <c r="BI55" s="62">
        <f ca="1">AVERAGE(OFFSET($BH$3,0,0,'Données projet'!$E$11+1,1))-AVERAGE(OFFSET($H$3,0,0,'Données projet'!$E$11+1,1))</f>
        <v>84.664683404322943</v>
      </c>
      <c r="BJ55" s="62">
        <f t="shared" si="38"/>
        <v>79.209234837679901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</v>
      </c>
      <c r="BY55" s="13">
        <f>IF('Données projet'!$A$114&gt;35,BY54+BX55-CG54,IF(A55&lt;'Données projet'!$A$114,$BV$205^A55,IF(A55='Données projet'!$A$114,'Données projet'!$B$114,BY54+BX55-CG54)))</f>
        <v>118.19999999999989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-5.6843418860808015E-14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7.875</v>
      </c>
      <c r="N56" s="14">
        <f>IF('Données projet'!$A$36&gt;35,N55+M56-V55,IF(A56&lt;'Données projet'!$A$36,$K$205^A56,IF(A56='Données projet'!$A$36,'Données projet'!$B$36,N55+M56-V55)))</f>
        <v>139.625</v>
      </c>
      <c r="O56" s="14">
        <f>N56*VLOOKUP('Données projet'!$B$9,Paramètres!$A$1:$I$88,3,0)*VLOOKUP('Données projet'!$B$9,Paramètres!$A$1:$I$88,5,0)</f>
        <v>126.33269999999999</v>
      </c>
      <c r="P56" s="14">
        <f t="shared" si="33"/>
        <v>33.147547860677506</v>
      </c>
      <c r="Q56" s="22">
        <f t="shared" si="53"/>
        <v>277.7614316906799</v>
      </c>
      <c r="R56" s="62">
        <f t="shared" si="0"/>
        <v>571.09476502401321</v>
      </c>
      <c r="S56" s="62">
        <f ca="1">AVERAGE(OFFSET($R$3,0,0,'Données projet'!$E$9+1,1))-AVERAGE(OFFSET($H$3,0,0,'Données projet'!$E$9+1,1))</f>
        <v>182.76154982630777</v>
      </c>
      <c r="T56" s="62">
        <f t="shared" si="34"/>
        <v>119.92190922866632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3.8747475494603068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3.8747475494603068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351.87499999999994</v>
      </c>
      <c r="AJ56" s="14">
        <f>AI56*VLOOKUP('Données projet'!$B$10,Paramètres!$A$1:$I$88,3,0)*VLOOKUP('Données projet'!$B$10,Paramètres!$A$1:$I$88,5,0)</f>
        <v>210.42124999999999</v>
      </c>
      <c r="AK56" s="14">
        <f t="shared" si="35"/>
        <v>52.027628682866947</v>
      </c>
      <c r="AL56" s="22">
        <f t="shared" si="4"/>
        <v>457.09846370599325</v>
      </c>
      <c r="AM56" s="62">
        <f t="shared" si="5"/>
        <v>750.43179703932651</v>
      </c>
      <c r="AN56" s="62">
        <f ca="1">AVERAGE(OFFSET($AM$3,0,0,'Données projet'!$E$10+1,1))-AVERAGE(OFFSET($H$3,0,0,'Données projet'!$E$10+1,1))</f>
        <v>212.1966338656834</v>
      </c>
      <c r="AO56" s="62">
        <f t="shared" si="36"/>
        <v>194.52809733694494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17.902752428029768</v>
      </c>
      <c r="AV56" s="23">
        <f>EXP(-LN(2)/25)*AV55+(1-EXP(-LN(2)/25))/(LN(2)/25)*Calculateur!AQ56*Calculateur!AS56*VLOOKUP('Données projet'!$B$10,Paramètres!$A$1:$I$88,3,0)*0.475*44/12</f>
        <v>25.708495566478319</v>
      </c>
      <c r="AW56" s="23">
        <f>EXP(-LN(2)/2)*AW55+(1-EXP(-LN(2)/2))/(LN(2)/2)*AQ56*AT56*VLOOKUP('Données projet'!$B$10,Paramètres!$A$1:$I$88,3,0)*0.475*44/12</f>
        <v>4.1620727650086931</v>
      </c>
      <c r="AX56" s="23">
        <f t="shared" si="6"/>
        <v>47.773320759516785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2.1607142857142856</v>
      </c>
      <c r="BD56" s="13">
        <f>IF('Données projet'!$A$88&gt;35,BD55+BC56-BL55,IF(A56&lt;'Données projet'!$A$88,$BA$205^A56,IF(A56='Données projet'!$A$88,'Données projet'!$B$88,BD55+BC56-BL55)))</f>
        <v>114.51785714285727</v>
      </c>
      <c r="BE56" s="14">
        <f>BD56*VLOOKUP('Données projet'!$B$11,Paramètres!$A$1:$I$88,3,0)*VLOOKUP('Données projet'!$B$11,Paramètres!$A$1:$I$88,5,0)</f>
        <v>110.76167142857156</v>
      </c>
      <c r="BF56" s="14">
        <f t="shared" si="37"/>
        <v>29.510368168138548</v>
      </c>
      <c r="BG56" s="22">
        <f t="shared" si="7"/>
        <v>244.30713563093676</v>
      </c>
      <c r="BH56" s="62">
        <f t="shared" si="8"/>
        <v>537.6404689642701</v>
      </c>
      <c r="BI56" s="62">
        <f ca="1">AVERAGE(OFFSET($BH$3,0,0,'Données projet'!$E$11+1,1))-AVERAGE(OFFSET($H$3,0,0,'Données projet'!$E$11+1,1))</f>
        <v>84.664683404322943</v>
      </c>
      <c r="BJ56" s="62">
        <f t="shared" si="38"/>
        <v>79.209234837679901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0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</v>
      </c>
      <c r="BY56" s="13">
        <f>IF('Données projet'!$A$114&gt;35,BY55+BX56-CG55,IF(A56&lt;'Données projet'!$A$114,$BV$205^A56,IF(A56='Données projet'!$A$114,'Données projet'!$B$114,BY55+BX56-CG55)))</f>
        <v>123.79999999999988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-5.6843418860808015E-14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7.875</v>
      </c>
      <c r="N57" s="14">
        <f>IF('Données projet'!$A$36&gt;35,N56+M57-V56,IF(A57&lt;'Données projet'!$A$36,$K$205^A57,IF(A57='Données projet'!$A$36,'Données projet'!$B$36,N56+M57-V56)))</f>
        <v>147.5</v>
      </c>
      <c r="O57" s="14">
        <f>N57*VLOOKUP('Données projet'!$B$9,Paramètres!$A$1:$I$88,3,0)*VLOOKUP('Données projet'!$B$9,Paramètres!$A$1:$I$88,5,0)</f>
        <v>133.458</v>
      </c>
      <c r="P57" s="14">
        <f t="shared" si="33"/>
        <v>34.794176665003405</v>
      </c>
      <c r="Q57" s="22">
        <f t="shared" si="53"/>
        <v>293.03920769154757</v>
      </c>
      <c r="R57" s="62">
        <f t="shared" si="0"/>
        <v>586.37254102488089</v>
      </c>
      <c r="S57" s="62">
        <f ca="1">AVERAGE(OFFSET($R$3,0,0,'Données projet'!$E$9+1,1))-AVERAGE(OFFSET($H$3,0,0,'Données projet'!$E$9+1,1))</f>
        <v>182.76154982630777</v>
      </c>
      <c r="T57" s="62">
        <f t="shared" si="34"/>
        <v>119.92190922866632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3.7987661133780328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3.7987661133780328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369.49999999999994</v>
      </c>
      <c r="AJ57" s="14">
        <f>AI57*VLOOKUP('Données projet'!$B$10,Paramètres!$A$1:$I$88,3,0)*VLOOKUP('Données projet'!$B$10,Paramètres!$A$1:$I$88,5,0)</f>
        <v>220.96099999999996</v>
      </c>
      <c r="AK57" s="14">
        <f t="shared" si="35"/>
        <v>54.323701308314696</v>
      </c>
      <c r="AL57" s="22">
        <f t="shared" si="4"/>
        <v>479.45418811198141</v>
      </c>
      <c r="AM57" s="62">
        <f t="shared" si="5"/>
        <v>772.78752144531472</v>
      </c>
      <c r="AN57" s="62">
        <f ca="1">AVERAGE(OFFSET($AM$3,0,0,'Données projet'!$E$10+1,1))-AVERAGE(OFFSET($H$3,0,0,'Données projet'!$E$10+1,1))</f>
        <v>212.1966338656834</v>
      </c>
      <c r="AO57" s="62">
        <f t="shared" si="36"/>
        <v>194.52809733694494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17.551690372516862</v>
      </c>
      <c r="AV57" s="23">
        <f>EXP(-LN(2)/25)*AV56+(1-EXP(-LN(2)/25))/(LN(2)/25)*Calculateur!AQ57*Calculateur!AS57*VLOOKUP('Données projet'!$B$10,Paramètres!$A$1:$I$88,3,0)*0.475*44/12</f>
        <v>25.005495403261946</v>
      </c>
      <c r="AW57" s="23">
        <f>EXP(-LN(2)/2)*AW56+(1-EXP(-LN(2)/2))/(LN(2)/2)*AQ57*AT57*VLOOKUP('Données projet'!$B$10,Paramètres!$A$1:$I$88,3,0)*0.475*44/12</f>
        <v>2.9430298759294908</v>
      </c>
      <c r="AX57" s="23">
        <f t="shared" si="6"/>
        <v>45.500215651708295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2.1607142857142856</v>
      </c>
      <c r="BD57" s="13">
        <f>IF('Données projet'!$A$88&gt;35,BD56+BC57-BL56,IF(A57&lt;'Données projet'!$A$88,$BA$205^A57,IF(A57='Données projet'!$A$88,'Données projet'!$B$88,BD56+BC57-BL56)))</f>
        <v>116.67857142857156</v>
      </c>
      <c r="BE57" s="14">
        <f>BD57*VLOOKUP('Données projet'!$B$11,Paramètres!$A$1:$I$88,3,0)*VLOOKUP('Données projet'!$B$11,Paramètres!$A$1:$I$88,5,0)</f>
        <v>112.85151428571442</v>
      </c>
      <c r="BF57" s="14">
        <f t="shared" si="37"/>
        <v>30.00181961491467</v>
      </c>
      <c r="BG57" s="22">
        <f t="shared" si="7"/>
        <v>248.80288987692896</v>
      </c>
      <c r="BH57" s="62">
        <f t="shared" si="8"/>
        <v>542.1362232102623</v>
      </c>
      <c r="BI57" s="62">
        <f ca="1">AVERAGE(OFFSET($BH$3,0,0,'Données projet'!$E$11+1,1))-AVERAGE(OFFSET($H$3,0,0,'Données projet'!$E$11+1,1))</f>
        <v>84.664683404322943</v>
      </c>
      <c r="BJ57" s="62">
        <f t="shared" si="38"/>
        <v>79.209234837679901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0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</v>
      </c>
      <c r="BY57" s="13">
        <f>IF('Données projet'!$A$114&gt;35,BY56+BX57-CG56,IF(A57&lt;'Données projet'!$A$114,$BV$205^A57,IF(A57='Données projet'!$A$114,'Données projet'!$B$114,BY56+BX57-CG56)))</f>
        <v>129.39999999999989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-5.6843418860808015E-14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7.875</v>
      </c>
      <c r="N58" s="14">
        <f>IF('Données projet'!$A$36&gt;35,N57+M58-V57,IF(A58&lt;'Données projet'!$A$36,$K$205^A58,IF(A58='Données projet'!$A$36,'Données projet'!$B$36,N57+M58-V57)))</f>
        <v>155.375</v>
      </c>
      <c r="O58" s="14">
        <f>N58*VLOOKUP('Données projet'!$B$9,Paramètres!$A$1:$I$88,3,0)*VLOOKUP('Données projet'!$B$9,Paramètres!$A$1:$I$88,5,0)</f>
        <v>140.58329999999998</v>
      </c>
      <c r="P58" s="14">
        <f t="shared" si="33"/>
        <v>36.430598981754322</v>
      </c>
      <c r="Q58" s="22">
        <f t="shared" si="53"/>
        <v>308.29920739322205</v>
      </c>
      <c r="R58" s="62">
        <f t="shared" si="0"/>
        <v>601.63254072655536</v>
      </c>
      <c r="S58" s="62">
        <f ca="1">AVERAGE(OFFSET($R$3,0,0,'Données projet'!$E$9+1,1))-AVERAGE(OFFSET($H$3,0,0,'Données projet'!$E$9+1,1))</f>
        <v>182.76154982630777</v>
      </c>
      <c r="T58" s="62">
        <f t="shared" si="34"/>
        <v>119.92190922866632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3.7242746269132323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3.7242746269132323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387.12499999999994</v>
      </c>
      <c r="AJ58" s="14">
        <f>AI58*VLOOKUP('Données projet'!$B$10,Paramètres!$A$1:$I$88,3,0)*VLOOKUP('Données projet'!$B$10,Paramètres!$A$1:$I$88,5,0)</f>
        <v>231.50074999999998</v>
      </c>
      <c r="AK58" s="14">
        <f t="shared" si="35"/>
        <v>56.607055837426749</v>
      </c>
      <c r="AL58" s="22">
        <f t="shared" si="4"/>
        <v>501.78776183351812</v>
      </c>
      <c r="AM58" s="62">
        <f t="shared" si="5"/>
        <v>795.12109516685143</v>
      </c>
      <c r="AN58" s="62">
        <f ca="1">AVERAGE(OFFSET($AM$3,0,0,'Données projet'!$E$10+1,1))-AVERAGE(OFFSET($H$3,0,0,'Données projet'!$E$10+1,1))</f>
        <v>212.1966338656834</v>
      </c>
      <c r="AO58" s="62">
        <f t="shared" si="36"/>
        <v>194.52809733694494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17.207512429785858</v>
      </c>
      <c r="AV58" s="23">
        <f>EXP(-LN(2)/25)*AV57+(1-EXP(-LN(2)/25))/(LN(2)/25)*Calculateur!AQ58*Calculateur!AS58*VLOOKUP('Données projet'!$B$10,Paramètres!$A$1:$I$88,3,0)*0.475*44/12</f>
        <v>24.321718816477897</v>
      </c>
      <c r="AW58" s="23">
        <f>EXP(-LN(2)/2)*AW57+(1-EXP(-LN(2)/2))/(LN(2)/2)*AQ58*AT58*VLOOKUP('Données projet'!$B$10,Paramètres!$A$1:$I$88,3,0)*0.475*44/12</f>
        <v>2.0810363825043465</v>
      </c>
      <c r="AX58" s="23">
        <f t="shared" si="6"/>
        <v>43.610267628768099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2.1607142857142856</v>
      </c>
      <c r="BD58" s="13">
        <f>IF('Données projet'!$A$88&gt;35,BD57+BC58-BL57,IF(A58&lt;'Données projet'!$A$88,$BA$205^A58,IF(A58='Données projet'!$A$88,'Données projet'!$B$88,BD57+BC58-BL57)))</f>
        <v>118.83928571428585</v>
      </c>
      <c r="BE58" s="14">
        <f>BD58*VLOOKUP('Données projet'!$B$11,Paramètres!$A$1:$I$88,3,0)*VLOOKUP('Données projet'!$B$11,Paramètres!$A$1:$I$88,5,0)</f>
        <v>114.94135714285729</v>
      </c>
      <c r="BF58" s="14">
        <f t="shared" si="37"/>
        <v>30.492212787776054</v>
      </c>
      <c r="BG58" s="22">
        <f t="shared" si="7"/>
        <v>253.29680096251968</v>
      </c>
      <c r="BH58" s="62">
        <f t="shared" si="8"/>
        <v>546.63013429585294</v>
      </c>
      <c r="BI58" s="62">
        <f ca="1">AVERAGE(OFFSET($BH$3,0,0,'Données projet'!$E$11+1,1))-AVERAGE(OFFSET($H$3,0,0,'Données projet'!$E$11+1,1))</f>
        <v>84.664683404322943</v>
      </c>
      <c r="BJ58" s="62">
        <f t="shared" si="38"/>
        <v>79.209234837679901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0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135</v>
      </c>
      <c r="BW58" s="13">
        <f>VLOOKUP(A58,'Données projet'!$A$113:$I$133,9,0)</f>
        <v>5.6</v>
      </c>
      <c r="BX58" s="13">
        <f t="array" ref="BX58">INDEX(BW:BW,MIN(IF(ISNUMBER(BW58:BW254),ROW(BW58:BW254),"")))</f>
        <v>5.6</v>
      </c>
      <c r="BY58" s="13">
        <f>IF('Données projet'!$A$114&gt;35,BY57+BX58-CG57,IF(A58&lt;'Données projet'!$A$114,$BV$205^A58,IF(A58='Données projet'!$A$114,'Données projet'!$B$114,BY57+BX58-CG57)))</f>
        <v>134.99999999999989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14</v>
      </c>
      <c r="CH58" s="17" t="e">
        <f>IF(ISNA(VLOOKUP(A58,'Données projet'!$A$113:$I$133,5,0)),0%,VLOOKUP(A58,'Données projet'!$A$113:$I$133,5,0)*VLOOKUP('Données projet'!$B$12,Paramètres!$A$1:$I$88,7,0))</f>
        <v>#N/A</v>
      </c>
      <c r="CI58" s="17" t="e">
        <f>IF(ISNA(VLOOKUP(A58,'Données projet'!$A$113:$I$133,6,0)),0%,VLOOKUP(A58,'Données projet'!$A$113:$I$133,6,0)*VLOOKUP('Données projet'!$B$12,Paramètres!$A$1:$I$88,7,0))</f>
        <v>#N/A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-5.6843418860808015E-14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7.875</v>
      </c>
      <c r="N59" s="14">
        <f>IF('Données projet'!$A$36&gt;35,N58+M59-V58,IF(A59&lt;'Données projet'!$A$36,$K$205^A59,IF(A59='Données projet'!$A$36,'Données projet'!$B$36,N58+M59-V58)))</f>
        <v>163.25</v>
      </c>
      <c r="O59" s="14">
        <f>N59*VLOOKUP('Données projet'!$B$9,Paramètres!$A$1:$I$88,3,0)*VLOOKUP('Données projet'!$B$9,Paramètres!$A$1:$I$88,5,0)</f>
        <v>147.70859999999999</v>
      </c>
      <c r="P59" s="14">
        <f t="shared" si="33"/>
        <v>38.057391134324966</v>
      </c>
      <c r="Q59" s="22">
        <f t="shared" si="53"/>
        <v>323.54243455894931</v>
      </c>
      <c r="R59" s="62">
        <f t="shared" si="0"/>
        <v>616.87576789228262</v>
      </c>
      <c r="S59" s="62">
        <f ca="1">AVERAGE(OFFSET($R$3,0,0,'Données projet'!$E$9+1,1))-AVERAGE(OFFSET($H$3,0,0,'Données projet'!$E$9+1,1))</f>
        <v>182.76154982630777</v>
      </c>
      <c r="T59" s="62">
        <f t="shared" si="34"/>
        <v>119.92190922866632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3.6512438730626862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3.6512438730626862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404.74999999999994</v>
      </c>
      <c r="AJ59" s="14">
        <f>AI59*VLOOKUP('Données projet'!$B$10,Paramètres!$A$1:$I$88,3,0)*VLOOKUP('Données projet'!$B$10,Paramètres!$A$1:$I$88,5,0)</f>
        <v>242.04049999999998</v>
      </c>
      <c r="AK59" s="14">
        <f t="shared" si="35"/>
        <v>58.878337443371535</v>
      </c>
      <c r="AL59" s="22">
        <f t="shared" si="4"/>
        <v>524.10030854720526</v>
      </c>
      <c r="AM59" s="62">
        <f t="shared" si="5"/>
        <v>817.43364188053852</v>
      </c>
      <c r="AN59" s="62">
        <f ca="1">AVERAGE(OFFSET($AM$3,0,0,'Données projet'!$E$10+1,1))-AVERAGE(OFFSET($H$3,0,0,'Données projet'!$E$10+1,1))</f>
        <v>212.1966338656834</v>
      </c>
      <c r="AO59" s="62">
        <f t="shared" si="36"/>
        <v>194.52809733694494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16.870083606583989</v>
      </c>
      <c r="AV59" s="23">
        <f>EXP(-LN(2)/25)*AV58+(1-EXP(-LN(2)/25))/(LN(2)/25)*Calculateur!AQ59*Calculateur!AS59*VLOOKUP('Données projet'!$B$10,Paramètres!$A$1:$I$88,3,0)*0.475*44/12</f>
        <v>23.656640136417703</v>
      </c>
      <c r="AW59" s="23">
        <f>EXP(-LN(2)/2)*AW58+(1-EXP(-LN(2)/2))/(LN(2)/2)*AQ59*AT59*VLOOKUP('Données projet'!$B$10,Paramètres!$A$1:$I$88,3,0)*0.475*44/12</f>
        <v>1.4715149379647454</v>
      </c>
      <c r="AX59" s="23">
        <f t="shared" si="6"/>
        <v>41.998238680966445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121</v>
      </c>
      <c r="BB59" s="13">
        <f>VLOOKUP(A59,'Données projet'!$A$87:$I$107,9,0)</f>
        <v>2.1607142857142856</v>
      </c>
      <c r="BC59" s="13">
        <f t="array" ref="BC59">INDEX(BB:BB,MIN(IF(ISNUMBER(BB59:BB255),ROW(BB59:BB255),"")))</f>
        <v>2.1607142857142856</v>
      </c>
      <c r="BD59" s="13">
        <f>IF('Données projet'!$A$88&gt;35,BD58+BC59-BL58,IF(A59&lt;'Données projet'!$A$88,$BA$205^A59,IF(A59='Données projet'!$A$88,'Données projet'!$B$88,BD58+BC59-BL58)))</f>
        <v>121.00000000000014</v>
      </c>
      <c r="BE59" s="14">
        <f>BD59*VLOOKUP('Données projet'!$B$11,Paramètres!$A$1:$I$88,3,0)*VLOOKUP('Données projet'!$B$11,Paramètres!$A$1:$I$88,5,0)</f>
        <v>117.03120000000013</v>
      </c>
      <c r="BF59" s="14">
        <f t="shared" si="37"/>
        <v>30.98156914742858</v>
      </c>
      <c r="BG59" s="22">
        <f t="shared" si="7"/>
        <v>257.78890626510503</v>
      </c>
      <c r="BH59" s="62">
        <f t="shared" si="8"/>
        <v>551.12223959843834</v>
      </c>
      <c r="BI59" s="62">
        <f ca="1">AVERAGE(OFFSET($BH$3,0,0,'Données projet'!$E$11+1,1))-AVERAGE(OFFSET($H$3,0,0,'Données projet'!$E$11+1,1))</f>
        <v>84.664683404322943</v>
      </c>
      <c r="BJ59" s="62">
        <f t="shared" si="38"/>
        <v>79.209234837679901</v>
      </c>
      <c r="BK59" s="16">
        <f>IF(ISNA(VLOOKUP(A59,'Données projet'!$A$87:$I$107,3,0)),0,VLOOKUP(A59,'Données projet'!$A$87:$I$107,3,0))</f>
        <v>1</v>
      </c>
      <c r="BL59" s="16">
        <f>IF(ISNA(VLOOKUP(A59,'Données projet'!$A$87:$I$107,4,0)),0,VLOOKUP(A59,'Données projet'!$A$87:$I$107,4,0))</f>
        <v>28</v>
      </c>
      <c r="BM59" s="17">
        <f>IF(ISNA(VLOOKUP(A59,'Données projet'!$A$87:$I$107,5,0)),0%,VLOOKUP(A59,'Données projet'!$A$87:$I$107,5,0)*VLOOKUP('Données projet'!$B$11,Paramètres!$A$1:$I$88,7,0))</f>
        <v>4.3000000000000003E-2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1.2873299851054603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1.2873299851054603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5.4</v>
      </c>
      <c r="BY59" s="13">
        <f>IF('Données projet'!$A$114&gt;35,BY58+BX59-CG58,IF(A59&lt;'Données projet'!$A$114,$BV$205^A59,IF(A59='Données projet'!$A$114,'Données projet'!$B$114,BY58+BX59-CG58)))</f>
        <v>126.39999999999989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-5.6843418860808015E-14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7.875</v>
      </c>
      <c r="N60" s="14">
        <f>IF('Données projet'!$A$36&gt;35,N59+M60-V59,IF(A60&lt;'Données projet'!$A$36,$K$205^A60,IF(A60='Données projet'!$A$36,'Données projet'!$B$36,N59+M60-V59)))</f>
        <v>171.125</v>
      </c>
      <c r="O60" s="14">
        <f>N60*VLOOKUP('Données projet'!$B$9,Paramètres!$A$1:$I$88,3,0)*VLOOKUP('Données projet'!$B$9,Paramètres!$A$1:$I$88,5,0)</f>
        <v>154.8339</v>
      </c>
      <c r="P60" s="14">
        <f t="shared" si="33"/>
        <v>39.675070702121111</v>
      </c>
      <c r="Q60" s="22">
        <f t="shared" si="53"/>
        <v>338.76979063952757</v>
      </c>
      <c r="R60" s="62">
        <f t="shared" si="0"/>
        <v>632.10312397286089</v>
      </c>
      <c r="S60" s="62">
        <f ca="1">AVERAGE(OFFSET($R$3,0,0,'Données projet'!$E$9+1,1))-AVERAGE(OFFSET($H$3,0,0,'Données projet'!$E$9+1,1))</f>
        <v>182.76154982630777</v>
      </c>
      <c r="T60" s="62">
        <f t="shared" si="34"/>
        <v>119.92190922866632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3.5796452077507874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3.5796452077507874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422.37499999999994</v>
      </c>
      <c r="AJ60" s="14">
        <f>AI60*VLOOKUP('Données projet'!$B$10,Paramètres!$A$1:$I$88,3,0)*VLOOKUP('Données projet'!$B$10,Paramètres!$A$1:$I$88,5,0)</f>
        <v>252.58025000000001</v>
      </c>
      <c r="AK60" s="14">
        <f t="shared" si="35"/>
        <v>61.138131933251593</v>
      </c>
      <c r="AL60" s="22">
        <f t="shared" si="4"/>
        <v>546.39284853374647</v>
      </c>
      <c r="AM60" s="62">
        <f t="shared" si="5"/>
        <v>839.72618186707973</v>
      </c>
      <c r="AN60" s="62">
        <f ca="1">AVERAGE(OFFSET($AM$3,0,0,'Données projet'!$E$10+1,1))-AVERAGE(OFFSET($H$3,0,0,'Données projet'!$E$10+1,1))</f>
        <v>212.1966338656834</v>
      </c>
      <c r="AO60" s="62">
        <f t="shared" si="36"/>
        <v>194.52809733694494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16.53927155679385</v>
      </c>
      <c r="AV60" s="23">
        <f>EXP(-LN(2)/25)*AV59+(1-EXP(-LN(2)/25))/(LN(2)/25)*Calculateur!AQ60*Calculateur!AS60*VLOOKUP('Données projet'!$B$10,Paramètres!$A$1:$I$88,3,0)*0.475*44/12</f>
        <v>23.009748067838725</v>
      </c>
      <c r="AW60" s="23">
        <f>EXP(-LN(2)/2)*AW59+(1-EXP(-LN(2)/2))/(LN(2)/2)*AQ60*AT60*VLOOKUP('Données projet'!$B$10,Paramètres!$A$1:$I$88,3,0)*0.475*44/12</f>
        <v>1.0405181912521733</v>
      </c>
      <c r="AX60" s="23">
        <f t="shared" si="6"/>
        <v>40.589537815884754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5.5</v>
      </c>
      <c r="BD60" s="13">
        <f>IF('Données projet'!$A$88&gt;35,BD59+BC60-BL59,IF(A60&lt;'Données projet'!$A$88,$BA$205^A60,IF(A60='Données projet'!$A$88,'Données projet'!$B$88,BD59+BC60-BL59)))</f>
        <v>98.500000000000142</v>
      </c>
      <c r="BE60" s="14">
        <f>BD60*VLOOKUP('Données projet'!$B$11,Paramètres!$A$1:$I$88,3,0)*VLOOKUP('Données projet'!$B$11,Paramètres!$A$1:$I$88,5,0)</f>
        <v>95.26920000000014</v>
      </c>
      <c r="BF60" s="14">
        <f t="shared" si="37"/>
        <v>25.831790515406517</v>
      </c>
      <c r="BG60" s="22">
        <f t="shared" si="7"/>
        <v>210.91755848099993</v>
      </c>
      <c r="BH60" s="62">
        <f t="shared" si="8"/>
        <v>504.25089181433327</v>
      </c>
      <c r="BI60" s="62">
        <f ca="1">AVERAGE(OFFSET($BH$3,0,0,'Données projet'!$E$11+1,1))-AVERAGE(OFFSET($H$3,0,0,'Données projet'!$E$11+1,1))</f>
        <v>84.664683404322943</v>
      </c>
      <c r="BJ60" s="62">
        <f t="shared" si="38"/>
        <v>79.209234837679901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1.2620862292913018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1.2620862292913018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5.4</v>
      </c>
      <c r="BY60" s="13">
        <f>IF('Données projet'!$A$114&gt;35,BY59+BX60-CG59,IF(A60&lt;'Données projet'!$A$114,$BV$205^A60,IF(A60='Données projet'!$A$114,'Données projet'!$B$114,BY59+BX60-CG59)))</f>
        <v>131.7999999999999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-5.6843418860808015E-14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179</v>
      </c>
      <c r="L61" s="13">
        <f>VLOOKUP(A61,'Données projet'!$A$35:$I$55,9,0)</f>
        <v>7.875</v>
      </c>
      <c r="M61" s="13">
        <f t="array" ref="M61">INDEX(L:L,MIN(IF(ISNUMBER(L61:L257),ROW(L61:L257),"")))</f>
        <v>7.875</v>
      </c>
      <c r="N61" s="14">
        <f>IF('Données projet'!$A$36&gt;35,N60+M61-V60,IF(A61&lt;'Données projet'!$A$36,$K$205^A61,IF(A61='Données projet'!$A$36,'Données projet'!$B$36,N60+M61-V60)))</f>
        <v>179</v>
      </c>
      <c r="O61" s="14">
        <f>N61*VLOOKUP('Données projet'!$B$9,Paramètres!$A$1:$I$88,3,0)*VLOOKUP('Données projet'!$B$9,Paramètres!$A$1:$I$88,5,0)</f>
        <v>161.95919999999998</v>
      </c>
      <c r="P61" s="14">
        <f t="shared" si="33"/>
        <v>41.284104935125683</v>
      </c>
      <c r="Q61" s="22">
        <f t="shared" si="53"/>
        <v>353.98208942867717</v>
      </c>
      <c r="R61" s="62">
        <f t="shared" si="0"/>
        <v>647.31542276201048</v>
      </c>
      <c r="S61" s="62">
        <f ca="1">AVERAGE(OFFSET($R$3,0,0,'Données projet'!$E$9+1,1))-AVERAGE(OFFSET($H$3,0,0,'Données projet'!$E$9+1,1))</f>
        <v>182.76154982630777</v>
      </c>
      <c r="T61" s="62">
        <f t="shared" si="34"/>
        <v>119.92190922866632</v>
      </c>
      <c r="U61" s="16">
        <f>IF(ISNA(VLOOKUP(A61,'Données projet'!$A$35:$I$55,3,0)),0,VLOOKUP(A61,'Données projet'!$A$35:$I$55,3,0))</f>
        <v>3</v>
      </c>
      <c r="V61" s="16">
        <f>IF(ISNA(VLOOKUP(A61,'Données projet'!$A$35:$I$55,4,0)),0,VLOOKUP(A61,'Données projet'!$A$35:$I$55,4,0))</f>
        <v>44</v>
      </c>
      <c r="W61" s="17">
        <f>IF(ISNA(VLOOKUP(A61,'Données projet'!$A$35:$I$55,5,0)),0%,VLOOKUP(A61,'Données projet'!$A$35:$I$55,5,0)*VLOOKUP('Données projet'!$B$9,Paramètres!$A$1:$I$88,7,0))</f>
        <v>0.129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9.186753754797202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9.186753754797202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440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439.99999999999994</v>
      </c>
      <c r="AJ61" s="14">
        <f>AI61*VLOOKUP('Données projet'!$B$10,Paramètres!$A$1:$I$88,3,0)*VLOOKUP('Données projet'!$B$10,Paramètres!$A$1:$I$88,5,0)</f>
        <v>263.12</v>
      </c>
      <c r="AK61" s="14">
        <f t="shared" si="35"/>
        <v>63.386973458752003</v>
      </c>
      <c r="AL61" s="22">
        <f t="shared" si="4"/>
        <v>568.66631210732646</v>
      </c>
      <c r="AM61" s="62">
        <f t="shared" si="5"/>
        <v>861.99964544065983</v>
      </c>
      <c r="AN61" s="62">
        <f ca="1">AVERAGE(OFFSET($AM$3,0,0,'Données projet'!$E$10+1,1))-AVERAGE(OFFSET($H$3,0,0,'Données projet'!$E$10+1,1))</f>
        <v>212.1966338656834</v>
      </c>
      <c r="AO61" s="62">
        <f t="shared" si="36"/>
        <v>194.52809733694494</v>
      </c>
      <c r="AP61" s="16">
        <f>IF(ISNA(VLOOKUP(A61,'Données projet'!$A$61:$I$81,3,0)),0,VLOOKUP(A61,'Données projet'!$A$61:$I$81,3,0))</f>
        <v>8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projet'!$B$10,Paramètres!$A$1:$I$88,7,0))</f>
        <v>0.27</v>
      </c>
      <c r="AS61" s="17">
        <f>IF(ISNA(VLOOKUP(A61,'Données projet'!$A$61:$I$81,6,0)),0%,VLOOKUP(A61,'Données projet'!$A$61:$I$81,6,0)*VLOOKUP('Données projet'!$B$10,Paramètres!$A$1:$I$88,7,0))</f>
        <v>9.9000000000000005E-2</v>
      </c>
      <c r="AT61" s="17">
        <f>IF(ISNA(VLOOKUP(A61,'Données projet'!$A$61:$I$81,7,0)),0%,VLOOKUP(A61,'Données projet'!$A$61:$I$81,7,0))</f>
        <v>0.18</v>
      </c>
      <c r="AU61" s="23">
        <f>EXP(-LN(2)/35)*AU60+(1-EXP(-LN(2)/35))/(LN(2)/35)*AQ61*AR61*VLOOKUP('Données projet'!$B$10,Paramètres!$A$1:$I$88,3,0)*0.475*44/12</f>
        <v>32.921540093595581</v>
      </c>
      <c r="AV61" s="23">
        <f>EXP(-LN(2)/25)*AV60+(1-EXP(-LN(2)/25))/(LN(2)/25)*Calculateur!AQ61*Calculateur!AS61*VLOOKUP('Données projet'!$B$10,Paramètres!$A$1:$I$88,3,0)*0.475*44/12</f>
        <v>28.482176854709532</v>
      </c>
      <c r="AW61" s="23">
        <f>EXP(-LN(2)/2)*AW60+(1-EXP(-LN(2)/2))/(LN(2)/2)*AQ61*AT61*VLOOKUP('Données projet'!$B$10,Paramètres!$A$1:$I$88,3,0)*0.475*44/12</f>
        <v>10.241889260430778</v>
      </c>
      <c r="AX61" s="23">
        <f t="shared" si="6"/>
        <v>71.645606208735899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5.5</v>
      </c>
      <c r="BD61" s="13">
        <f>IF('Données projet'!$A$88&gt;35,BD60+BC61-BL60,IF(A61&lt;'Données projet'!$A$88,$BA$205^A61,IF(A61='Données projet'!$A$88,'Données projet'!$B$88,BD60+BC61-BL60)))</f>
        <v>104.00000000000014</v>
      </c>
      <c r="BE61" s="14">
        <f>BD61*VLOOKUP('Données projet'!$B$11,Paramètres!$A$1:$I$88,3,0)*VLOOKUP('Données projet'!$B$11,Paramètres!$A$1:$I$88,5,0)</f>
        <v>100.58880000000015</v>
      </c>
      <c r="BF61" s="14">
        <f t="shared" si="37"/>
        <v>27.102223064855185</v>
      </c>
      <c r="BG61" s="22">
        <f t="shared" si="7"/>
        <v>222.39519850462304</v>
      </c>
      <c r="BH61" s="62">
        <f t="shared" si="8"/>
        <v>515.72853183795633</v>
      </c>
      <c r="BI61" s="62">
        <f ca="1">AVERAGE(OFFSET($BH$3,0,0,'Données projet'!$E$11+1,1))-AVERAGE(OFFSET($H$3,0,0,'Données projet'!$E$11+1,1))</f>
        <v>84.664683404322943</v>
      </c>
      <c r="BJ61" s="62">
        <f t="shared" si="38"/>
        <v>79.209234837679901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1.237337488131488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1.237337488131488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5.4</v>
      </c>
      <c r="BY61" s="13">
        <f>IF('Données projet'!$A$114&gt;35,BY60+BX61-CG60,IF(A61&lt;'Données projet'!$A$114,$BV$205^A61,IF(A61='Données projet'!$A$114,'Données projet'!$B$114,BY60+BX61-CG60)))</f>
        <v>137.1999999999999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-5.6843418860808015E-14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6.875</v>
      </c>
      <c r="N62" s="14">
        <f>IF('Données projet'!$A$36&gt;35,N61+M62-V61,IF(A62&lt;'Données projet'!$A$36,$K$205^A62,IF(A62='Données projet'!$A$36,'Données projet'!$B$36,N61+M62-V61)))</f>
        <v>141.875</v>
      </c>
      <c r="O62" s="14">
        <f>N62*VLOOKUP('Données projet'!$B$9,Paramètres!$A$1:$I$88,3,0)*VLOOKUP('Données projet'!$B$9,Paramètres!$A$1:$I$88,5,0)</f>
        <v>128.36849999999998</v>
      </c>
      <c r="P62" s="14">
        <f t="shared" si="33"/>
        <v>33.619090931219688</v>
      </c>
      <c r="Q62" s="22">
        <f t="shared" si="53"/>
        <v>282.12838753854095</v>
      </c>
      <c r="R62" s="62">
        <f t="shared" si="0"/>
        <v>575.46172087187426</v>
      </c>
      <c r="S62" s="62">
        <f ca="1">AVERAGE(OFFSET($R$3,0,0,'Données projet'!$E$9+1,1))-AVERAGE(OFFSET($H$3,0,0,'Données projet'!$E$9+1,1))</f>
        <v>182.76154982630777</v>
      </c>
      <c r="T62" s="62">
        <f t="shared" si="34"/>
        <v>119.92190922866632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9.0066071170321322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9.0066071170321322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378.62499999999994</v>
      </c>
      <c r="AJ62" s="14">
        <f>AI62*VLOOKUP('Données projet'!$B$10,Paramètres!$A$1:$I$88,3,0)*VLOOKUP('Données projet'!$B$10,Paramètres!$A$1:$I$88,5,0)</f>
        <v>226.41774999999998</v>
      </c>
      <c r="AK62" s="14">
        <f t="shared" si="35"/>
        <v>55.507409107649494</v>
      </c>
      <c r="AL62" s="22">
        <f t="shared" si="4"/>
        <v>491.0196521124895</v>
      </c>
      <c r="AM62" s="62">
        <f t="shared" si="5"/>
        <v>784.35298544582281</v>
      </c>
      <c r="AN62" s="62">
        <f ca="1">AVERAGE(OFFSET($AM$3,0,0,'Données projet'!$E$10+1,1))-AVERAGE(OFFSET($H$3,0,0,'Données projet'!$E$10+1,1))</f>
        <v>212.1966338656834</v>
      </c>
      <c r="AO62" s="62">
        <f t="shared" si="36"/>
        <v>194.52809733694494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32.275968772516876</v>
      </c>
      <c r="AV62" s="23">
        <f>EXP(-LN(2)/25)*AV61+(1-EXP(-LN(2)/25))/(LN(2)/25)*Calculateur!AQ62*Calculateur!AS62*VLOOKUP('Données projet'!$B$10,Paramètres!$A$1:$I$88,3,0)*0.475*44/12</f>
        <v>27.703330230804916</v>
      </c>
      <c r="AW62" s="23">
        <f>EXP(-LN(2)/2)*AW61+(1-EXP(-LN(2)/2))/(LN(2)/2)*AQ62*AT62*VLOOKUP('Données projet'!$B$10,Paramètres!$A$1:$I$88,3,0)*0.475*44/12</f>
        <v>7.2421093482122778</v>
      </c>
      <c r="AX62" s="23">
        <f t="shared" si="6"/>
        <v>67.221408351534066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5.5</v>
      </c>
      <c r="BD62" s="13">
        <f>IF('Données projet'!$A$88&gt;35,BD61+BC62-BL61,IF(A62&lt;'Données projet'!$A$88,$BA$205^A62,IF(A62='Données projet'!$A$88,'Données projet'!$B$88,BD61+BC62-BL61)))</f>
        <v>109.50000000000014</v>
      </c>
      <c r="BE62" s="14">
        <f>BD62*VLOOKUP('Données projet'!$B$11,Paramètres!$A$1:$I$88,3,0)*VLOOKUP('Données projet'!$B$11,Paramètres!$A$1:$I$88,5,0)</f>
        <v>105.90840000000014</v>
      </c>
      <c r="BF62" s="14">
        <f t="shared" si="37"/>
        <v>28.364855307609165</v>
      </c>
      <c r="BG62" s="22">
        <f t="shared" si="7"/>
        <v>233.85925299408618</v>
      </c>
      <c r="BH62" s="62">
        <f t="shared" si="8"/>
        <v>527.19258632741946</v>
      </c>
      <c r="BI62" s="62">
        <f ca="1">AVERAGE(OFFSET($BH$3,0,0,'Données projet'!$E$11+1,1))-AVERAGE(OFFSET($H$3,0,0,'Données projet'!$E$11+1,1))</f>
        <v>84.664683404322943</v>
      </c>
      <c r="BJ62" s="62">
        <f t="shared" si="38"/>
        <v>79.209234837679901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1.2130740546905767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1.2130740546905767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5.4</v>
      </c>
      <c r="BY62" s="13">
        <f>IF('Données projet'!$A$114&gt;35,BY61+BX62-CG61,IF(A62&lt;'Données projet'!$A$114,$BV$205^A62,IF(A62='Données projet'!$A$114,'Données projet'!$B$114,BY61+BX62-CG61)))</f>
        <v>142.59999999999991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-5.6843418860808015E-14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6.875</v>
      </c>
      <c r="N63" s="14">
        <f>IF('Données projet'!$A$36&gt;35,N62+M63-V62,IF(A63&lt;'Données projet'!$A$36,$K$205^A63,IF(A63='Données projet'!$A$36,'Données projet'!$B$36,N62+M63-V62)))</f>
        <v>148.75</v>
      </c>
      <c r="O63" s="14">
        <f>N63*VLOOKUP('Données projet'!$B$9,Paramètres!$A$1:$I$88,3,0)*VLOOKUP('Données projet'!$B$9,Paramètres!$A$1:$I$88,5,0)</f>
        <v>134.589</v>
      </c>
      <c r="P63" s="14">
        <f t="shared" si="33"/>
        <v>35.054592075821937</v>
      </c>
      <c r="Q63" s="22">
        <f t="shared" si="53"/>
        <v>295.46258953205654</v>
      </c>
      <c r="R63" s="62">
        <f t="shared" si="0"/>
        <v>588.79592286538991</v>
      </c>
      <c r="S63" s="62">
        <f ca="1">AVERAGE(OFFSET($R$3,0,0,'Données projet'!$E$9+1,1))-AVERAGE(OFFSET($H$3,0,0,'Données projet'!$E$9+1,1))</f>
        <v>182.76154982630777</v>
      </c>
      <c r="T63" s="62">
        <f t="shared" si="34"/>
        <v>119.92190922866632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8.829993044955037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8.829993044955037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395.24999999999994</v>
      </c>
      <c r="AJ63" s="14">
        <f>AI63*VLOOKUP('Données projet'!$B$10,Paramètres!$A$1:$I$88,3,0)*VLOOKUP('Données projet'!$B$10,Paramètres!$A$1:$I$88,5,0)</f>
        <v>236.35949999999997</v>
      </c>
      <c r="AK63" s="14">
        <f t="shared" si="35"/>
        <v>57.655563749416167</v>
      </c>
      <c r="AL63" s="22">
        <f t="shared" si="4"/>
        <v>512.07623603023308</v>
      </c>
      <c r="AM63" s="62">
        <f t="shared" si="5"/>
        <v>805.40956936356633</v>
      </c>
      <c r="AN63" s="62">
        <f ca="1">AVERAGE(OFFSET($AM$3,0,0,'Données projet'!$E$10+1,1))-AVERAGE(OFFSET($H$3,0,0,'Données projet'!$E$10+1,1))</f>
        <v>212.1966338656834</v>
      </c>
      <c r="AO63" s="62">
        <f t="shared" si="36"/>
        <v>194.52809733694494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31.643056711284903</v>
      </c>
      <c r="AV63" s="23">
        <f>EXP(-LN(2)/25)*AV62+(1-EXP(-LN(2)/25))/(LN(2)/25)*Calculateur!AQ63*Calculateur!AS63*VLOOKUP('Données projet'!$B$10,Paramètres!$A$1:$I$88,3,0)*0.475*44/12</f>
        <v>26.945781208788734</v>
      </c>
      <c r="AW63" s="23">
        <f>EXP(-LN(2)/2)*AW62+(1-EXP(-LN(2)/2))/(LN(2)/2)*AQ63*AT63*VLOOKUP('Données projet'!$B$10,Paramètres!$A$1:$I$88,3,0)*0.475*44/12</f>
        <v>5.1209446302153898</v>
      </c>
      <c r="AX63" s="23">
        <f t="shared" si="6"/>
        <v>63.709782550289027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5.5</v>
      </c>
      <c r="BD63" s="13">
        <f>IF('Données projet'!$A$88&gt;35,BD62+BC63-BL62,IF(A63&lt;'Données projet'!$A$88,$BA$205^A63,IF(A63='Données projet'!$A$88,'Données projet'!$B$88,BD62+BC63-BL62)))</f>
        <v>115.00000000000014</v>
      </c>
      <c r="BE63" s="14">
        <f>BD63*VLOOKUP('Données projet'!$B$11,Paramètres!$A$1:$I$88,3,0)*VLOOKUP('Données projet'!$B$11,Paramètres!$A$1:$I$88,5,0)</f>
        <v>111.22800000000014</v>
      </c>
      <c r="BF63" s="14">
        <f t="shared" si="37"/>
        <v>29.620123744783854</v>
      </c>
      <c r="BG63" s="22">
        <f t="shared" si="7"/>
        <v>245.31048218883211</v>
      </c>
      <c r="BH63" s="62">
        <f t="shared" si="8"/>
        <v>538.64381552216537</v>
      </c>
      <c r="BI63" s="62">
        <f ca="1">AVERAGE(OFFSET($BH$3,0,0,'Données projet'!$E$11+1,1))-AVERAGE(OFFSET($H$3,0,0,'Données projet'!$E$11+1,1))</f>
        <v>84.664683404322943</v>
      </c>
      <c r="BJ63" s="62">
        <f t="shared" si="38"/>
        <v>79.209234837679901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1.1892864123802087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1.1892864123802087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148</v>
      </c>
      <c r="BW63" s="13">
        <f>VLOOKUP(A63,'Données projet'!$A$113:$I$133,9,0)</f>
        <v>5.4</v>
      </c>
      <c r="BX63" s="13">
        <f t="array" ref="BX63">INDEX(BW:BW,MIN(IF(ISNUMBER(BW63:BW259),ROW(BW63:BW259),"")))</f>
        <v>5.4</v>
      </c>
      <c r="BY63" s="13">
        <f>IF('Données projet'!$A$114&gt;35,BY62+BX63-CG62,IF(A63&lt;'Données projet'!$A$114,$BV$205^A63,IF(A63='Données projet'!$A$114,'Données projet'!$B$114,BY62+BX63-CG62)))</f>
        <v>147.99999999999991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14</v>
      </c>
      <c r="CH63" s="17" t="e">
        <f>IF(ISNA(VLOOKUP(A63,'Données projet'!$A$113:$I$133,5,0)),0%,VLOOKUP(A63,'Données projet'!$A$113:$I$133,5,0)*VLOOKUP('Données projet'!$B$12,Paramètres!$A$1:$I$88,7,0))</f>
        <v>#N/A</v>
      </c>
      <c r="CI63" s="17" t="e">
        <f>IF(ISNA(VLOOKUP(A63,'Données projet'!$A$113:$I$133,6,0)),0%,VLOOKUP(A63,'Données projet'!$A$113:$I$133,6,0)*VLOOKUP('Données projet'!$B$12,Paramètres!$A$1:$I$88,7,0))</f>
        <v>#N/A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-5.6843418860808015E-14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6.875</v>
      </c>
      <c r="N64" s="14">
        <f>IF('Données projet'!$A$36&gt;35,N63+M64-V63,IF(A64&lt;'Données projet'!$A$36,$K$205^A64,IF(A64='Données projet'!$A$36,'Données projet'!$B$36,N63+M64-V63)))</f>
        <v>155.625</v>
      </c>
      <c r="O64" s="14">
        <f>N64*VLOOKUP('Données projet'!$B$9,Paramètres!$A$1:$I$88,3,0)*VLOOKUP('Données projet'!$B$9,Paramètres!$A$1:$I$88,5,0)</f>
        <v>140.80949999999999</v>
      </c>
      <c r="P64" s="14">
        <f t="shared" si="33"/>
        <v>36.482388305395361</v>
      </c>
      <c r="Q64" s="22">
        <f t="shared" si="53"/>
        <v>308.78337213189684</v>
      </c>
      <c r="R64" s="62">
        <f t="shared" si="0"/>
        <v>602.1167054652301</v>
      </c>
      <c r="S64" s="62">
        <f ca="1">AVERAGE(OFFSET($R$3,0,0,'Données projet'!$E$9+1,1))-AVERAGE(OFFSET($H$3,0,0,'Données projet'!$E$9+1,1))</f>
        <v>182.76154982630777</v>
      </c>
      <c r="T64" s="62">
        <f t="shared" si="34"/>
        <v>119.92190922866632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8.656842267107427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8.656842267107427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411.87499999999994</v>
      </c>
      <c r="AJ64" s="14">
        <f>AI64*VLOOKUP('Données projet'!$B$10,Paramètres!$A$1:$I$88,3,0)*VLOOKUP('Données projet'!$B$10,Paramètres!$A$1:$I$88,5,0)</f>
        <v>246.30124999999998</v>
      </c>
      <c r="AK64" s="14">
        <f t="shared" si="35"/>
        <v>59.793223430016852</v>
      </c>
      <c r="AL64" s="22">
        <f t="shared" si="4"/>
        <v>533.11454122394582</v>
      </c>
      <c r="AM64" s="62">
        <f t="shared" si="5"/>
        <v>826.44787455727919</v>
      </c>
      <c r="AN64" s="62">
        <f ca="1">AVERAGE(OFFSET($AM$3,0,0,'Données projet'!$E$10+1,1))-AVERAGE(OFFSET($H$3,0,0,'Données projet'!$E$10+1,1))</f>
        <v>212.1966338656834</v>
      </c>
      <c r="AO64" s="62">
        <f t="shared" si="36"/>
        <v>194.52809733694494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31.022555669535446</v>
      </c>
      <c r="AV64" s="23">
        <f>EXP(-LN(2)/25)*AV63+(1-EXP(-LN(2)/25))/(LN(2)/25)*Calculateur!AQ64*Calculateur!AS64*VLOOKUP('Données projet'!$B$10,Paramètres!$A$1:$I$88,3,0)*0.475*44/12</f>
        <v>26.208947404617359</v>
      </c>
      <c r="AW64" s="23">
        <f>EXP(-LN(2)/2)*AW63+(1-EXP(-LN(2)/2))/(LN(2)/2)*AQ64*AT64*VLOOKUP('Données projet'!$B$10,Paramètres!$A$1:$I$88,3,0)*0.475*44/12</f>
        <v>3.6210546741061393</v>
      </c>
      <c r="AX64" s="23">
        <f t="shared" si="6"/>
        <v>60.852557748258945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5.5</v>
      </c>
      <c r="BD64" s="13">
        <f>IF('Données projet'!$A$88&gt;35,BD63+BC64-BL63,IF(A64&lt;'Données projet'!$A$88,$BA$205^A64,IF(A64='Données projet'!$A$88,'Données projet'!$B$88,BD63+BC64-BL63)))</f>
        <v>120.50000000000014</v>
      </c>
      <c r="BE64" s="14">
        <f>BD64*VLOOKUP('Données projet'!$B$11,Paramètres!$A$1:$I$88,3,0)*VLOOKUP('Données projet'!$B$11,Paramètres!$A$1:$I$88,5,0)</f>
        <v>116.54760000000014</v>
      </c>
      <c r="BF64" s="14">
        <f t="shared" si="37"/>
        <v>30.868420766044999</v>
      </c>
      <c r="BG64" s="22">
        <f t="shared" si="7"/>
        <v>256.74956950086192</v>
      </c>
      <c r="BH64" s="62">
        <f t="shared" si="8"/>
        <v>550.08290283419524</v>
      </c>
      <c r="BI64" s="62">
        <f ca="1">AVERAGE(OFFSET($BH$3,0,0,'Données projet'!$E$11+1,1))-AVERAGE(OFFSET($H$3,0,0,'Données projet'!$E$11+1,1))</f>
        <v>84.664683404322943</v>
      </c>
      <c r="BJ64" s="62">
        <f t="shared" si="38"/>
        <v>79.209234837679901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1.1659652312265179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1.1659652312265179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5.4</v>
      </c>
      <c r="BY64" s="13">
        <f>IF('Données projet'!$A$114&gt;35,BY63+BX64-CG63,IF(A64&lt;'Données projet'!$A$114,$BV$205^A64,IF(A64='Données projet'!$A$114,'Données projet'!$B$114,BY63+BX64-CG63)))</f>
        <v>139.39999999999992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6.875</v>
      </c>
      <c r="N65" s="14">
        <f>IF('Données projet'!$A$36&gt;35,N64+M65-V64,IF(A65&lt;'Données projet'!$A$36,$K$205^A65,IF(A65='Données projet'!$A$36,'Données projet'!$B$36,N64+M65-V64)))</f>
        <v>162.5</v>
      </c>
      <c r="O65" s="14">
        <f>N65*VLOOKUP('Données projet'!$B$9,Paramètres!$A$1:$I$88,3,0)*VLOOKUP('Données projet'!$B$9,Paramètres!$A$1:$I$88,5,0)</f>
        <v>147.03</v>
      </c>
      <c r="P65" s="14">
        <f t="shared" si="33"/>
        <v>37.90285889427615</v>
      </c>
      <c r="Q65" s="22">
        <f t="shared" si="53"/>
        <v>322.09139590753097</v>
      </c>
      <c r="R65" s="62">
        <f t="shared" si="0"/>
        <v>615.42472924086428</v>
      </c>
      <c r="S65" s="62">
        <f ca="1">AVERAGE(OFFSET($R$3,0,0,'Données projet'!$E$9+1,1))-AVERAGE(OFFSET($H$3,0,0,'Données projet'!$E$9+1,1))</f>
        <v>182.76154982630777</v>
      </c>
      <c r="T65" s="62">
        <f t="shared" si="34"/>
        <v>119.92190922866632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8.4870868704018623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8.4870868704018623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428.49999999999994</v>
      </c>
      <c r="AJ65" s="14">
        <f>AI65*VLOOKUP('Données projet'!$B$10,Paramètres!$A$1:$I$88,3,0)*VLOOKUP('Données projet'!$B$10,Paramètres!$A$1:$I$88,5,0)</f>
        <v>256.24299999999999</v>
      </c>
      <c r="AK65" s="14">
        <f t="shared" si="35"/>
        <v>61.920860231490025</v>
      </c>
      <c r="AL65" s="22">
        <f t="shared" si="4"/>
        <v>554.13538990317852</v>
      </c>
      <c r="AM65" s="62">
        <f t="shared" si="5"/>
        <v>847.46872323651178</v>
      </c>
      <c r="AN65" s="62">
        <f ca="1">AVERAGE(OFFSET($AM$3,0,0,'Données projet'!$E$10+1,1))-AVERAGE(OFFSET($H$3,0,0,'Données projet'!$E$10+1,1))</f>
        <v>212.1966338656834</v>
      </c>
      <c r="AO65" s="62">
        <f t="shared" si="36"/>
        <v>194.52809733694494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30.414222274746432</v>
      </c>
      <c r="AV65" s="23">
        <f>EXP(-LN(2)/25)*AV64+(1-EXP(-LN(2)/25))/(LN(2)/25)*Calculateur!AQ65*Calculateur!AS65*VLOOKUP('Données projet'!$B$10,Paramètres!$A$1:$I$88,3,0)*0.475*44/12</f>
        <v>25.492262359569455</v>
      </c>
      <c r="AW65" s="23">
        <f>EXP(-LN(2)/2)*AW64+(1-EXP(-LN(2)/2))/(LN(2)/2)*AQ65*AT65*VLOOKUP('Données projet'!$B$10,Paramètres!$A$1:$I$88,3,0)*0.475*44/12</f>
        <v>2.5604723151076954</v>
      </c>
      <c r="AX65" s="23">
        <f t="shared" si="6"/>
        <v>58.466956949423583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5.5</v>
      </c>
      <c r="BD65" s="13">
        <f>IF('Données projet'!$A$88&gt;35,BD64+BC65-BL64,IF(A65&lt;'Données projet'!$A$88,$BA$205^A65,IF(A65='Données projet'!$A$88,'Données projet'!$B$88,BD64+BC65-BL64)))</f>
        <v>126.00000000000014</v>
      </c>
      <c r="BE65" s="14">
        <f>BD65*VLOOKUP('Données projet'!$B$11,Paramètres!$A$1:$I$88,3,0)*VLOOKUP('Données projet'!$B$11,Paramètres!$A$1:$I$88,5,0)</f>
        <v>121.86720000000014</v>
      </c>
      <c r="BF65" s="14">
        <f t="shared" si="37"/>
        <v>32.110100916567404</v>
      </c>
      <c r="BG65" s="22">
        <f t="shared" si="7"/>
        <v>268.17713242968847</v>
      </c>
      <c r="BH65" s="62">
        <f t="shared" si="8"/>
        <v>561.51046576302178</v>
      </c>
      <c r="BI65" s="62">
        <f ca="1">AVERAGE(OFFSET($BH$3,0,0,'Données projet'!$E$11+1,1))-AVERAGE(OFFSET($H$3,0,0,'Données projet'!$E$11+1,1))</f>
        <v>84.664683404322943</v>
      </c>
      <c r="BJ65" s="62">
        <f t="shared" si="38"/>
        <v>79.209234837679901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1.1431013642107348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1.1431013642107348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5.4</v>
      </c>
      <c r="BY65" s="13">
        <f>IF('Données projet'!$A$114&gt;35,BY64+BX65-CG64,IF(A65&lt;'Données projet'!$A$114,$BV$205^A65,IF(A65='Données projet'!$A$114,'Données projet'!$B$114,BY64+BX65-CG64)))</f>
        <v>144.79999999999993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6.875</v>
      </c>
      <c r="N66" s="14">
        <f>IF('Données projet'!$A$36&gt;35,N65+M66-V65,IF(A66&lt;'Données projet'!$A$36,$K$205^A66,IF(A66='Données projet'!$A$36,'Données projet'!$B$36,N65+M66-V65)))</f>
        <v>169.375</v>
      </c>
      <c r="O66" s="14">
        <f>N66*VLOOKUP('Données projet'!$B$9,Paramètres!$A$1:$I$88,3,0)*VLOOKUP('Données projet'!$B$9,Paramètres!$A$1:$I$88,5,0)</f>
        <v>153.25049999999999</v>
      </c>
      <c r="P66" s="14">
        <f t="shared" si="33"/>
        <v>39.316349209004791</v>
      </c>
      <c r="Q66" s="22">
        <f t="shared" si="53"/>
        <v>335.38726237234994</v>
      </c>
      <c r="R66" s="62">
        <f t="shared" si="0"/>
        <v>628.72059570568331</v>
      </c>
      <c r="S66" s="62">
        <f ca="1">AVERAGE(OFFSET($R$3,0,0,'Données projet'!$E$9+1,1))-AVERAGE(OFFSET($H$3,0,0,'Données projet'!$E$9+1,1))</f>
        <v>182.76154982630777</v>
      </c>
      <c r="T66" s="62">
        <f t="shared" si="34"/>
        <v>119.92190922866632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8.3206602734851245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8.3206602734851245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445.12499999999994</v>
      </c>
      <c r="AJ66" s="14">
        <f>AI66*VLOOKUP('Données projet'!$B$10,Paramètres!$A$1:$I$88,3,0)*VLOOKUP('Données projet'!$B$10,Paramètres!$A$1:$I$88,5,0)</f>
        <v>266.18475000000001</v>
      </c>
      <c r="AK66" s="14">
        <f t="shared" si="35"/>
        <v>64.038907529798962</v>
      </c>
      <c r="AL66" s="22">
        <f t="shared" si="4"/>
        <v>575.13953686439993</v>
      </c>
      <c r="AM66" s="62">
        <f t="shared" si="5"/>
        <v>868.4728701977333</v>
      </c>
      <c r="AN66" s="62">
        <f ca="1">AVERAGE(OFFSET($AM$3,0,0,'Données projet'!$E$10+1,1))-AVERAGE(OFFSET($H$3,0,0,'Données projet'!$E$10+1,1))</f>
        <v>212.1966338656834</v>
      </c>
      <c r="AO66" s="62">
        <f t="shared" si="36"/>
        <v>194.52809733694494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29.817817926782499</v>
      </c>
      <c r="AV66" s="23">
        <f>EXP(-LN(2)/25)*AV65+(1-EXP(-LN(2)/25))/(LN(2)/25)*Calculateur!AQ66*Calculateur!AS66*VLOOKUP('Données projet'!$B$10,Paramètres!$A$1:$I$88,3,0)*0.475*44/12</f>
        <v>24.795175104767214</v>
      </c>
      <c r="AW66" s="23">
        <f>EXP(-LN(2)/2)*AW65+(1-EXP(-LN(2)/2))/(LN(2)/2)*AQ66*AT66*VLOOKUP('Données projet'!$B$10,Paramètres!$A$1:$I$88,3,0)*0.475*44/12</f>
        <v>1.8105273370530701</v>
      </c>
      <c r="AX66" s="23">
        <f t="shared" si="6"/>
        <v>56.42352036860278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5.5</v>
      </c>
      <c r="BD66" s="13">
        <f>IF('Données projet'!$A$88&gt;35,BD65+BC66-BL65,IF(A66&lt;'Données projet'!$A$88,$BA$205^A66,IF(A66='Données projet'!$A$88,'Données projet'!$B$88,BD65+BC66-BL65)))</f>
        <v>131.50000000000014</v>
      </c>
      <c r="BE66" s="14">
        <f>BD66*VLOOKUP('Données projet'!$B$11,Paramètres!$A$1:$I$88,3,0)*VLOOKUP('Données projet'!$B$11,Paramètres!$A$1:$I$88,5,0)</f>
        <v>127.18680000000013</v>
      </c>
      <c r="BF66" s="14">
        <f t="shared" si="37"/>
        <v>33.34548603888225</v>
      </c>
      <c r="BG66" s="22">
        <f t="shared" si="7"/>
        <v>279.59373151772007</v>
      </c>
      <c r="BH66" s="62">
        <f t="shared" si="8"/>
        <v>572.92706485105339</v>
      </c>
      <c r="BI66" s="62">
        <f ca="1">AVERAGE(OFFSET($BH$3,0,0,'Données projet'!$E$11+1,1))-AVERAGE(OFFSET($H$3,0,0,'Données projet'!$E$11+1,1))</f>
        <v>84.664683404322943</v>
      </c>
      <c r="BJ66" s="62">
        <f t="shared" si="38"/>
        <v>79.209234837679901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1.1206858436815494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1.1206858436815494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5.4</v>
      </c>
      <c r="BY66" s="13">
        <f>IF('Données projet'!$A$114&gt;35,BY65+BX66-CG65,IF(A66&lt;'Données projet'!$A$114,$BV$205^A66,IF(A66='Données projet'!$A$114,'Données projet'!$B$114,BY65+BX66-CG65)))</f>
        <v>150.19999999999993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6.875</v>
      </c>
      <c r="N67" s="14">
        <f>IF('Données projet'!$A$36&gt;35,N66+M67-V66,IF(A67&lt;'Données projet'!$A$36,$K$205^A67,IF(A67='Données projet'!$A$36,'Données projet'!$B$36,N66+M67-V66)))</f>
        <v>176.25</v>
      </c>
      <c r="O67" s="14">
        <f>N67*VLOOKUP('Données projet'!$B$9,Paramètres!$A$1:$I$88,3,0)*VLOOKUP('Données projet'!$B$9,Paramètres!$A$1:$I$88,5,0)</f>
        <v>159.471</v>
      </c>
      <c r="P67" s="14">
        <f t="shared" si="33"/>
        <v>40.723174992275638</v>
      </c>
      <c r="Q67" s="22">
        <f t="shared" ref="Q67:Q98" si="54">(O67+P67)*0.475*44/12</f>
        <v>348.67152144488006</v>
      </c>
      <c r="R67" s="62">
        <f t="shared" ref="R67:R130" si="55">Q67+(I67+J67)*44/12</f>
        <v>642.00485477821337</v>
      </c>
      <c r="S67" s="62">
        <f ca="1">AVERAGE(OFFSET($R$3,0,0,'Données projet'!$E$9+1,1))-AVERAGE(OFFSET($H$3,0,0,'Données projet'!$E$9+1,1))</f>
        <v>182.76154982630777</v>
      </c>
      <c r="T67" s="62">
        <f t="shared" si="34"/>
        <v>119.92190922866632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8.1574972006237232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8.1574972006237232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461.74999999999994</v>
      </c>
      <c r="AJ67" s="14">
        <f>AI67*VLOOKUP('Données projet'!$B$10,Paramètres!$A$1:$I$88,3,0)*VLOOKUP('Données projet'!$B$10,Paramètres!$A$1:$I$88,5,0)</f>
        <v>276.12649999999996</v>
      </c>
      <c r="AK67" s="14">
        <f t="shared" si="35"/>
        <v>66.147764494536574</v>
      </c>
      <c r="AL67" s="22">
        <f t="shared" si="4"/>
        <v>596.12767732798443</v>
      </c>
      <c r="AM67" s="62">
        <f t="shared" si="5"/>
        <v>889.46101066131769</v>
      </c>
      <c r="AN67" s="62">
        <f ca="1">AVERAGE(OFFSET($AM$3,0,0,'Données projet'!$E$10+1,1))-AVERAGE(OFFSET($H$3,0,0,'Données projet'!$E$10+1,1))</f>
        <v>212.1966338656834</v>
      </c>
      <c r="AO67" s="62">
        <f t="shared" si="36"/>
        <v>194.52809733694494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29.233108704311405</v>
      </c>
      <c r="AV67" s="23">
        <f>EXP(-LN(2)/25)*AV66+(1-EXP(-LN(2)/25))/(LN(2)/25)*Calculateur!AQ67*Calculateur!AS67*VLOOKUP('Données projet'!$B$10,Paramètres!$A$1:$I$88,3,0)*0.475*44/12</f>
        <v>24.117149737605764</v>
      </c>
      <c r="AW67" s="23">
        <f>EXP(-LN(2)/2)*AW66+(1-EXP(-LN(2)/2))/(LN(2)/2)*AQ67*AT67*VLOOKUP('Données projet'!$B$10,Paramètres!$A$1:$I$88,3,0)*0.475*44/12</f>
        <v>1.2802361575538479</v>
      </c>
      <c r="AX67" s="23">
        <f t="shared" si="6"/>
        <v>54.630494599471021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>
        <f>VLOOKUP(A67,'Données projet'!$A$87:$I$107,2,0)</f>
        <v>137</v>
      </c>
      <c r="BB67" s="13">
        <f>VLOOKUP(A67,'Données projet'!$A$87:$I$107,9,0)</f>
        <v>5.5</v>
      </c>
      <c r="BC67" s="13">
        <f t="array" ref="BC67">INDEX(BB:BB,MIN(IF(ISNUMBER(BB67:BB263),ROW(BB67:BB263),"")))</f>
        <v>5.5</v>
      </c>
      <c r="BD67" s="13">
        <f>IF('Données projet'!$A$88&gt;35,BD66+BC67-BL66,IF(A67&lt;'Données projet'!$A$88,$BA$205^A67,IF(A67='Données projet'!$A$88,'Données projet'!$B$88,BD66+BC67-BL66)))</f>
        <v>137.00000000000014</v>
      </c>
      <c r="BE67" s="14">
        <f>BD67*VLOOKUP('Données projet'!$B$11,Paramètres!$A$1:$I$88,3,0)*VLOOKUP('Données projet'!$B$11,Paramètres!$A$1:$I$88,5,0)</f>
        <v>132.50640000000013</v>
      </c>
      <c r="BF67" s="14">
        <f t="shared" si="37"/>
        <v>34.574869530248975</v>
      </c>
      <c r="BG67" s="22">
        <f t="shared" si="7"/>
        <v>290.99987776518384</v>
      </c>
      <c r="BH67" s="62">
        <f t="shared" si="8"/>
        <v>584.33321109851715</v>
      </c>
      <c r="BI67" s="62">
        <f ca="1">AVERAGE(OFFSET($BH$3,0,0,'Données projet'!$E$11+1,1))-AVERAGE(OFFSET($H$3,0,0,'Données projet'!$E$11+1,1))</f>
        <v>84.664683404322943</v>
      </c>
      <c r="BJ67" s="62">
        <f t="shared" si="38"/>
        <v>79.209234837679901</v>
      </c>
      <c r="BK67" s="16">
        <f>IF(ISNA(VLOOKUP(A67,'Données projet'!$A$87:$I$107,3,0)),0,VLOOKUP(A67,'Données projet'!$A$87:$I$107,3,0))</f>
        <v>2</v>
      </c>
      <c r="BL67" s="16">
        <f>IF(ISNA(VLOOKUP(A67,'Données projet'!$A$87:$I$107,4,0)),0,VLOOKUP(A67,'Données projet'!$A$87:$I$107,4,0))</f>
        <v>33</v>
      </c>
      <c r="BM67" s="17">
        <f>IF(ISNA(VLOOKUP(A67,'Données projet'!$A$87:$I$107,5,0)),0%,VLOOKUP(A67,'Données projet'!$A$87:$I$107,5,0)*VLOOKUP('Données projet'!$B$11,Paramètres!$A$1:$I$88,7,0))</f>
        <v>0.129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5.6503408966035584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5.6503408966035584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5.4</v>
      </c>
      <c r="BY67" s="13">
        <f>IF('Données projet'!$A$114&gt;35,BY66+BX67-CG66,IF(A67&lt;'Données projet'!$A$114,$BV$205^A67,IF(A67='Données projet'!$A$114,'Données projet'!$B$114,BY66+BX67-CG66)))</f>
        <v>155.59999999999994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6.875</v>
      </c>
      <c r="N68" s="14">
        <f>IF('Données projet'!$A$36&gt;35,N67+M68-V67,IF(A68&lt;'Données projet'!$A$36,$K$205^A68,IF(A68='Données projet'!$A$36,'Données projet'!$B$36,N67+M68-V67)))</f>
        <v>183.125</v>
      </c>
      <c r="O68" s="14">
        <f>N68*VLOOKUP('Données projet'!$B$9,Paramètres!$A$1:$I$88,3,0)*VLOOKUP('Données projet'!$B$9,Paramètres!$A$1:$I$88,5,0)</f>
        <v>165.69149999999999</v>
      </c>
      <c r="P68" s="14">
        <f t="shared" si="33"/>
        <v>42.123625959662853</v>
      </c>
      <c r="Q68" s="22">
        <f t="shared" si="54"/>
        <v>361.94467771307944</v>
      </c>
      <c r="R68" s="62">
        <f t="shared" si="55"/>
        <v>655.27801104641276</v>
      </c>
      <c r="S68" s="62">
        <f ca="1">AVERAGE(OFFSET($R$3,0,0,'Données projet'!$E$9+1,1))-AVERAGE(OFFSET($H$3,0,0,'Données projet'!$E$9+1,1))</f>
        <v>182.76154982630777</v>
      </c>
      <c r="T68" s="62">
        <f t="shared" si="34"/>
        <v>119.92190922866632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7.9975336561014867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7.9975336561014867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478.37499999999994</v>
      </c>
      <c r="AJ68" s="14">
        <f>AI68*VLOOKUP('Données projet'!$B$10,Paramètres!$A$1:$I$88,3,0)*VLOOKUP('Données projet'!$B$10,Paramètres!$A$1:$I$88,5,0)</f>
        <v>286.06824999999998</v>
      </c>
      <c r="AK68" s="14">
        <f t="shared" si="35"/>
        <v>68.247799922382825</v>
      </c>
      <c r="AL68" s="22">
        <f t="shared" ref="AL68:AL131" si="58">(AJ68+AK68)*0.475*44/12</f>
        <v>617.10045361481673</v>
      </c>
      <c r="AM68" s="62">
        <f t="shared" ref="AM68:AM131" si="59">AL68+(AD68+AE68)*44/12</f>
        <v>910.4337869481501</v>
      </c>
      <c r="AN68" s="62">
        <f ca="1">AVERAGE(OFFSET($AM$3,0,0,'Données projet'!$E$10+1,1))-AVERAGE(OFFSET($H$3,0,0,'Données projet'!$E$10+1,1))</f>
        <v>212.1966338656834</v>
      </c>
      <c r="AO68" s="62">
        <f t="shared" si="36"/>
        <v>194.52809733694494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28.659865273055559</v>
      </c>
      <c r="AV68" s="23">
        <f>EXP(-LN(2)/25)*AV67+(1-EXP(-LN(2)/25))/(LN(2)/25)*Calculateur!AQ68*Calculateur!AS68*VLOOKUP('Données projet'!$B$10,Paramètres!$A$1:$I$88,3,0)*0.475*44/12</f>
        <v>23.457665009765151</v>
      </c>
      <c r="AW68" s="23">
        <f>EXP(-LN(2)/2)*AW67+(1-EXP(-LN(2)/2))/(LN(2)/2)*AQ68*AT68*VLOOKUP('Données projet'!$B$10,Paramètres!$A$1:$I$88,3,0)*0.475*44/12</f>
        <v>0.90526366852653517</v>
      </c>
      <c r="AX68" s="23">
        <f t="shared" ref="AX68:AX131" si="60">SUM(AU68:AW68)</f>
        <v>53.022793951347246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5.5</v>
      </c>
      <c r="BD68" s="13">
        <f>IF('Données projet'!$A$88&gt;35,BD67+BC68-BL67,IF(A68&lt;'Données projet'!$A$88,$BA$205^A68,IF(A68='Données projet'!$A$88,'Données projet'!$B$88,BD67+BC68-BL67)))</f>
        <v>109.50000000000014</v>
      </c>
      <c r="BE68" s="14">
        <f>BD68*VLOOKUP('Données projet'!$B$11,Paramètres!$A$1:$I$88,3,0)*VLOOKUP('Données projet'!$B$11,Paramètres!$A$1:$I$88,5,0)</f>
        <v>105.90840000000014</v>
      </c>
      <c r="BF68" s="14">
        <f t="shared" si="37"/>
        <v>28.364855307609165</v>
      </c>
      <c r="BG68" s="22">
        <f t="shared" ref="BG68:BG131" si="61">(BE68+BF68)*0.475*44/12</f>
        <v>233.85925299408618</v>
      </c>
      <c r="BH68" s="62">
        <f t="shared" ref="BH68:BH131" si="62">BG68+(AY68+AZ68)*44/12</f>
        <v>527.19258632741946</v>
      </c>
      <c r="BI68" s="62">
        <f ca="1">AVERAGE(OFFSET($BH$3,0,0,'Données projet'!$E$11+1,1))-AVERAGE(OFFSET($H$3,0,0,'Données projet'!$E$11+1,1))</f>
        <v>84.664683404322943</v>
      </c>
      <c r="BJ68" s="62">
        <f t="shared" si="38"/>
        <v>79.209234837679901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5.5395411579888094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5.5395411579888094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161</v>
      </c>
      <c r="BW68" s="13">
        <f>VLOOKUP(A68,'Données projet'!$A$113:$I$133,9,0)</f>
        <v>5.4</v>
      </c>
      <c r="BX68" s="13">
        <f t="array" ref="BX68">INDEX(BW:BW,MIN(IF(ISNUMBER(BW68:BW264),ROW(BW68:BW264),"")))</f>
        <v>5.4</v>
      </c>
      <c r="BY68" s="13">
        <f>IF('Données projet'!$A$114&gt;35,BY67+BX68-CG67,IF(A68&lt;'Données projet'!$A$114,$BV$205^A68,IF(A68='Données projet'!$A$114,'Données projet'!$B$114,BY67+BX68-CG67)))</f>
        <v>160.99999999999994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14</v>
      </c>
      <c r="CH68" s="17" t="e">
        <f>IF(ISNA(VLOOKUP(A68,'Données projet'!$A$113:$I$133,5,0)),0%,VLOOKUP(A68,'Données projet'!$A$113:$I$133,5,0)*VLOOKUP('Données projet'!$B$12,Paramètres!$A$1:$I$88,7,0))</f>
        <v>#N/A</v>
      </c>
      <c r="CI68" s="17" t="e">
        <f>IF(ISNA(VLOOKUP(A68,'Données projet'!$A$113:$I$133,6,0)),0%,VLOOKUP(A68,'Données projet'!$A$113:$I$133,6,0)*VLOOKUP('Données projet'!$B$12,Paramètres!$A$1:$I$88,7,0))</f>
        <v>#N/A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190</v>
      </c>
      <c r="L69" s="13">
        <f>VLOOKUP(A69,'Données projet'!$A$35:$I$55,9,0)</f>
        <v>6.875</v>
      </c>
      <c r="M69" s="13">
        <f t="array" ref="M69">INDEX(L:L,MIN(IF(ISNUMBER(L69:L265),ROW(L69:L265),"")))</f>
        <v>6.875</v>
      </c>
      <c r="N69" s="14">
        <f>IF('Données projet'!$A$36&gt;35,N68+M69-V68,IF(A69&lt;'Données projet'!$A$36,$K$205^A69,IF(A69='Données projet'!$A$36,'Données projet'!$B$36,N68+M69-V68)))</f>
        <v>190</v>
      </c>
      <c r="O69" s="14">
        <f>N69*VLOOKUP('Données projet'!$B$9,Paramètres!$A$1:$I$88,3,0)*VLOOKUP('Données projet'!$B$9,Paramètres!$A$1:$I$88,5,0)</f>
        <v>171.91199999999998</v>
      </c>
      <c r="P69" s="14">
        <f t="shared" ref="P69:P132" si="87">EXP(-1.0587+0.8836*LN(O69)+0.284)</f>
        <v>43.517968841037288</v>
      </c>
      <c r="Q69" s="22">
        <f t="shared" si="54"/>
        <v>375.20719573147318</v>
      </c>
      <c r="R69" s="62">
        <f t="shared" si="55"/>
        <v>668.54052906480649</v>
      </c>
      <c r="S69" s="62">
        <f ca="1">AVERAGE(OFFSET($R$3,0,0,'Données projet'!$E$9+1,1))-AVERAGE(OFFSET($H$3,0,0,'Données projet'!$E$9+1,1))</f>
        <v>182.76154982630777</v>
      </c>
      <c r="T69" s="62">
        <f t="shared" ref="T69:T132" si="88">$T$3</f>
        <v>119.92190922866632</v>
      </c>
      <c r="U69" s="16">
        <f>IF(ISNA(VLOOKUP(A69,'Données projet'!$A$35:$I$55,3,0)),0,VLOOKUP(A69,'Données projet'!$A$35:$I$55,3,0))</f>
        <v>4</v>
      </c>
      <c r="V69" s="16">
        <f>IF(ISNA(VLOOKUP(A69,'Données projet'!$A$35:$I$55,4,0)),0,VLOOKUP(A69,'Données projet'!$A$35:$I$55,4,0))</f>
        <v>38</v>
      </c>
      <c r="W69" s="17">
        <f>IF(ISNA(VLOOKUP(A69,'Données projet'!$A$35:$I$55,5,0)),0%,VLOOKUP(A69,'Données projet'!$A$35:$I$55,5,0)*VLOOKUP('Données projet'!$B$9,Paramètres!$A$1:$I$88,7,0))</f>
        <v>0.129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12.743832395384931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12.743832395384931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495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494.99999999999994</v>
      </c>
      <c r="AJ69" s="14">
        <f>AI69*VLOOKUP('Données projet'!$B$10,Paramètres!$A$1:$I$88,3,0)*VLOOKUP('Données projet'!$B$10,Paramètres!$A$1:$I$88,5,0)</f>
        <v>296.01</v>
      </c>
      <c r="AK69" s="14">
        <f t="shared" ref="AK69:AK132" si="89">EXP(-1.0587+0.8836*LN(AJ69)+0.284)</f>
        <v>70.339355522692159</v>
      </c>
      <c r="AL69" s="22">
        <f t="shared" si="58"/>
        <v>638.05846086868871</v>
      </c>
      <c r="AM69" s="62">
        <f t="shared" si="59"/>
        <v>931.39179420202208</v>
      </c>
      <c r="AN69" s="62">
        <f ca="1">AVERAGE(OFFSET($AM$3,0,0,'Données projet'!$E$10+1,1))-AVERAGE(OFFSET($H$3,0,0,'Données projet'!$E$10+1,1))</f>
        <v>212.1966338656834</v>
      </c>
      <c r="AO69" s="62">
        <f t="shared" ref="AO69:AO132" si="90">$AO$3</f>
        <v>194.52809733694494</v>
      </c>
      <c r="AP69" s="16">
        <f>IF(ISNA(VLOOKUP(A69,'Données projet'!$A$61:$I$81,3,0)),0,VLOOKUP(A69,'Données projet'!$A$61:$I$81,3,0))</f>
        <v>9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projet'!$B$10,Paramètres!$A$1:$I$88,7,0))</f>
        <v>0.27</v>
      </c>
      <c r="AS69" s="17">
        <f>IF(ISNA(VLOOKUP(A69,'Données projet'!$A$61:$I$81,6,0)),0%,VLOOKUP(A69,'Données projet'!$A$61:$I$81,6,0)*VLOOKUP('Données projet'!$B$10,Paramètres!$A$1:$I$88,7,0))</f>
        <v>9.9000000000000005E-2</v>
      </c>
      <c r="AT69" s="17">
        <f>IF(ISNA(VLOOKUP(A69,'Données projet'!$A$61:$I$81,7,0)),0%,VLOOKUP(A69,'Données projet'!$A$61:$I$81,7,0))</f>
        <v>0.18</v>
      </c>
      <c r="AU69" s="23">
        <f>EXP(-LN(2)/35)*AU68+(1-EXP(-LN(2)/35))/(LN(2)/35)*AQ69*AR69*VLOOKUP('Données projet'!$B$10,Paramètres!$A$1:$I$88,3,0)*0.475*44/12</f>
        <v>42.020024099235101</v>
      </c>
      <c r="AV69" s="23">
        <f>EXP(-LN(2)/25)*AV68+(1-EXP(-LN(2)/25))/(LN(2)/25)*Calculateur!AQ69*Calculateur!AS69*VLOOKUP('Données projet'!$B$10,Paramètres!$A$1:$I$88,3,0)*0.475*44/12</f>
        <v>27.900906891334731</v>
      </c>
      <c r="AW69" s="23">
        <f>EXP(-LN(2)/2)*AW68+(1-EXP(-LN(2)/2))/(LN(2)/2)*AQ69*AT69*VLOOKUP('Données projet'!$B$10,Paramètres!$A$1:$I$88,3,0)*0.475*44/12</f>
        <v>8.5618945716505959</v>
      </c>
      <c r="AX69" s="23">
        <f t="shared" si="60"/>
        <v>78.482825562220427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5.5</v>
      </c>
      <c r="BD69" s="13">
        <f>IF('Données projet'!$A$88&gt;35,BD68+BC69-BL68,IF(A69&lt;'Données projet'!$A$88,$BA$205^A69,IF(A69='Données projet'!$A$88,'Données projet'!$B$88,BD68+BC69-BL68)))</f>
        <v>115.00000000000014</v>
      </c>
      <c r="BE69" s="14">
        <f>BD69*VLOOKUP('Données projet'!$B$11,Paramètres!$A$1:$I$88,3,0)*VLOOKUP('Données projet'!$B$11,Paramètres!$A$1:$I$88,5,0)</f>
        <v>111.22800000000014</v>
      </c>
      <c r="BF69" s="14">
        <f t="shared" ref="BF69:BF132" si="91">EXP(-1.0587+0.8836*LN(BE69)+0.284)</f>
        <v>29.620123744783854</v>
      </c>
      <c r="BG69" s="22">
        <f t="shared" si="61"/>
        <v>245.31048218883211</v>
      </c>
      <c r="BH69" s="62">
        <f t="shared" si="62"/>
        <v>538.64381552216537</v>
      </c>
      <c r="BI69" s="62">
        <f ca="1">AVERAGE(OFFSET($BH$3,0,0,'Données projet'!$E$11+1,1))-AVERAGE(OFFSET($H$3,0,0,'Données projet'!$E$11+1,1))</f>
        <v>84.664683404322943</v>
      </c>
      <c r="BJ69" s="62">
        <f t="shared" ref="BJ69:BJ132" si="92">$BJ$3</f>
        <v>79.209234837679901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5.4309141346671277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5.4309141346671277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</v>
      </c>
      <c r="BY69" s="13">
        <f>IF('Données projet'!$A$114&gt;35,BY68+BX69-CG68,IF(A69&lt;'Données projet'!$A$114,$BV$205^A69,IF(A69='Données projet'!$A$114,'Données projet'!$B$114,BY68+BX69-CG68)))</f>
        <v>151.99999999999994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6.2222222222222223</v>
      </c>
      <c r="N70" s="14">
        <f>IF('Données projet'!$A$36&gt;35,N69+M70-V69,IF(A70&lt;'Données projet'!$A$36,$K$205^A70,IF(A70='Données projet'!$A$36,'Données projet'!$B$36,N69+M70-V69)))</f>
        <v>158.22222222222223</v>
      </c>
      <c r="O70" s="14">
        <f>N70*VLOOKUP('Données projet'!$B$9,Paramètres!$A$1:$I$88,3,0)*VLOOKUP('Données projet'!$B$9,Paramètres!$A$1:$I$88,5,0)</f>
        <v>143.15946666666665</v>
      </c>
      <c r="P70" s="14">
        <f t="shared" si="87"/>
        <v>37.019852180660742</v>
      </c>
      <c r="Q70" s="22">
        <f t="shared" si="54"/>
        <v>313.81231365909514</v>
      </c>
      <c r="R70" s="62">
        <f t="shared" si="55"/>
        <v>607.14564699242851</v>
      </c>
      <c r="S70" s="62">
        <f ca="1">AVERAGE(OFFSET($R$3,0,0,'Données projet'!$E$9+1,1))-AVERAGE(OFFSET($H$3,0,0,'Données projet'!$E$9+1,1))</f>
        <v>182.76154982630777</v>
      </c>
      <c r="T70" s="62">
        <f t="shared" si="88"/>
        <v>119.92190922866632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12.493933615081676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12.493933615081676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12.5</v>
      </c>
      <c r="AI70" s="14">
        <f>IF('Données projet'!$A$62&gt;35,AI69+AH70-AQ69,IF(A70&lt;'Données projet'!$A$62,$AF$205^A70,IF(A70='Données projet'!$A$62,'Données projet'!$B$62,AI69+AH70-AQ69)))</f>
        <v>442.49999999999994</v>
      </c>
      <c r="AJ70" s="14">
        <f>AI70*VLOOKUP('Données projet'!$B$10,Paramètres!$A$1:$I$88,3,0)*VLOOKUP('Données projet'!$B$10,Paramètres!$A$1:$I$88,5,0)</f>
        <v>264.61500000000001</v>
      </c>
      <c r="AK70" s="14">
        <f t="shared" si="89"/>
        <v>63.705099866269599</v>
      </c>
      <c r="AL70" s="22">
        <f t="shared" si="58"/>
        <v>571.82417393375295</v>
      </c>
      <c r="AM70" s="62">
        <f t="shared" si="59"/>
        <v>865.1575072670862</v>
      </c>
      <c r="AN70" s="62">
        <f ca="1">AVERAGE(OFFSET($AM$3,0,0,'Données projet'!$E$10+1,1))-AVERAGE(OFFSET($H$3,0,0,'Données projet'!$E$10+1,1))</f>
        <v>212.1966338656834</v>
      </c>
      <c r="AO70" s="62">
        <f t="shared" si="90"/>
        <v>194.52809733694494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41.196037056333083</v>
      </c>
      <c r="AV70" s="23">
        <f>EXP(-LN(2)/25)*AV69+(1-EXP(-LN(2)/25))/(LN(2)/25)*Calculateur!AQ70*Calculateur!AS70*VLOOKUP('Données projet'!$B$10,Paramètres!$A$1:$I$88,3,0)*0.475*44/12</f>
        <v>27.137955125146259</v>
      </c>
      <c r="AW70" s="23">
        <f>EXP(-LN(2)/2)*AW69+(1-EXP(-LN(2)/2))/(LN(2)/2)*AQ70*AT70*VLOOKUP('Données projet'!$B$10,Paramètres!$A$1:$I$88,3,0)*0.475*44/12</f>
        <v>6.0541737114184278</v>
      </c>
      <c r="AX70" s="23">
        <f t="shared" si="60"/>
        <v>74.388165892897774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5.5</v>
      </c>
      <c r="BD70" s="13">
        <f>IF('Données projet'!$A$88&gt;35,BD69+BC70-BL69,IF(A70&lt;'Données projet'!$A$88,$BA$205^A70,IF(A70='Données projet'!$A$88,'Données projet'!$B$88,BD69+BC70-BL69)))</f>
        <v>120.50000000000014</v>
      </c>
      <c r="BE70" s="14">
        <f>BD70*VLOOKUP('Données projet'!$B$11,Paramètres!$A$1:$I$88,3,0)*VLOOKUP('Données projet'!$B$11,Paramètres!$A$1:$I$88,5,0)</f>
        <v>116.54760000000014</v>
      </c>
      <c r="BF70" s="14">
        <f t="shared" si="91"/>
        <v>30.868420766044999</v>
      </c>
      <c r="BG70" s="22">
        <f t="shared" si="61"/>
        <v>256.74956950086192</v>
      </c>
      <c r="BH70" s="62">
        <f t="shared" si="62"/>
        <v>550.08290283419524</v>
      </c>
      <c r="BI70" s="62">
        <f ca="1">AVERAGE(OFFSET($BH$3,0,0,'Données projet'!$E$11+1,1))-AVERAGE(OFFSET($H$3,0,0,'Données projet'!$E$11+1,1))</f>
        <v>84.664683404322943</v>
      </c>
      <c r="BJ70" s="62">
        <f t="shared" si="92"/>
        <v>79.209234837679901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5.3244172210168426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5.3244172210168426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</v>
      </c>
      <c r="BY70" s="13">
        <f>IF('Données projet'!$A$114&gt;35,BY69+BX70-CG69,IF(A70&lt;'Données projet'!$A$114,$BV$205^A70,IF(A70='Données projet'!$A$114,'Données projet'!$B$114,BY69+BX70-CG69)))</f>
        <v>156.99999999999994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6.2222222222222223</v>
      </c>
      <c r="N71" s="14">
        <f>IF('Données projet'!$A$36&gt;35,N70+M71-V70,IF(A71&lt;'Données projet'!$A$36,$K$205^A71,IF(A71='Données projet'!$A$36,'Données projet'!$B$36,N70+M71-V70)))</f>
        <v>164.44444444444446</v>
      </c>
      <c r="O71" s="14">
        <f>N71*VLOOKUP('Données projet'!$B$9,Paramètres!$A$1:$I$88,3,0)*VLOOKUP('Données projet'!$B$9,Paramètres!$A$1:$I$88,5,0)</f>
        <v>148.78933333333333</v>
      </c>
      <c r="P71" s="14">
        <f t="shared" si="87"/>
        <v>38.303327648282028</v>
      </c>
      <c r="Q71" s="22">
        <f t="shared" si="54"/>
        <v>325.85305120964671</v>
      </c>
      <c r="R71" s="62">
        <f t="shared" si="55"/>
        <v>619.18638454298002</v>
      </c>
      <c r="S71" s="62">
        <f ca="1">AVERAGE(OFFSET($R$3,0,0,'Données projet'!$E$9+1,1))-AVERAGE(OFFSET($H$3,0,0,'Données projet'!$E$9+1,1))</f>
        <v>182.76154982630777</v>
      </c>
      <c r="T71" s="62">
        <f t="shared" si="88"/>
        <v>119.92190922866632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12.248935197436964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12.248935197436964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12.5</v>
      </c>
      <c r="AI71" s="14">
        <f>IF('Données projet'!$A$62&gt;35,AI70+AH71-AQ70,IF(A71&lt;'Données projet'!$A$62,$AF$205^A71,IF(A71='Données projet'!$A$62,'Données projet'!$B$62,AI70+AH71-AQ70)))</f>
        <v>454.99999999999994</v>
      </c>
      <c r="AJ71" s="14">
        <f>AI71*VLOOKUP('Données projet'!$B$10,Paramètres!$A$1:$I$88,3,0)*VLOOKUP('Données projet'!$B$10,Paramètres!$A$1:$I$88,5,0)</f>
        <v>272.08999999999997</v>
      </c>
      <c r="AK71" s="14">
        <f t="shared" si="89"/>
        <v>65.292620784624702</v>
      </c>
      <c r="AL71" s="22">
        <f t="shared" si="58"/>
        <v>587.6080645332213</v>
      </c>
      <c r="AM71" s="62">
        <f t="shared" si="59"/>
        <v>880.94139786655455</v>
      </c>
      <c r="AN71" s="62">
        <f ca="1">AVERAGE(OFFSET($AM$3,0,0,'Données projet'!$E$10+1,1))-AVERAGE(OFFSET($H$3,0,0,'Données projet'!$E$10+1,1))</f>
        <v>212.1966338656834</v>
      </c>
      <c r="AO71" s="62">
        <f t="shared" si="90"/>
        <v>194.52809733694494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40.388207896759901</v>
      </c>
      <c r="AV71" s="23">
        <f>EXP(-LN(2)/25)*AV70+(1-EXP(-LN(2)/25))/(LN(2)/25)*Calculateur!AQ71*Calculateur!AS71*VLOOKUP('Données projet'!$B$10,Paramètres!$A$1:$I$88,3,0)*0.475*44/12</f>
        <v>26.395866315126099</v>
      </c>
      <c r="AW71" s="23">
        <f>EXP(-LN(2)/2)*AW70+(1-EXP(-LN(2)/2))/(LN(2)/2)*AQ71*AT71*VLOOKUP('Données projet'!$B$10,Paramètres!$A$1:$I$88,3,0)*0.475*44/12</f>
        <v>4.2809472858252988</v>
      </c>
      <c r="AX71" s="23">
        <f t="shared" si="60"/>
        <v>71.065021497711314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5.5</v>
      </c>
      <c r="BD71" s="13">
        <f>IF('Données projet'!$A$88&gt;35,BD70+BC71-BL70,IF(A71&lt;'Données projet'!$A$88,$BA$205^A71,IF(A71='Données projet'!$A$88,'Données projet'!$B$88,BD70+BC71-BL70)))</f>
        <v>126.00000000000014</v>
      </c>
      <c r="BE71" s="14">
        <f>BD71*VLOOKUP('Données projet'!$B$11,Paramètres!$A$1:$I$88,3,0)*VLOOKUP('Données projet'!$B$11,Paramètres!$A$1:$I$88,5,0)</f>
        <v>121.86720000000014</v>
      </c>
      <c r="BF71" s="14">
        <f t="shared" si="91"/>
        <v>32.110100916567404</v>
      </c>
      <c r="BG71" s="22">
        <f t="shared" si="61"/>
        <v>268.17713242968847</v>
      </c>
      <c r="BH71" s="62">
        <f t="shared" si="62"/>
        <v>561.51046576302178</v>
      </c>
      <c r="BI71" s="62">
        <f ca="1">AVERAGE(OFFSET($BH$3,0,0,'Données projet'!$E$11+1,1))-AVERAGE(OFFSET($H$3,0,0,'Données projet'!$E$11+1,1))</f>
        <v>84.664683404322943</v>
      </c>
      <c r="BJ71" s="62">
        <f t="shared" si="92"/>
        <v>79.209234837679901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5.2200086468865354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5.2200086468865354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</v>
      </c>
      <c r="BY71" s="13">
        <f>IF('Données projet'!$A$114&gt;35,BY70+BX71-CG70,IF(A71&lt;'Données projet'!$A$114,$BV$205^A71,IF(A71='Données projet'!$A$114,'Données projet'!$B$114,BY70+BX71-CG70)))</f>
        <v>161.99999999999994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6.2222222222222223</v>
      </c>
      <c r="N72" s="14">
        <f>IF('Données projet'!$A$36&gt;35,N71+M72-V71,IF(A72&lt;'Données projet'!$A$36,$K$205^A72,IF(A72='Données projet'!$A$36,'Données projet'!$B$36,N71+M72-V71)))</f>
        <v>170.66666666666669</v>
      </c>
      <c r="O72" s="14">
        <f>N72*VLOOKUP('Données projet'!$B$9,Paramètres!$A$1:$I$88,3,0)*VLOOKUP('Données projet'!$B$9,Paramètres!$A$1:$I$88,5,0)</f>
        <v>154.41919999999999</v>
      </c>
      <c r="P72" s="14">
        <f t="shared" si="87"/>
        <v>39.581161281954074</v>
      </c>
      <c r="Q72" s="22">
        <f t="shared" si="54"/>
        <v>337.88396256607001</v>
      </c>
      <c r="R72" s="62">
        <f t="shared" si="55"/>
        <v>631.21729589940333</v>
      </c>
      <c r="S72" s="62">
        <f ca="1">AVERAGE(OFFSET($R$3,0,0,'Données projet'!$E$9+1,1))-AVERAGE(OFFSET($H$3,0,0,'Données projet'!$E$9+1,1))</f>
        <v>182.76154982630777</v>
      </c>
      <c r="T72" s="62">
        <f t="shared" si="88"/>
        <v>119.92190922866632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12.008741049327984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12.008741049327984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12.5</v>
      </c>
      <c r="AI72" s="14">
        <f>IF('Données projet'!$A$62&gt;35,AI71+AH72-AQ71,IF(A72&lt;'Données projet'!$A$62,$AF$205^A72,IF(A72='Données projet'!$A$62,'Données projet'!$B$62,AI71+AH72-AQ71)))</f>
        <v>467.49999999999994</v>
      </c>
      <c r="AJ72" s="14">
        <f>AI72*VLOOKUP('Données projet'!$B$10,Paramètres!$A$1:$I$88,3,0)*VLOOKUP('Données projet'!$B$10,Paramètres!$A$1:$I$88,5,0)</f>
        <v>279.565</v>
      </c>
      <c r="AK72" s="14">
        <f t="shared" si="89"/>
        <v>66.875072559595438</v>
      </c>
      <c r="AL72" s="22">
        <f t="shared" si="58"/>
        <v>603.38312637462866</v>
      </c>
      <c r="AM72" s="62">
        <f t="shared" si="59"/>
        <v>896.71645970796203</v>
      </c>
      <c r="AN72" s="62">
        <f ca="1">AVERAGE(OFFSET($AM$3,0,0,'Données projet'!$E$10+1,1))-AVERAGE(OFFSET($H$3,0,0,'Données projet'!$E$10+1,1))</f>
        <v>212.1966338656834</v>
      </c>
      <c r="AO72" s="62">
        <f t="shared" si="90"/>
        <v>194.52809733694494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39.596219774278815</v>
      </c>
      <c r="AV72" s="23">
        <f>EXP(-LN(2)/25)*AV71+(1-EXP(-LN(2)/25))/(LN(2)/25)*Calculateur!AQ72*Calculateur!AS72*VLOOKUP('Données projet'!$B$10,Paramètres!$A$1:$I$88,3,0)*0.475*44/12</f>
        <v>25.674069962640694</v>
      </c>
      <c r="AW72" s="23">
        <f>EXP(-LN(2)/2)*AW71+(1-EXP(-LN(2)/2))/(LN(2)/2)*AQ72*AT72*VLOOKUP('Données projet'!$B$10,Paramètres!$A$1:$I$88,3,0)*0.475*44/12</f>
        <v>3.0270868557092143</v>
      </c>
      <c r="AX72" s="23">
        <f t="shared" si="60"/>
        <v>68.297376592628723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5.5</v>
      </c>
      <c r="BD72" s="13">
        <f>IF('Données projet'!$A$88&gt;35,BD71+BC72-BL71,IF(A72&lt;'Données projet'!$A$88,$BA$205^A72,IF(A72='Données projet'!$A$88,'Données projet'!$B$88,BD71+BC72-BL71)))</f>
        <v>131.50000000000014</v>
      </c>
      <c r="BE72" s="14">
        <f>BD72*VLOOKUP('Données projet'!$B$11,Paramètres!$A$1:$I$88,3,0)*VLOOKUP('Données projet'!$B$11,Paramètres!$A$1:$I$88,5,0)</f>
        <v>127.18680000000013</v>
      </c>
      <c r="BF72" s="14">
        <f t="shared" si="91"/>
        <v>33.34548603888225</v>
      </c>
      <c r="BG72" s="22">
        <f t="shared" si="61"/>
        <v>279.59373151772007</v>
      </c>
      <c r="BH72" s="62">
        <f t="shared" si="62"/>
        <v>572.92706485105339</v>
      </c>
      <c r="BI72" s="62">
        <f ca="1">AVERAGE(OFFSET($BH$3,0,0,'Données projet'!$E$11+1,1))-AVERAGE(OFFSET($H$3,0,0,'Données projet'!$E$11+1,1))</f>
        <v>84.664683404322943</v>
      </c>
      <c r="BJ72" s="62">
        <f t="shared" si="92"/>
        <v>79.209234837679901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5.1176474612119822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5.1176474612119822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</v>
      </c>
      <c r="BY72" s="13">
        <f>IF('Données projet'!$A$114&gt;35,BY71+BX72-CG71,IF(A72&lt;'Données projet'!$A$114,$BV$205^A72,IF(A72='Données projet'!$A$114,'Données projet'!$B$114,BY71+BX72-CG71)))</f>
        <v>166.99999999999994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6.2222222222222223</v>
      </c>
      <c r="N73" s="14">
        <f>IF('Données projet'!$A$36&gt;35,N72+M73-V72,IF(A73&lt;'Données projet'!$A$36,$K$205^A73,IF(A73='Données projet'!$A$36,'Données projet'!$B$36,N72+M73-V72)))</f>
        <v>176.88888888888891</v>
      </c>
      <c r="O73" s="14">
        <f>N73*VLOOKUP('Données projet'!$B$9,Paramètres!$A$1:$I$88,3,0)*VLOOKUP('Données projet'!$B$9,Paramètres!$A$1:$I$88,5,0)</f>
        <v>160.04906666666668</v>
      </c>
      <c r="P73" s="14">
        <f t="shared" si="87"/>
        <v>40.853582332820466</v>
      </c>
      <c r="Q73" s="22">
        <f t="shared" si="54"/>
        <v>349.90544700744005</v>
      </c>
      <c r="R73" s="62">
        <f t="shared" si="55"/>
        <v>643.23878034077336</v>
      </c>
      <c r="S73" s="62">
        <f ca="1">AVERAGE(OFFSET($R$3,0,0,'Données projet'!$E$9+1,1))-AVERAGE(OFFSET($H$3,0,0,'Données projet'!$E$9+1,1))</f>
        <v>182.76154982630777</v>
      </c>
      <c r="T73" s="62">
        <f t="shared" si="88"/>
        <v>119.92190922866632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11.773256961959458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11.773256961959458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480</v>
      </c>
      <c r="AG73" s="13">
        <f>VLOOKUP(A73,'Données projet'!$A$61:$I$81,9,0)</f>
        <v>12.5</v>
      </c>
      <c r="AH73" s="13">
        <f t="array" ref="AH73">INDEX(AG:AG,MIN(IF(ISNUMBER(AG73:AG269),ROW(AG73:AG269),"")))</f>
        <v>12.5</v>
      </c>
      <c r="AI73" s="14">
        <f>IF('Données projet'!$A$62&gt;35,AI72+AH73-AQ72,IF(A73&lt;'Données projet'!$A$62,$AF$205^A73,IF(A73='Données projet'!$A$62,'Données projet'!$B$62,AI72+AH73-AQ72)))</f>
        <v>479.99999999999994</v>
      </c>
      <c r="AJ73" s="14">
        <f>AI73*VLOOKUP('Données projet'!$B$10,Paramètres!$A$1:$I$88,3,0)*VLOOKUP('Données projet'!$B$10,Paramètres!$A$1:$I$88,5,0)</f>
        <v>287.03999999999996</v>
      </c>
      <c r="AK73" s="14">
        <f t="shared" si="89"/>
        <v>68.452606307698659</v>
      </c>
      <c r="AL73" s="22">
        <f t="shared" si="58"/>
        <v>619.14962265257498</v>
      </c>
      <c r="AM73" s="62">
        <f t="shared" si="59"/>
        <v>912.48295598590835</v>
      </c>
      <c r="AN73" s="62">
        <f ca="1">AVERAGE(OFFSET($AM$3,0,0,'Données projet'!$E$10+1,1))-AVERAGE(OFFSET($H$3,0,0,'Données projet'!$E$10+1,1))</f>
        <v>212.1966338656834</v>
      </c>
      <c r="AO73" s="62">
        <f t="shared" si="90"/>
        <v>194.52809733694494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480</v>
      </c>
      <c r="AR73" s="17">
        <f>IF(ISNA(VLOOKUP(A73,'Données projet'!$A$61:$I$81,5,0)),0%,VLOOKUP(A73,'Données projet'!$A$61:$I$81,5,0)*VLOOKUP('Données projet'!$B$10,Paramètres!$A$1:$I$88,7,0))</f>
        <v>0.36000000000000004</v>
      </c>
      <c r="AS73" s="17">
        <f>IF(ISNA(VLOOKUP(A73,'Données projet'!$A$61:$I$81,6,0)),0%,VLOOKUP(A73,'Données projet'!$A$61:$I$81,6,0)*VLOOKUP('Données projet'!$B$10,Paramètres!$A$1:$I$88,7,0))</f>
        <v>4.9500000000000002E-2</v>
      </c>
      <c r="AT73" s="17">
        <f>IF(ISNA(VLOOKUP(A73,'Données projet'!$A$61:$I$81,7,0)),0%,VLOOKUP(A73,'Données projet'!$A$61:$I$81,7,0))</f>
        <v>0.09</v>
      </c>
      <c r="AU73" s="23">
        <f>EXP(-LN(2)/35)*AU72+(1-EXP(-LN(2)/35))/(LN(2)/35)*AQ73*AR73*VLOOKUP('Données projet'!$B$10,Paramètres!$A$1:$I$88,3,0)*0.475*44/12</f>
        <v>175.89950411998618</v>
      </c>
      <c r="AV73" s="23">
        <f>EXP(-LN(2)/25)*AV72+(1-EXP(-LN(2)/25))/(LN(2)/25)*Calculateur!AQ73*Calculateur!AS73*VLOOKUP('Données projet'!$B$10,Paramètres!$A$1:$I$88,3,0)*0.475*44/12</f>
        <v>43.746262116497526</v>
      </c>
      <c r="AW73" s="23">
        <f>EXP(-LN(2)/2)*AW72+(1-EXP(-LN(2)/2))/(LN(2)/2)*AQ73*AT73*VLOOKUP('Données projet'!$B$10,Paramètres!$A$1:$I$88,3,0)*0.475*44/12</f>
        <v>31.390109924292357</v>
      </c>
      <c r="AX73" s="23">
        <f t="shared" si="60"/>
        <v>251.03587616077604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137</v>
      </c>
      <c r="BB73" s="13">
        <f>VLOOKUP(A73,'Données projet'!$A$87:$I$107,9,0)</f>
        <v>5.5</v>
      </c>
      <c r="BC73" s="13">
        <f t="array" ref="BC73">INDEX(BB:BB,MIN(IF(ISNUMBER(BB73:BB269),ROW(BB73:BB269),"")))</f>
        <v>5.5</v>
      </c>
      <c r="BD73" s="13">
        <f>IF('Données projet'!$A$88&gt;35,BD72+BC73-BL72,IF(A73&lt;'Données projet'!$A$88,$BA$205^A73,IF(A73='Données projet'!$A$88,'Données projet'!$B$88,BD72+BC73-BL72)))</f>
        <v>137.00000000000014</v>
      </c>
      <c r="BE73" s="14">
        <f>BD73*VLOOKUP('Données projet'!$B$11,Paramètres!$A$1:$I$88,3,0)*VLOOKUP('Données projet'!$B$11,Paramètres!$A$1:$I$88,5,0)</f>
        <v>132.50640000000013</v>
      </c>
      <c r="BF73" s="14">
        <f t="shared" si="91"/>
        <v>34.574869530248975</v>
      </c>
      <c r="BG73" s="22">
        <f t="shared" si="61"/>
        <v>290.99987776518384</v>
      </c>
      <c r="BH73" s="62">
        <f t="shared" si="62"/>
        <v>584.33321109851715</v>
      </c>
      <c r="BI73" s="62">
        <f ca="1">AVERAGE(OFFSET($BH$3,0,0,'Données projet'!$E$11+1,1))-AVERAGE(OFFSET($H$3,0,0,'Données projet'!$E$11+1,1))</f>
        <v>84.664683404322943</v>
      </c>
      <c r="BJ73" s="62">
        <f t="shared" si="92"/>
        <v>79.209234837679901</v>
      </c>
      <c r="BK73" s="16">
        <f>IF(ISNA(VLOOKUP(A73,'Données projet'!$A$87:$I$107,3,0)),0,VLOOKUP(A73,'Données projet'!$A$87:$I$107,3,0))</f>
        <v>3</v>
      </c>
      <c r="BL73" s="16">
        <f>IF(ISNA(VLOOKUP(A73,'Données projet'!$A$87:$I$107,4,0)),0,VLOOKUP(A73,'Données projet'!$A$87:$I$107,4,0))</f>
        <v>137</v>
      </c>
      <c r="BM73" s="17">
        <f>IF(ISNA(VLOOKUP(A73,'Données projet'!$A$87:$I$107,5,0)),0%,VLOOKUP(A73,'Données projet'!$A$87:$I$107,5,0)*VLOOKUP('Données projet'!$B$11,Paramètres!$A$1:$I$88,7,0))</f>
        <v>0.34400000000000003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55.4070672186538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55.4070672186538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172</v>
      </c>
      <c r="BW73" s="13">
        <f>VLOOKUP(A73,'Données projet'!$A$113:$I$133,9,0)</f>
        <v>5</v>
      </c>
      <c r="BX73" s="13">
        <f t="array" ref="BX73">INDEX(BW:BW,MIN(IF(ISNUMBER(BW73:BW269),ROW(BW73:BW269),"")))</f>
        <v>5</v>
      </c>
      <c r="BY73" s="13">
        <f>IF('Données projet'!$A$114&gt;35,BY72+BX73-CG72,IF(A73&lt;'Données projet'!$A$114,$BV$205^A73,IF(A73='Données projet'!$A$114,'Données projet'!$B$114,BY72+BX73-CG72)))</f>
        <v>171.99999999999994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14</v>
      </c>
      <c r="CH73" s="17" t="e">
        <f>IF(ISNA(VLOOKUP(A73,'Données projet'!$A$113:$I$133,5,0)),0%,VLOOKUP(A73,'Données projet'!$A$113:$I$133,5,0)*VLOOKUP('Données projet'!$B$12,Paramètres!$A$1:$I$88,7,0))</f>
        <v>#N/A</v>
      </c>
      <c r="CI73" s="17" t="e">
        <f>IF(ISNA(VLOOKUP(A73,'Données projet'!$A$113:$I$133,6,0)),0%,VLOOKUP(A73,'Données projet'!$A$113:$I$133,6,0)*VLOOKUP('Données projet'!$B$12,Paramètres!$A$1:$I$88,7,0))</f>
        <v>#N/A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6.2222222222222223</v>
      </c>
      <c r="N74" s="14">
        <f>IF('Données projet'!$A$36&gt;35,N73+M74-V73,IF(A74&lt;'Données projet'!$A$36,$K$205^A74,IF(A74='Données projet'!$A$36,'Données projet'!$B$36,N73+M74-V73)))</f>
        <v>183.11111111111114</v>
      </c>
      <c r="O74" s="14">
        <f>N74*VLOOKUP('Données projet'!$B$9,Paramètres!$A$1:$I$88,3,0)*VLOOKUP('Données projet'!$B$9,Paramètres!$A$1:$I$88,5,0)</f>
        <v>165.67893333333336</v>
      </c>
      <c r="P74" s="14">
        <f t="shared" si="87"/>
        <v>42.120803009325556</v>
      </c>
      <c r="Q74" s="22">
        <f t="shared" si="54"/>
        <v>361.91787413013094</v>
      </c>
      <c r="R74" s="62">
        <f t="shared" si="55"/>
        <v>655.2512074634642</v>
      </c>
      <c r="S74" s="62">
        <f ca="1">AVERAGE(OFFSET($R$3,0,0,'Données projet'!$E$9+1,1))-AVERAGE(OFFSET($H$3,0,0,'Données projet'!$E$9+1,1))</f>
        <v>182.76154982630777</v>
      </c>
      <c r="T74" s="62">
        <f t="shared" si="88"/>
        <v>119.92190922866632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11.542390573913117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11.542390573913117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-5.6843418860808015E-14</v>
      </c>
      <c r="AJ74" s="14">
        <f>AI74*VLOOKUP('Données projet'!$B$10,Paramètres!$A$1:$I$88,3,0)*VLOOKUP('Données projet'!$B$10,Paramètres!$A$1:$I$88,5,0)</f>
        <v>-3.3992364478763198E-14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212.1966338656834</v>
      </c>
      <c r="AO74" s="62">
        <f t="shared" si="90"/>
        <v>194.52809733694494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172.45022213229694</v>
      </c>
      <c r="AV74" s="23">
        <f>EXP(-LN(2)/25)*AV73+(1-EXP(-LN(2)/25))/(LN(2)/25)*Calculateur!AQ74*Calculateur!AS74*VLOOKUP('Données projet'!$B$10,Paramètres!$A$1:$I$88,3,0)*0.475*44/12</f>
        <v>42.550018278405958</v>
      </c>
      <c r="AW74" s="23">
        <f>EXP(-LN(2)/2)*AW73+(1-EXP(-LN(2)/2))/(LN(2)/2)*AQ74*AT74*VLOOKUP('Données projet'!$B$10,Paramètres!$A$1:$I$88,3,0)*0.475*44/12</f>
        <v>22.196159589658272</v>
      </c>
      <c r="AX74" s="23">
        <f t="shared" si="60"/>
        <v>237.19640000036117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1.4210854715202004E-13</v>
      </c>
      <c r="BE74" s="14">
        <f>BD74*VLOOKUP('Données projet'!$B$11,Paramètres!$A$1:$I$88,3,0)*VLOOKUP('Données projet'!$B$11,Paramètres!$A$1:$I$88,5,0)</f>
        <v>1.3744738680543379E-13</v>
      </c>
      <c r="BF74" s="14">
        <f t="shared" si="91"/>
        <v>1.9898001765172164E-12</v>
      </c>
      <c r="BG74" s="22">
        <f t="shared" si="61"/>
        <v>3.7049561727869492E-12</v>
      </c>
      <c r="BH74" s="62">
        <f t="shared" si="62"/>
        <v>293.33333333333701</v>
      </c>
      <c r="BI74" s="62">
        <f ca="1">AVERAGE(OFFSET($BH$3,0,0,'Données projet'!$E$11+1,1))-AVERAGE(OFFSET($H$3,0,0,'Données projet'!$E$11+1,1))</f>
        <v>84.664683404322943</v>
      </c>
      <c r="BJ74" s="62">
        <f t="shared" si="92"/>
        <v>79.209234837679901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54.320568425470029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54.320568425470029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5</v>
      </c>
      <c r="BY74" s="13">
        <f>IF('Données projet'!$A$114&gt;35,BY73+BX74-CG73,IF(A74&lt;'Données projet'!$A$114,$BV$205^A74,IF(A74='Données projet'!$A$114,'Données projet'!$B$114,BY73+BX74-CG73)))</f>
        <v>162.99999999999994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6.2222222222222223</v>
      </c>
      <c r="N75" s="14">
        <f>IF('Données projet'!$A$36&gt;35,N74+M75-V74,IF(A75&lt;'Données projet'!$A$36,$K$205^A75,IF(A75='Données projet'!$A$36,'Données projet'!$B$36,N74+M75-V74)))</f>
        <v>189.33333333333337</v>
      </c>
      <c r="O75" s="14">
        <f>N75*VLOOKUP('Données projet'!$B$9,Paramètres!$A$1:$I$88,3,0)*VLOOKUP('Données projet'!$B$9,Paramètres!$A$1:$I$88,5,0)</f>
        <v>171.30880000000002</v>
      </c>
      <c r="P75" s="14">
        <f t="shared" si="87"/>
        <v>43.383020279841645</v>
      </c>
      <c r="Q75" s="22">
        <f t="shared" si="54"/>
        <v>373.92158698739087</v>
      </c>
      <c r="R75" s="62">
        <f t="shared" si="55"/>
        <v>667.25492032072418</v>
      </c>
      <c r="S75" s="62">
        <f ca="1">AVERAGE(OFFSET($R$3,0,0,'Données projet'!$E$9+1,1))-AVERAGE(OFFSET($H$3,0,0,'Données projet'!$E$9+1,1))</f>
        <v>182.76154982630777</v>
      </c>
      <c r="T75" s="62">
        <f t="shared" si="88"/>
        <v>119.92190922866632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11.316051334921772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11.316051334921772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-5.6843418860808015E-14</v>
      </c>
      <c r="AJ75" s="14">
        <f>AI75*VLOOKUP('Données projet'!$B$10,Paramètres!$A$1:$I$88,3,0)*VLOOKUP('Données projet'!$B$10,Paramètres!$A$1:$I$88,5,0)</f>
        <v>-3.3992364478763198E-14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212.1966338656834</v>
      </c>
      <c r="AO75" s="62">
        <f t="shared" si="90"/>
        <v>194.52809733694494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169.06857846053202</v>
      </c>
      <c r="AV75" s="23">
        <f>EXP(-LN(2)/25)*AV74+(1-EXP(-LN(2)/25))/(LN(2)/25)*Calculateur!AQ75*Calculateur!AS75*VLOOKUP('Données projet'!$B$10,Paramètres!$A$1:$I$88,3,0)*0.475*44/12</f>
        <v>41.386485790974731</v>
      </c>
      <c r="AW75" s="23">
        <f>EXP(-LN(2)/2)*AW74+(1-EXP(-LN(2)/2))/(LN(2)/2)*AQ75*AT75*VLOOKUP('Données projet'!$B$10,Paramètres!$A$1:$I$88,3,0)*0.475*44/12</f>
        <v>15.695054962146182</v>
      </c>
      <c r="AX75" s="23">
        <f t="shared" si="60"/>
        <v>226.15011921365294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1.4210854715202004E-13</v>
      </c>
      <c r="BE75" s="14">
        <f>BD75*VLOOKUP('Données projet'!$B$11,Paramètres!$A$1:$I$88,3,0)*VLOOKUP('Données projet'!$B$11,Paramètres!$A$1:$I$88,5,0)</f>
        <v>1.3744738680543379E-13</v>
      </c>
      <c r="BF75" s="14">
        <f t="shared" si="91"/>
        <v>1.9898001765172164E-12</v>
      </c>
      <c r="BG75" s="22">
        <f t="shared" si="61"/>
        <v>3.7049561727869492E-12</v>
      </c>
      <c r="BH75" s="62">
        <f t="shared" si="62"/>
        <v>293.33333333333701</v>
      </c>
      <c r="BI75" s="62">
        <f ca="1">AVERAGE(OFFSET($BH$3,0,0,'Données projet'!$E$11+1,1))-AVERAGE(OFFSET($H$3,0,0,'Données projet'!$E$11+1,1))</f>
        <v>84.664683404322943</v>
      </c>
      <c r="BJ75" s="62">
        <f t="shared" si="92"/>
        <v>79.209234837679901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53.255375210921763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53.255375210921763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5</v>
      </c>
      <c r="BY75" s="13">
        <f>IF('Données projet'!$A$114&gt;35,BY74+BX75-CG74,IF(A75&lt;'Données projet'!$A$114,$BV$205^A75,IF(A75='Données projet'!$A$114,'Données projet'!$B$114,BY74+BX75-CG74)))</f>
        <v>167.99999999999994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6.2222222222222223</v>
      </c>
      <c r="N76" s="14">
        <f>IF('Données projet'!$A$36&gt;35,N75+M76-V75,IF(A76&lt;'Données projet'!$A$36,$K$205^A76,IF(A76='Données projet'!$A$36,'Données projet'!$B$36,N75+M76-V75)))</f>
        <v>195.5555555555556</v>
      </c>
      <c r="O76" s="14">
        <f>N76*VLOOKUP('Données projet'!$B$9,Paramètres!$A$1:$I$88,3,0)*VLOOKUP('Données projet'!$B$9,Paramètres!$A$1:$I$88,5,0)</f>
        <v>176.93866666666671</v>
      </c>
      <c r="P76" s="14">
        <f t="shared" si="87"/>
        <v>44.640417431674805</v>
      </c>
      <c r="Q76" s="22">
        <f t="shared" si="54"/>
        <v>385.91690480461148</v>
      </c>
      <c r="R76" s="62">
        <f t="shared" si="55"/>
        <v>679.25023813794473</v>
      </c>
      <c r="S76" s="62">
        <f ca="1">AVERAGE(OFFSET($R$3,0,0,'Données projet'!$E$9+1,1))-AVERAGE(OFFSET($H$3,0,0,'Données projet'!$E$9+1,1))</f>
        <v>182.76154982630777</v>
      </c>
      <c r="T76" s="62">
        <f t="shared" si="88"/>
        <v>119.92190922866632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11.094150470353744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11.094150470353744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-5.6843418860808015E-14</v>
      </c>
      <c r="AJ76" s="14">
        <f>AI76*VLOOKUP('Données projet'!$B$10,Paramètres!$A$1:$I$88,3,0)*VLOOKUP('Données projet'!$B$10,Paramètres!$A$1:$I$88,5,0)</f>
        <v>-3.3992364478763198E-14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212.1966338656834</v>
      </c>
      <c r="AO76" s="62">
        <f t="shared" si="90"/>
        <v>194.52809733694494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165.75324675857144</v>
      </c>
      <c r="AV76" s="23">
        <f>EXP(-LN(2)/25)*AV75+(1-EXP(-LN(2)/25))/(LN(2)/25)*Calculateur!AQ76*Calculateur!AS76*VLOOKUP('Données projet'!$B$10,Paramètres!$A$1:$I$88,3,0)*0.475*44/12</f>
        <v>40.254770160599833</v>
      </c>
      <c r="AW76" s="23">
        <f>EXP(-LN(2)/2)*AW75+(1-EXP(-LN(2)/2))/(LN(2)/2)*AQ76*AT76*VLOOKUP('Données projet'!$B$10,Paramètres!$A$1:$I$88,3,0)*0.475*44/12</f>
        <v>11.098079794829138</v>
      </c>
      <c r="AX76" s="23">
        <f t="shared" si="60"/>
        <v>217.10609671400042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1.4210854715202004E-13</v>
      </c>
      <c r="BE76" s="14">
        <f>BD76*VLOOKUP('Données projet'!$B$11,Paramètres!$A$1:$I$88,3,0)*VLOOKUP('Données projet'!$B$11,Paramètres!$A$1:$I$88,5,0)</f>
        <v>1.3744738680543379E-13</v>
      </c>
      <c r="BF76" s="14">
        <f t="shared" si="91"/>
        <v>1.9898001765172164E-12</v>
      </c>
      <c r="BG76" s="22">
        <f t="shared" si="61"/>
        <v>3.7049561727869492E-12</v>
      </c>
      <c r="BH76" s="62">
        <f t="shared" si="62"/>
        <v>293.33333333333701</v>
      </c>
      <c r="BI76" s="62">
        <f ca="1">AVERAGE(OFFSET($BH$3,0,0,'Données projet'!$E$11+1,1))-AVERAGE(OFFSET($H$3,0,0,'Données projet'!$E$11+1,1))</f>
        <v>84.664683404322943</v>
      </c>
      <c r="BJ76" s="62">
        <f t="shared" si="92"/>
        <v>79.209234837679901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52.21106978560708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52.21106978560708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5</v>
      </c>
      <c r="BY76" s="13">
        <f>IF('Données projet'!$A$114&gt;35,BY75+BX76-CG75,IF(A76&lt;'Données projet'!$A$114,$BV$205^A76,IF(A76='Données projet'!$A$114,'Données projet'!$B$114,BY75+BX76-CG75)))</f>
        <v>172.99999999999994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6.2222222222222223</v>
      </c>
      <c r="N77" s="14">
        <f>IF('Données projet'!$A$36&gt;35,N76+M77-V76,IF(A77&lt;'Données projet'!$A$36,$K$205^A77,IF(A77='Données projet'!$A$36,'Données projet'!$B$36,N76+M77-V76)))</f>
        <v>201.77777777777783</v>
      </c>
      <c r="O77" s="14">
        <f>N77*VLOOKUP('Données projet'!$B$9,Paramètres!$A$1:$I$88,3,0)*VLOOKUP('Données projet'!$B$9,Paramètres!$A$1:$I$88,5,0)</f>
        <v>182.56853333333336</v>
      </c>
      <c r="P77" s="14">
        <f t="shared" si="87"/>
        <v>45.893165426077466</v>
      </c>
      <c r="Q77" s="22">
        <f t="shared" si="54"/>
        <v>397.9041253393072</v>
      </c>
      <c r="R77" s="62">
        <f t="shared" si="55"/>
        <v>691.23745867264051</v>
      </c>
      <c r="S77" s="62">
        <f ca="1">AVERAGE(OFFSET($R$3,0,0,'Données projet'!$E$9+1,1))-AVERAGE(OFFSET($H$3,0,0,'Données projet'!$E$9+1,1))</f>
        <v>182.76154982630777</v>
      </c>
      <c r="T77" s="62">
        <f t="shared" si="88"/>
        <v>119.92190922866632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10.876600946393731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10.876600946393731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-5.6843418860808015E-14</v>
      </c>
      <c r="AJ77" s="14">
        <f>AI77*VLOOKUP('Données projet'!$B$10,Paramètres!$A$1:$I$88,3,0)*VLOOKUP('Données projet'!$B$10,Paramètres!$A$1:$I$88,5,0)</f>
        <v>-3.3992364478763198E-14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212.1966338656834</v>
      </c>
      <c r="AO77" s="62">
        <f t="shared" si="90"/>
        <v>194.52809733694494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162.50292668913363</v>
      </c>
      <c r="AV77" s="23">
        <f>EXP(-LN(2)/25)*AV76+(1-EXP(-LN(2)/25))/(LN(2)/25)*Calculateur!AQ77*Calculateur!AS77*VLOOKUP('Données projet'!$B$10,Paramètres!$A$1:$I$88,3,0)*0.475*44/12</f>
        <v>39.154001353651871</v>
      </c>
      <c r="AW77" s="23">
        <f>EXP(-LN(2)/2)*AW76+(1-EXP(-LN(2)/2))/(LN(2)/2)*AQ77*AT77*VLOOKUP('Données projet'!$B$10,Paramètres!$A$1:$I$88,3,0)*0.475*44/12</f>
        <v>7.8475274810730919</v>
      </c>
      <c r="AX77" s="23">
        <f t="shared" si="60"/>
        <v>209.50445552385858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1.4210854715202004E-13</v>
      </c>
      <c r="BE77" s="14">
        <f>BD77*VLOOKUP('Données projet'!$B$11,Paramètres!$A$1:$I$88,3,0)*VLOOKUP('Données projet'!$B$11,Paramètres!$A$1:$I$88,5,0)</f>
        <v>1.3744738680543379E-13</v>
      </c>
      <c r="BF77" s="14">
        <f t="shared" si="91"/>
        <v>1.9898001765172164E-12</v>
      </c>
      <c r="BG77" s="22">
        <f t="shared" si="61"/>
        <v>3.7049561727869492E-12</v>
      </c>
      <c r="BH77" s="62">
        <f t="shared" si="62"/>
        <v>293.33333333333701</v>
      </c>
      <c r="BI77" s="62">
        <f ca="1">AVERAGE(OFFSET($BH$3,0,0,'Données projet'!$E$11+1,1))-AVERAGE(OFFSET($H$3,0,0,'Données projet'!$E$11+1,1))</f>
        <v>84.664683404322943</v>
      </c>
      <c r="BJ77" s="62">
        <f t="shared" si="92"/>
        <v>79.209234837679901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51.187242552719404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51.187242552719404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5</v>
      </c>
      <c r="BY77" s="13">
        <f>IF('Données projet'!$A$114&gt;35,BY76+BX77-CG76,IF(A77&lt;'Données projet'!$A$114,$BV$205^A77,IF(A77='Données projet'!$A$114,'Données projet'!$B$114,BY76+BX77-CG76)))</f>
        <v>177.99999999999994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208</v>
      </c>
      <c r="L78" s="13">
        <f>VLOOKUP(A78,'Données projet'!$A$35:$I$55,9,0)</f>
        <v>6.2222222222222223</v>
      </c>
      <c r="M78" s="13">
        <f t="array" ref="M78">INDEX(L:L,MIN(IF(ISNUMBER(L78:L274),ROW(L78:L274),"")))</f>
        <v>6.2222222222222223</v>
      </c>
      <c r="N78" s="14">
        <f>IF('Données projet'!$A$36&gt;35,N77+M78-V77,IF(A78&lt;'Données projet'!$A$36,$K$205^A78,IF(A78='Données projet'!$A$36,'Données projet'!$B$36,N77+M78-V77)))</f>
        <v>208.00000000000006</v>
      </c>
      <c r="O78" s="14">
        <f>N78*VLOOKUP('Données projet'!$B$9,Paramètres!$A$1:$I$88,3,0)*VLOOKUP('Données projet'!$B$9,Paramètres!$A$1:$I$88,5,0)</f>
        <v>188.19840000000005</v>
      </c>
      <c r="P78" s="14">
        <f t="shared" si="87"/>
        <v>47.141424081428056</v>
      </c>
      <c r="Q78" s="22">
        <f t="shared" si="54"/>
        <v>409.88352694182055</v>
      </c>
      <c r="R78" s="62">
        <f t="shared" si="55"/>
        <v>703.21686027515386</v>
      </c>
      <c r="S78" s="62">
        <f ca="1">AVERAGE(OFFSET($R$3,0,0,'Données projet'!$E$9+1,1))-AVERAGE(OFFSET($H$3,0,0,'Données projet'!$E$9+1,1))</f>
        <v>182.76154982630777</v>
      </c>
      <c r="T78" s="62">
        <f t="shared" si="88"/>
        <v>119.92190922866632</v>
      </c>
      <c r="U78" s="16">
        <f>IF(ISNA(VLOOKUP(A78,'Données projet'!$A$35:$I$55,3,0)),0,VLOOKUP(A78,'Données projet'!$A$35:$I$55,3,0))</f>
        <v>5</v>
      </c>
      <c r="V78" s="16">
        <f>IF(ISNA(VLOOKUP(A78,'Données projet'!$A$35:$I$55,4,0)),0,VLOOKUP(A78,'Données projet'!$A$35:$I$55,4,0))</f>
        <v>37</v>
      </c>
      <c r="W78" s="17">
        <f>IF(ISNA(VLOOKUP(A78,'Données projet'!$A$35:$I$55,5,0)),0%,VLOOKUP(A78,'Données projet'!$A$35:$I$55,5,0)*VLOOKUP('Données projet'!$B$9,Paramètres!$A$1:$I$88,7,0))</f>
        <v>0.17200000000000001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17.028778606497063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17.028778606497063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-5.6843418860808015E-14</v>
      </c>
      <c r="AJ78" s="14">
        <f>AI78*VLOOKUP('Données projet'!$B$10,Paramètres!$A$1:$I$88,3,0)*VLOOKUP('Données projet'!$B$10,Paramètres!$A$1:$I$88,5,0)</f>
        <v>-3.3992364478763198E-14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212.1966338656834</v>
      </c>
      <c r="AO78" s="62">
        <f t="shared" si="90"/>
        <v>194.52809733694494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159.31634341375801</v>
      </c>
      <c r="AV78" s="23">
        <f>EXP(-LN(2)/25)*AV77+(1-EXP(-LN(2)/25))/(LN(2)/25)*Calculateur!AQ78*Calculateur!AS78*VLOOKUP('Données projet'!$B$10,Paramètres!$A$1:$I$88,3,0)*0.475*44/12</f>
        <v>38.083333127616818</v>
      </c>
      <c r="AW78" s="23">
        <f>EXP(-LN(2)/2)*AW77+(1-EXP(-LN(2)/2))/(LN(2)/2)*AQ78*AT78*VLOOKUP('Données projet'!$B$10,Paramètres!$A$1:$I$88,3,0)*0.475*44/12</f>
        <v>5.5490398974145698</v>
      </c>
      <c r="AX78" s="23">
        <f t="shared" si="60"/>
        <v>202.94871643878938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1.4210854715202004E-13</v>
      </c>
      <c r="BE78" s="14">
        <f>BD78*VLOOKUP('Données projet'!$B$11,Paramètres!$A$1:$I$88,3,0)*VLOOKUP('Données projet'!$B$11,Paramètres!$A$1:$I$88,5,0)</f>
        <v>1.3744738680543379E-13</v>
      </c>
      <c r="BF78" s="14">
        <f t="shared" si="91"/>
        <v>1.9898001765172164E-12</v>
      </c>
      <c r="BG78" s="22">
        <f t="shared" si="61"/>
        <v>3.7049561727869492E-12</v>
      </c>
      <c r="BH78" s="62">
        <f t="shared" si="62"/>
        <v>293.33333333333701</v>
      </c>
      <c r="BI78" s="62">
        <f ca="1">AVERAGE(OFFSET($BH$3,0,0,'Données projet'!$E$11+1,1))-AVERAGE(OFFSET($H$3,0,0,'Données projet'!$E$11+1,1))</f>
        <v>84.664683404322943</v>
      </c>
      <c r="BJ78" s="62">
        <f t="shared" si="92"/>
        <v>79.209234837679901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50.183491947395702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50.183491947395702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183</v>
      </c>
      <c r="BW78" s="13">
        <f>VLOOKUP(A78,'Données projet'!$A$113:$I$133,9,0)</f>
        <v>5</v>
      </c>
      <c r="BX78" s="13">
        <f t="array" ref="BX78">INDEX(BW:BW,MIN(IF(ISNUMBER(BW78:BW274),ROW(BW78:BW274),"")))</f>
        <v>5</v>
      </c>
      <c r="BY78" s="13">
        <f>IF('Données projet'!$A$114&gt;35,BY77+BX78-CG77,IF(A78&lt;'Données projet'!$A$114,$BV$205^A78,IF(A78='Données projet'!$A$114,'Données projet'!$B$114,BY77+BX78-CG77)))</f>
        <v>182.99999999999994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14</v>
      </c>
      <c r="CH78" s="17" t="e">
        <f>IF(ISNA(VLOOKUP(A78,'Données projet'!$A$113:$I$133,5,0)),0%,VLOOKUP(A78,'Données projet'!$A$113:$I$133,5,0)*VLOOKUP('Données projet'!$B$12,Paramètres!$A$1:$I$88,7,0))</f>
        <v>#N/A</v>
      </c>
      <c r="CI78" s="17" t="e">
        <f>IF(ISNA(VLOOKUP(A78,'Données projet'!$A$113:$I$133,6,0)),0%,VLOOKUP(A78,'Données projet'!$A$113:$I$133,6,0)*VLOOKUP('Données projet'!$B$12,Paramètres!$A$1:$I$88,7,0))</f>
        <v>#N/A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5.8888888888888893</v>
      </c>
      <c r="N79" s="14">
        <f>IF('Données projet'!$A$36&gt;35,N78+M79-V78,IF(A79&lt;'Données projet'!$A$36,$K$205^A79,IF(A79='Données projet'!$A$36,'Données projet'!$B$36,N78+M79-V78)))</f>
        <v>176.88888888888894</v>
      </c>
      <c r="O79" s="14">
        <f>N79*VLOOKUP('Données projet'!$B$9,Paramètres!$A$1:$I$88,3,0)*VLOOKUP('Données projet'!$B$9,Paramètres!$A$1:$I$88,5,0)</f>
        <v>160.0490666666667</v>
      </c>
      <c r="P79" s="14">
        <f t="shared" si="87"/>
        <v>40.853582332820466</v>
      </c>
      <c r="Q79" s="22">
        <f t="shared" si="54"/>
        <v>349.90544700744005</v>
      </c>
      <c r="R79" s="62">
        <f t="shared" si="55"/>
        <v>643.23878034077336</v>
      </c>
      <c r="S79" s="62">
        <f ca="1">AVERAGE(OFFSET($R$3,0,0,'Données projet'!$E$9+1,1))-AVERAGE(OFFSET($H$3,0,0,'Données projet'!$E$9+1,1))</f>
        <v>182.76154982630777</v>
      </c>
      <c r="T79" s="62">
        <f t="shared" si="88"/>
        <v>119.92190922866632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16.694854644553022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16.694854644553022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projet'!$B$10,Paramètres!$A$1:$I$88,3,0)*VLOOKUP('Données projet'!$B$10,Paramètres!$A$1:$I$88,5,0)</f>
        <v>-3.3992364478763198E-14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212.1966338656834</v>
      </c>
      <c r="AO79" s="62">
        <f t="shared" si="90"/>
        <v>194.52809733694494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156.19224709278862</v>
      </c>
      <c r="AV79" s="23">
        <f>EXP(-LN(2)/25)*AV78+(1-EXP(-LN(2)/25))/(LN(2)/25)*Calculateur!AQ79*Calculateur!AS79*VLOOKUP('Données projet'!$B$10,Paramètres!$A$1:$I$88,3,0)*0.475*44/12</f>
        <v>37.041942380526685</v>
      </c>
      <c r="AW79" s="23">
        <f>EXP(-LN(2)/2)*AW78+(1-EXP(-LN(2)/2))/(LN(2)/2)*AQ79*AT79*VLOOKUP('Données projet'!$B$10,Paramètres!$A$1:$I$88,3,0)*0.475*44/12</f>
        <v>3.9237637405365464</v>
      </c>
      <c r="AX79" s="23">
        <f t="shared" si="60"/>
        <v>197.15795321385184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1.4210854715202004E-13</v>
      </c>
      <c r="BE79" s="14">
        <f>BD79*VLOOKUP('Données projet'!$B$11,Paramètres!$A$1:$I$88,3,0)*VLOOKUP('Données projet'!$B$11,Paramètres!$A$1:$I$88,5,0)</f>
        <v>1.3744738680543379E-13</v>
      </c>
      <c r="BF79" s="14">
        <f t="shared" si="91"/>
        <v>1.9898001765172164E-12</v>
      </c>
      <c r="BG79" s="22">
        <f t="shared" si="61"/>
        <v>3.7049561727869492E-12</v>
      </c>
      <c r="BH79" s="62">
        <f t="shared" si="62"/>
        <v>293.33333333333701</v>
      </c>
      <c r="BI79" s="62">
        <f ca="1">AVERAGE(OFFSET($BH$3,0,0,'Données projet'!$E$11+1,1))-AVERAGE(OFFSET($H$3,0,0,'Données projet'!$E$11+1,1))</f>
        <v>84.664683404322943</v>
      </c>
      <c r="BJ79" s="62">
        <f t="shared" si="92"/>
        <v>79.209234837679901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49.199424279214981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49.199424279214981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4.5999999999999996</v>
      </c>
      <c r="BY79" s="13">
        <f>IF('Données projet'!$A$114&gt;35,BY78+BX79-CG78,IF(A79&lt;'Données projet'!$A$114,$BV$205^A79,IF(A79='Données projet'!$A$114,'Données projet'!$B$114,BY78+BX79-CG78)))</f>
        <v>173.59999999999994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5.8888888888888893</v>
      </c>
      <c r="N80" s="14">
        <f>IF('Données projet'!$A$36&gt;35,N79+M80-V79,IF(A80&lt;'Données projet'!$A$36,$K$205^A80,IF(A80='Données projet'!$A$36,'Données projet'!$B$36,N79+M80-V79)))</f>
        <v>182.77777777777783</v>
      </c>
      <c r="O80" s="14">
        <f>N80*VLOOKUP('Données projet'!$B$9,Paramètres!$A$1:$I$88,3,0)*VLOOKUP('Données projet'!$B$9,Paramètres!$A$1:$I$88,5,0)</f>
        <v>165.37733333333338</v>
      </c>
      <c r="P80" s="14">
        <f t="shared" si="87"/>
        <v>42.053044719288117</v>
      </c>
      <c r="Q80" s="22">
        <f t="shared" si="54"/>
        <v>361.27457510831573</v>
      </c>
      <c r="R80" s="62">
        <f t="shared" si="55"/>
        <v>654.60790844164899</v>
      </c>
      <c r="S80" s="62">
        <f ca="1">AVERAGE(OFFSET($R$3,0,0,'Données projet'!$E$9+1,1))-AVERAGE(OFFSET($H$3,0,0,'Données projet'!$E$9+1,1))</f>
        <v>182.76154982630777</v>
      </c>
      <c r="T80" s="62">
        <f t="shared" si="88"/>
        <v>119.92190922866632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16.367478727829198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16.367478727829198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projet'!$B$10,Paramètres!$A$1:$I$88,3,0)*VLOOKUP('Données projet'!$B$10,Paramètres!$A$1:$I$88,5,0)</f>
        <v>-3.3992364478763198E-14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212.1966338656834</v>
      </c>
      <c r="AO80" s="62">
        <f t="shared" si="90"/>
        <v>194.52809733694494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153.12941239516283</v>
      </c>
      <c r="AV80" s="23">
        <f>EXP(-LN(2)/25)*AV79+(1-EXP(-LN(2)/25))/(LN(2)/25)*Calculateur!AQ80*Calculateur!AS80*VLOOKUP('Données projet'!$B$10,Paramètres!$A$1:$I$88,3,0)*0.475*44/12</f>
        <v>36.029028518180091</v>
      </c>
      <c r="AW80" s="23">
        <f>EXP(-LN(2)/2)*AW79+(1-EXP(-LN(2)/2))/(LN(2)/2)*AQ80*AT80*VLOOKUP('Données projet'!$B$10,Paramètres!$A$1:$I$88,3,0)*0.475*44/12</f>
        <v>2.7745199487072854</v>
      </c>
      <c r="AX80" s="23">
        <f t="shared" si="60"/>
        <v>191.93296086205021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1.4210854715202004E-13</v>
      </c>
      <c r="BE80" s="14">
        <f>BD80*VLOOKUP('Données projet'!$B$11,Paramètres!$A$1:$I$88,3,0)*VLOOKUP('Données projet'!$B$11,Paramètres!$A$1:$I$88,5,0)</f>
        <v>1.3744738680543379E-13</v>
      </c>
      <c r="BF80" s="14">
        <f t="shared" si="91"/>
        <v>1.9898001765172164E-12</v>
      </c>
      <c r="BG80" s="22">
        <f t="shared" si="61"/>
        <v>3.7049561727869492E-12</v>
      </c>
      <c r="BH80" s="62">
        <f t="shared" si="62"/>
        <v>293.33333333333701</v>
      </c>
      <c r="BI80" s="62">
        <f ca="1">AVERAGE(OFFSET($BH$3,0,0,'Données projet'!$E$11+1,1))-AVERAGE(OFFSET($H$3,0,0,'Données projet'!$E$11+1,1))</f>
        <v>84.664683404322943</v>
      </c>
      <c r="BJ80" s="62">
        <f t="shared" si="92"/>
        <v>79.209234837679901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48.234653577785274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48.234653577785274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4.5999999999999996</v>
      </c>
      <c r="BY80" s="13">
        <f>IF('Données projet'!$A$114&gt;35,BY79+BX80-CG79,IF(A80&lt;'Données projet'!$A$114,$BV$205^A80,IF(A80='Données projet'!$A$114,'Données projet'!$B$114,BY79+BX80-CG79)))</f>
        <v>178.19999999999993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5.8888888888888893</v>
      </c>
      <c r="N81" s="14">
        <f>IF('Données projet'!$A$36&gt;35,N80+M81-V80,IF(A81&lt;'Données projet'!$A$36,$K$205^A81,IF(A81='Données projet'!$A$36,'Données projet'!$B$36,N80+M81-V80)))</f>
        <v>188.66666666666671</v>
      </c>
      <c r="O81" s="14">
        <f>N81*VLOOKUP('Données projet'!$B$9,Paramètres!$A$1:$I$88,3,0)*VLOOKUP('Données projet'!$B$9,Paramètres!$A$1:$I$88,5,0)</f>
        <v>170.70560000000003</v>
      </c>
      <c r="P81" s="14">
        <f t="shared" si="87"/>
        <v>43.248016397285603</v>
      </c>
      <c r="Q81" s="22">
        <f t="shared" si="54"/>
        <v>372.63588189193911</v>
      </c>
      <c r="R81" s="62">
        <f t="shared" si="55"/>
        <v>665.96921522527236</v>
      </c>
      <c r="S81" s="62">
        <f ca="1">AVERAGE(OFFSET($R$3,0,0,'Données projet'!$E$9+1,1))-AVERAGE(OFFSET($H$3,0,0,'Données projet'!$E$9+1,1))</f>
        <v>182.76154982630777</v>
      </c>
      <c r="T81" s="62">
        <f t="shared" si="88"/>
        <v>119.92190922866632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16.046522453152736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16.046522453152736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projet'!$B$10,Paramètres!$A$1:$I$88,3,0)*VLOOKUP('Données projet'!$B$10,Paramètres!$A$1:$I$88,5,0)</f>
        <v>-3.3992364478763198E-14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212.1966338656834</v>
      </c>
      <c r="AO81" s="62">
        <f t="shared" si="90"/>
        <v>194.52809733694494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150.12663801781278</v>
      </c>
      <c r="AV81" s="23">
        <f>EXP(-LN(2)/25)*AV80+(1-EXP(-LN(2)/25))/(LN(2)/25)*Calculateur!AQ81*Calculateur!AS81*VLOOKUP('Données projet'!$B$10,Paramètres!$A$1:$I$88,3,0)*0.475*44/12</f>
        <v>35.043812838666192</v>
      </c>
      <c r="AW81" s="23">
        <f>EXP(-LN(2)/2)*AW80+(1-EXP(-LN(2)/2))/(LN(2)/2)*AQ81*AT81*VLOOKUP('Données projet'!$B$10,Paramètres!$A$1:$I$88,3,0)*0.475*44/12</f>
        <v>1.9618818702682737</v>
      </c>
      <c r="AX81" s="23">
        <f t="shared" si="60"/>
        <v>187.13233272674725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1.4210854715202004E-13</v>
      </c>
      <c r="BE81" s="14">
        <f>BD81*VLOOKUP('Données projet'!$B$11,Paramètres!$A$1:$I$88,3,0)*VLOOKUP('Données projet'!$B$11,Paramètres!$A$1:$I$88,5,0)</f>
        <v>1.3744738680543379E-13</v>
      </c>
      <c r="BF81" s="14">
        <f t="shared" si="91"/>
        <v>1.9898001765172164E-12</v>
      </c>
      <c r="BG81" s="22">
        <f t="shared" si="61"/>
        <v>3.7049561727869492E-12</v>
      </c>
      <c r="BH81" s="62">
        <f t="shared" si="62"/>
        <v>293.33333333333701</v>
      </c>
      <c r="BI81" s="62">
        <f ca="1">AVERAGE(OFFSET($BH$3,0,0,'Données projet'!$E$11+1,1))-AVERAGE(OFFSET($H$3,0,0,'Données projet'!$E$11+1,1))</f>
        <v>84.664683404322943</v>
      </c>
      <c r="BJ81" s="62">
        <f t="shared" si="92"/>
        <v>79.209234837679901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47.288801441358579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47.288801441358579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4.5999999999999996</v>
      </c>
      <c r="BY81" s="13">
        <f>IF('Données projet'!$A$114&gt;35,BY80+BX81-CG80,IF(A81&lt;'Données projet'!$A$114,$BV$205^A81,IF(A81='Données projet'!$A$114,'Données projet'!$B$114,BY80+BX81-CG80)))</f>
        <v>182.79999999999993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5.8888888888888893</v>
      </c>
      <c r="N82" s="14">
        <f>IF('Données projet'!$A$36&gt;35,N81+M82-V81,IF(A82&lt;'Données projet'!$A$36,$K$205^A82,IF(A82='Données projet'!$A$36,'Données projet'!$B$36,N81+M82-V81)))</f>
        <v>194.5555555555556</v>
      </c>
      <c r="O82" s="14">
        <f>N82*VLOOKUP('Données projet'!$B$9,Paramètres!$A$1:$I$88,3,0)*VLOOKUP('Données projet'!$B$9,Paramètres!$A$1:$I$88,5,0)</f>
        <v>176.03386666666668</v>
      </c>
      <c r="P82" s="14">
        <f t="shared" si="87"/>
        <v>44.438653619423476</v>
      </c>
      <c r="Q82" s="22">
        <f t="shared" si="54"/>
        <v>383.98963949827368</v>
      </c>
      <c r="R82" s="62">
        <f t="shared" si="55"/>
        <v>677.32297283160699</v>
      </c>
      <c r="S82" s="62">
        <f ca="1">AVERAGE(OFFSET($R$3,0,0,'Données projet'!$E$9+1,1))-AVERAGE(OFFSET($H$3,0,0,'Données projet'!$E$9+1,1))</f>
        <v>182.76154982630777</v>
      </c>
      <c r="T82" s="62">
        <f t="shared" si="88"/>
        <v>119.92190922866632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15.731859935258681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15.731859935258681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projet'!$B$10,Paramètres!$A$1:$I$88,3,0)*VLOOKUP('Données projet'!$B$10,Paramètres!$A$1:$I$88,5,0)</f>
        <v>-3.3992364478763198E-14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212.1966338656834</v>
      </c>
      <c r="AO82" s="62">
        <f t="shared" si="90"/>
        <v>194.52809733694494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147.18274621449106</v>
      </c>
      <c r="AV82" s="23">
        <f>EXP(-LN(2)/25)*AV81+(1-EXP(-LN(2)/25))/(LN(2)/25)*Calculateur!AQ82*Calculateur!AS82*VLOOKUP('Données projet'!$B$10,Paramètres!$A$1:$I$88,3,0)*0.475*44/12</f>
        <v>34.08553793371884</v>
      </c>
      <c r="AW82" s="23">
        <f>EXP(-LN(2)/2)*AW81+(1-EXP(-LN(2)/2))/(LN(2)/2)*AQ82*AT82*VLOOKUP('Données projet'!$B$10,Paramètres!$A$1:$I$88,3,0)*0.475*44/12</f>
        <v>1.3872599743536429</v>
      </c>
      <c r="AX82" s="23">
        <f t="shared" si="60"/>
        <v>182.65554412256353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1.4210854715202004E-13</v>
      </c>
      <c r="BE82" s="14">
        <f>BD82*VLOOKUP('Données projet'!$B$11,Paramètres!$A$1:$I$88,3,0)*VLOOKUP('Données projet'!$B$11,Paramètres!$A$1:$I$88,5,0)</f>
        <v>1.3744738680543379E-13</v>
      </c>
      <c r="BF82" s="14">
        <f t="shared" si="91"/>
        <v>1.9898001765172164E-12</v>
      </c>
      <c r="BG82" s="22">
        <f t="shared" si="61"/>
        <v>3.7049561727869492E-12</v>
      </c>
      <c r="BH82" s="62">
        <f t="shared" si="62"/>
        <v>293.33333333333701</v>
      </c>
      <c r="BI82" s="62">
        <f ca="1">AVERAGE(OFFSET($BH$3,0,0,'Données projet'!$E$11+1,1))-AVERAGE(OFFSET($H$3,0,0,'Données projet'!$E$11+1,1))</f>
        <v>84.664683404322943</v>
      </c>
      <c r="BJ82" s="62">
        <f t="shared" si="92"/>
        <v>79.209234837679901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46.361496888414372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46.361496888414372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4.5999999999999996</v>
      </c>
      <c r="BY82" s="13">
        <f>IF('Données projet'!$A$114&gt;35,BY81+BX82-CG81,IF(A82&lt;'Données projet'!$A$114,$BV$205^A82,IF(A82='Données projet'!$A$114,'Données projet'!$B$114,BY81+BX82-CG81)))</f>
        <v>187.39999999999992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5.8888888888888893</v>
      </c>
      <c r="N83" s="14">
        <f>IF('Données projet'!$A$36&gt;35,N82+M83-V82,IF(A83&lt;'Données projet'!$A$36,$K$205^A83,IF(A83='Données projet'!$A$36,'Données projet'!$B$36,N82+M83-V82)))</f>
        <v>200.44444444444449</v>
      </c>
      <c r="O83" s="14">
        <f>N83*VLOOKUP('Données projet'!$B$9,Paramètres!$A$1:$I$88,3,0)*VLOOKUP('Données projet'!$B$9,Paramètres!$A$1:$I$88,5,0)</f>
        <v>181.36213333333336</v>
      </c>
      <c r="P83" s="14">
        <f t="shared" si="87"/>
        <v>45.625102641743339</v>
      </c>
      <c r="Q83" s="22">
        <f t="shared" si="54"/>
        <v>395.33610265659195</v>
      </c>
      <c r="R83" s="62">
        <f t="shared" si="55"/>
        <v>688.6694359899252</v>
      </c>
      <c r="S83" s="62">
        <f ca="1">AVERAGE(OFFSET($R$3,0,0,'Données projet'!$E$9+1,1))-AVERAGE(OFFSET($H$3,0,0,'Données projet'!$E$9+1,1))</f>
        <v>182.76154982630777</v>
      </c>
      <c r="T83" s="62">
        <f t="shared" si="88"/>
        <v>119.92190922866632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15.423367757415344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15.423367757415344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projet'!$B$10,Paramètres!$A$1:$I$88,3,0)*VLOOKUP('Données projet'!$B$10,Paramètres!$A$1:$I$88,5,0)</f>
        <v>-3.3992364478763198E-14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212.1966338656834</v>
      </c>
      <c r="AO83" s="62">
        <f t="shared" si="90"/>
        <v>194.52809733694494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144.29658233383577</v>
      </c>
      <c r="AV83" s="23">
        <f>EXP(-LN(2)/25)*AV82+(1-EXP(-LN(2)/25))/(LN(2)/25)*Calculateur!AQ83*Calculateur!AS83*VLOOKUP('Données projet'!$B$10,Paramètres!$A$1:$I$88,3,0)*0.475*44/12</f>
        <v>33.153467106440765</v>
      </c>
      <c r="AW83" s="23">
        <f>EXP(-LN(2)/2)*AW82+(1-EXP(-LN(2)/2))/(LN(2)/2)*AQ83*AT83*VLOOKUP('Données projet'!$B$10,Paramètres!$A$1:$I$88,3,0)*0.475*44/12</f>
        <v>0.98094093513413694</v>
      </c>
      <c r="AX83" s="23">
        <f t="shared" si="60"/>
        <v>178.43099037541066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1.4210854715202004E-13</v>
      </c>
      <c r="BE83" s="14">
        <f>BD83*VLOOKUP('Données projet'!$B$11,Paramètres!$A$1:$I$88,3,0)*VLOOKUP('Données projet'!$B$11,Paramètres!$A$1:$I$88,5,0)</f>
        <v>1.3744738680543379E-13</v>
      </c>
      <c r="BF83" s="14">
        <f t="shared" si="91"/>
        <v>1.9898001765172164E-12</v>
      </c>
      <c r="BG83" s="22">
        <f t="shared" si="61"/>
        <v>3.7049561727869492E-12</v>
      </c>
      <c r="BH83" s="62">
        <f t="shared" si="62"/>
        <v>293.33333333333701</v>
      </c>
      <c r="BI83" s="62">
        <f ca="1">AVERAGE(OFFSET($BH$3,0,0,'Données projet'!$E$11+1,1))-AVERAGE(OFFSET($H$3,0,0,'Données projet'!$E$11+1,1))</f>
        <v>84.664683404322943</v>
      </c>
      <c r="BJ83" s="62">
        <f t="shared" si="92"/>
        <v>79.209234837679901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45.452376212153474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45.452376212153474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192</v>
      </c>
      <c r="BW83" s="13">
        <f>VLOOKUP(A83,'Données projet'!$A$113:$I$133,9,0)</f>
        <v>4.5999999999999996</v>
      </c>
      <c r="BX83" s="13">
        <f t="array" ref="BX83">INDEX(BW:BW,MIN(IF(ISNUMBER(BW83:BW279),ROW(BW83:BW279),"")))</f>
        <v>4.5999999999999996</v>
      </c>
      <c r="BY83" s="13">
        <f>IF('Données projet'!$A$114&gt;35,BY82+BX83-CG82,IF(A83&lt;'Données projet'!$A$114,$BV$205^A83,IF(A83='Données projet'!$A$114,'Données projet'!$B$114,BY82+BX83-CG82)))</f>
        <v>191.99999999999991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14</v>
      </c>
      <c r="CH83" s="17" t="e">
        <f>IF(ISNA(VLOOKUP(A83,'Données projet'!$A$113:$I$133,5,0)),0%,VLOOKUP(A83,'Données projet'!$A$113:$I$133,5,0)*VLOOKUP('Données projet'!$B$12,Paramètres!$A$1:$I$88,7,0))</f>
        <v>#N/A</v>
      </c>
      <c r="CI83" s="17" t="e">
        <f>IF(ISNA(VLOOKUP(A83,'Données projet'!$A$113:$I$133,6,0)),0%,VLOOKUP(A83,'Données projet'!$A$113:$I$133,6,0)*VLOOKUP('Données projet'!$B$12,Paramètres!$A$1:$I$88,7,0))</f>
        <v>#N/A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5.8888888888888893</v>
      </c>
      <c r="N84" s="14">
        <f>IF('Données projet'!$A$36&gt;35,N83+M84-V83,IF(A84&lt;'Données projet'!$A$36,$K$205^A84,IF(A84='Données projet'!$A$36,'Données projet'!$B$36,N83+M84-V83)))</f>
        <v>206.33333333333337</v>
      </c>
      <c r="O84" s="14">
        <f>N84*VLOOKUP('Données projet'!$B$9,Paramètres!$A$1:$I$88,3,0)*VLOOKUP('Données projet'!$B$9,Paramètres!$A$1:$I$88,5,0)</f>
        <v>186.69040000000004</v>
      </c>
      <c r="P84" s="14">
        <f t="shared" si="87"/>
        <v>46.807500637946397</v>
      </c>
      <c r="Q84" s="22">
        <f t="shared" si="54"/>
        <v>406.6755102777567</v>
      </c>
      <c r="R84" s="62">
        <f t="shared" si="55"/>
        <v>700.00884361109001</v>
      </c>
      <c r="S84" s="62">
        <f ca="1">AVERAGE(OFFSET($R$3,0,0,'Données projet'!$E$9+1,1))-AVERAGE(OFFSET($H$3,0,0,'Données projet'!$E$9+1,1))</f>
        <v>182.76154982630777</v>
      </c>
      <c r="T84" s="62">
        <f t="shared" si="88"/>
        <v>119.92190922866632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15.120924923017865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15.120924923017865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projet'!$B$10,Paramètres!$A$1:$I$88,3,0)*VLOOKUP('Données projet'!$B$10,Paramètres!$A$1:$I$88,5,0)</f>
        <v>-3.3992364478763198E-14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212.1966338656834</v>
      </c>
      <c r="AO84" s="62">
        <f t="shared" si="90"/>
        <v>194.52809733694494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141.467014366494</v>
      </c>
      <c r="AV84" s="23">
        <f>EXP(-LN(2)/25)*AV83+(1-EXP(-LN(2)/25))/(LN(2)/25)*Calculateur!AQ84*Calculateur!AS84*VLOOKUP('Données projet'!$B$10,Paramètres!$A$1:$I$88,3,0)*0.475*44/12</f>
        <v>32.24688380495008</v>
      </c>
      <c r="AW84" s="23">
        <f>EXP(-LN(2)/2)*AW83+(1-EXP(-LN(2)/2))/(LN(2)/2)*AQ84*AT84*VLOOKUP('Données projet'!$B$10,Paramètres!$A$1:$I$88,3,0)*0.475*44/12</f>
        <v>0.69362998717682156</v>
      </c>
      <c r="AX84" s="23">
        <f t="shared" si="60"/>
        <v>174.40752815862089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1.4210854715202004E-13</v>
      </c>
      <c r="BE84" s="14">
        <f>BD84*VLOOKUP('Données projet'!$B$11,Paramètres!$A$1:$I$88,3,0)*VLOOKUP('Données projet'!$B$11,Paramètres!$A$1:$I$88,5,0)</f>
        <v>1.3744738680543379E-13</v>
      </c>
      <c r="BF84" s="14">
        <f t="shared" si="91"/>
        <v>1.9898001765172164E-12</v>
      </c>
      <c r="BG84" s="22">
        <f t="shared" si="61"/>
        <v>3.7049561727869492E-12</v>
      </c>
      <c r="BH84" s="62">
        <f t="shared" si="62"/>
        <v>293.33333333333701</v>
      </c>
      <c r="BI84" s="62">
        <f ca="1">AVERAGE(OFFSET($BH$3,0,0,'Données projet'!$E$11+1,1))-AVERAGE(OFFSET($H$3,0,0,'Données projet'!$E$11+1,1))</f>
        <v>84.664683404322943</v>
      </c>
      <c r="BJ84" s="62">
        <f t="shared" si="92"/>
        <v>79.209234837679901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44.561082837845191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44.561082837845191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4.4000000000000004</v>
      </c>
      <c r="BY84" s="13">
        <f>IF('Données projet'!$A$114&gt;35,BY83+BX84-CG83,IF(A84&lt;'Données projet'!$A$114,$BV$205^A84,IF(A84='Données projet'!$A$114,'Données projet'!$B$114,BY83+BX84-CG83)))</f>
        <v>182.39999999999992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5.8888888888888893</v>
      </c>
      <c r="N85" s="14">
        <f>IF('Données projet'!$A$36&gt;35,N84+M85-V84,IF(A85&lt;'Données projet'!$A$36,$K$205^A85,IF(A85='Données projet'!$A$36,'Données projet'!$B$36,N84+M85-V84)))</f>
        <v>212.22222222222226</v>
      </c>
      <c r="O85" s="14">
        <f>N85*VLOOKUP('Données projet'!$B$9,Paramètres!$A$1:$I$88,3,0)*VLOOKUP('Données projet'!$B$9,Paramètres!$A$1:$I$88,5,0)</f>
        <v>192.01866666666669</v>
      </c>
      <c r="P85" s="14">
        <f t="shared" si="87"/>
        <v>47.985976506318345</v>
      </c>
      <c r="Q85" s="22">
        <f t="shared" si="54"/>
        <v>418.00808685961556</v>
      </c>
      <c r="R85" s="62">
        <f t="shared" si="55"/>
        <v>711.34142019294882</v>
      </c>
      <c r="S85" s="62">
        <f ca="1">AVERAGE(OFFSET($R$3,0,0,'Données projet'!$E$9+1,1))-AVERAGE(OFFSET($H$3,0,0,'Données projet'!$E$9+1,1))</f>
        <v>182.76154982630777</v>
      </c>
      <c r="T85" s="62">
        <f t="shared" si="88"/>
        <v>119.92190922866632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14.824412808131006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14.824412808131006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projet'!$B$10,Paramètres!$A$1:$I$88,3,0)*VLOOKUP('Données projet'!$B$10,Paramètres!$A$1:$I$88,5,0)</f>
        <v>-3.3992364478763198E-14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212.1966338656834</v>
      </c>
      <c r="AO85" s="62">
        <f t="shared" si="90"/>
        <v>194.52809733694494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138.69293250112574</v>
      </c>
      <c r="AV85" s="23">
        <f>EXP(-LN(2)/25)*AV84+(1-EXP(-LN(2)/25))/(LN(2)/25)*Calculateur!AQ85*Calculateur!AS85*VLOOKUP('Données projet'!$B$10,Paramètres!$A$1:$I$88,3,0)*0.475*44/12</f>
        <v>31.365091071513802</v>
      </c>
      <c r="AW85" s="23">
        <f>EXP(-LN(2)/2)*AW84+(1-EXP(-LN(2)/2))/(LN(2)/2)*AQ85*AT85*VLOOKUP('Données projet'!$B$10,Paramètres!$A$1:$I$88,3,0)*0.475*44/12</f>
        <v>0.49047046756706858</v>
      </c>
      <c r="AX85" s="23">
        <f t="shared" si="60"/>
        <v>170.54849404020661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1.4210854715202004E-13</v>
      </c>
      <c r="BE85" s="14">
        <f>BD85*VLOOKUP('Données projet'!$B$11,Paramètres!$A$1:$I$88,3,0)*VLOOKUP('Données projet'!$B$11,Paramètres!$A$1:$I$88,5,0)</f>
        <v>1.3744738680543379E-13</v>
      </c>
      <c r="BF85" s="14">
        <f t="shared" si="91"/>
        <v>1.9898001765172164E-12</v>
      </c>
      <c r="BG85" s="22">
        <f t="shared" si="61"/>
        <v>3.7049561727869492E-12</v>
      </c>
      <c r="BH85" s="62">
        <f t="shared" si="62"/>
        <v>293.33333333333701</v>
      </c>
      <c r="BI85" s="62">
        <f ca="1">AVERAGE(OFFSET($BH$3,0,0,'Données projet'!$E$11+1,1))-AVERAGE(OFFSET($H$3,0,0,'Données projet'!$E$11+1,1))</f>
        <v>84.664683404322943</v>
      </c>
      <c r="BJ85" s="62">
        <f t="shared" si="92"/>
        <v>79.209234837679901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43.687267182971816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43.687267182971816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4.4000000000000004</v>
      </c>
      <c r="BY85" s="13">
        <f>IF('Données projet'!$A$114&gt;35,BY84+BX85-CG84,IF(A85&lt;'Données projet'!$A$114,$BV$205^A85,IF(A85='Données projet'!$A$114,'Données projet'!$B$114,BY84+BX85-CG84)))</f>
        <v>186.79999999999993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5.8888888888888893</v>
      </c>
      <c r="N86" s="14">
        <f>IF('Données projet'!$A$36&gt;35,N85+M86-V85,IF(A86&lt;'Données projet'!$A$36,$K$205^A86,IF(A86='Données projet'!$A$36,'Données projet'!$B$36,N85+M86-V85)))</f>
        <v>218.11111111111114</v>
      </c>
      <c r="O86" s="14">
        <f>N86*VLOOKUP('Données projet'!$B$9,Paramètres!$A$1:$I$88,3,0)*VLOOKUP('Données projet'!$B$9,Paramètres!$A$1:$I$88,5,0)</f>
        <v>197.34693333333337</v>
      </c>
      <c r="P86" s="14">
        <f t="shared" si="87"/>
        <v>49.160651584571333</v>
      </c>
      <c r="Q86" s="22">
        <f t="shared" si="54"/>
        <v>429.33404373201734</v>
      </c>
      <c r="R86" s="62">
        <f t="shared" si="55"/>
        <v>722.66737706535059</v>
      </c>
      <c r="S86" s="62">
        <f ca="1">AVERAGE(OFFSET($R$3,0,0,'Données projet'!$E$9+1,1))-AVERAGE(OFFSET($H$3,0,0,'Données projet'!$E$9+1,1))</f>
        <v>182.76154982630777</v>
      </c>
      <c r="T86" s="62">
        <f t="shared" si="88"/>
        <v>119.92190922866632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14.533715114962547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14.533715114962547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projet'!$B$10,Paramètres!$A$1:$I$88,3,0)*VLOOKUP('Données projet'!$B$10,Paramètres!$A$1:$I$88,5,0)</f>
        <v>-3.3992364478763198E-14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212.1966338656834</v>
      </c>
      <c r="AO86" s="62">
        <f t="shared" si="90"/>
        <v>194.52809733694494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135.97324868911448</v>
      </c>
      <c r="AV86" s="23">
        <f>EXP(-LN(2)/25)*AV85+(1-EXP(-LN(2)/25))/(LN(2)/25)*Calculateur!AQ86*Calculateur!AS86*VLOOKUP('Données projet'!$B$10,Paramètres!$A$1:$I$88,3,0)*0.475*44/12</f>
        <v>30.507411006744803</v>
      </c>
      <c r="AW86" s="23">
        <f>EXP(-LN(2)/2)*AW85+(1-EXP(-LN(2)/2))/(LN(2)/2)*AQ86*AT86*VLOOKUP('Données projet'!$B$10,Paramètres!$A$1:$I$88,3,0)*0.475*44/12</f>
        <v>0.34681499358841084</v>
      </c>
      <c r="AX86" s="23">
        <f t="shared" si="60"/>
        <v>166.82747468944771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1.4210854715202004E-13</v>
      </c>
      <c r="BE86" s="14">
        <f>BD86*VLOOKUP('Données projet'!$B$11,Paramètres!$A$1:$I$88,3,0)*VLOOKUP('Données projet'!$B$11,Paramètres!$A$1:$I$88,5,0)</f>
        <v>1.3744738680543379E-13</v>
      </c>
      <c r="BF86" s="14">
        <f t="shared" si="91"/>
        <v>1.9898001765172164E-12</v>
      </c>
      <c r="BG86" s="22">
        <f t="shared" si="61"/>
        <v>3.7049561727869492E-12</v>
      </c>
      <c r="BH86" s="62">
        <f t="shared" si="62"/>
        <v>293.33333333333701</v>
      </c>
      <c r="BI86" s="62">
        <f ca="1">AVERAGE(OFFSET($BH$3,0,0,'Données projet'!$E$11+1,1))-AVERAGE(OFFSET($H$3,0,0,'Données projet'!$E$11+1,1))</f>
        <v>84.664683404322943</v>
      </c>
      <c r="BJ86" s="62">
        <f t="shared" si="92"/>
        <v>79.209234837679901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42.830586520115588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42.830586520115588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4.4000000000000004</v>
      </c>
      <c r="BY86" s="13">
        <f>IF('Données projet'!$A$114&gt;35,BY85+BX86-CG85,IF(A86&lt;'Données projet'!$A$114,$BV$205^A86,IF(A86='Données projet'!$A$114,'Données projet'!$B$114,BY85+BX86-CG85)))</f>
        <v>191.19999999999993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224</v>
      </c>
      <c r="L87" s="13">
        <f>VLOOKUP(A87,'Données projet'!$A$35:$I$55,9,0)</f>
        <v>5.8888888888888893</v>
      </c>
      <c r="M87" s="13">
        <f t="array" ref="M87">INDEX(L:L,MIN(IF(ISNUMBER(L87:L283),ROW(L87:L283),"")))</f>
        <v>5.8888888888888893</v>
      </c>
      <c r="N87" s="14">
        <f>IF('Données projet'!$A$36&gt;35,N86+M87-V86,IF(A87&lt;'Données projet'!$A$36,$K$205^A87,IF(A87='Données projet'!$A$36,'Données projet'!$B$36,N86+M87-V86)))</f>
        <v>224.00000000000003</v>
      </c>
      <c r="O87" s="14">
        <f>N87*VLOOKUP('Données projet'!$B$9,Paramètres!$A$1:$I$88,3,0)*VLOOKUP('Données projet'!$B$9,Paramètres!$A$1:$I$88,5,0)</f>
        <v>202.67520000000002</v>
      </c>
      <c r="P87" s="14">
        <f t="shared" si="87"/>
        <v>50.331640285313689</v>
      </c>
      <c r="Q87" s="22">
        <f t="shared" si="54"/>
        <v>440.653580163588</v>
      </c>
      <c r="R87" s="62">
        <f t="shared" si="55"/>
        <v>733.98691349692126</v>
      </c>
      <c r="S87" s="62">
        <f ca="1">AVERAGE(OFFSET($R$3,0,0,'Données projet'!$E$9+1,1))-AVERAGE(OFFSET($H$3,0,0,'Données projet'!$E$9+1,1))</f>
        <v>182.76154982630777</v>
      </c>
      <c r="T87" s="62">
        <f t="shared" si="88"/>
        <v>119.92190922866632</v>
      </c>
      <c r="U87" s="16">
        <f>IF(ISNA(VLOOKUP(A87,'Données projet'!$A$35:$I$55,3,0)),0,VLOOKUP(A87,'Données projet'!$A$35:$I$55,3,0))</f>
        <v>6</v>
      </c>
      <c r="V87" s="16">
        <f>IF(ISNA(VLOOKUP(A87,'Données projet'!$A$35:$I$55,4,0)),0,VLOOKUP(A87,'Données projet'!$A$35:$I$55,4,0))</f>
        <v>36</v>
      </c>
      <c r="W87" s="17">
        <f>IF(ISNA(VLOOKUP(A87,'Données projet'!$A$35:$I$55,5,0)),0%,VLOOKUP(A87,'Données projet'!$A$35:$I$55,5,0)*VLOOKUP('Données projet'!$B$9,Paramètres!$A$1:$I$88,7,0))</f>
        <v>0.17200000000000001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20.442139505742588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20.442139505742588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projet'!$B$10,Paramètres!$A$1:$I$88,3,0)*VLOOKUP('Données projet'!$B$10,Paramètres!$A$1:$I$88,5,0)</f>
        <v>-3.3992364478763198E-14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212.1966338656834</v>
      </c>
      <c r="AO87" s="62">
        <f t="shared" si="90"/>
        <v>194.52809733694494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133.30689621781346</v>
      </c>
      <c r="AV87" s="23">
        <f>EXP(-LN(2)/25)*AV86+(1-EXP(-LN(2)/25))/(LN(2)/25)*Calculateur!AQ87*Calculateur!AS87*VLOOKUP('Données projet'!$B$10,Paramètres!$A$1:$I$88,3,0)*0.475*44/12</f>
        <v>29.673184248450347</v>
      </c>
      <c r="AW87" s="23">
        <f>EXP(-LN(2)/2)*AW86+(1-EXP(-LN(2)/2))/(LN(2)/2)*AQ87*AT87*VLOOKUP('Données projet'!$B$10,Paramètres!$A$1:$I$88,3,0)*0.475*44/12</f>
        <v>0.24523523378353432</v>
      </c>
      <c r="AX87" s="23">
        <f t="shared" si="60"/>
        <v>163.22531570004736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1.4210854715202004E-13</v>
      </c>
      <c r="BE87" s="14">
        <f>BD87*VLOOKUP('Données projet'!$B$11,Paramètres!$A$1:$I$88,3,0)*VLOOKUP('Données projet'!$B$11,Paramètres!$A$1:$I$88,5,0)</f>
        <v>1.3744738680543379E-13</v>
      </c>
      <c r="BF87" s="14">
        <f t="shared" si="91"/>
        <v>1.9898001765172164E-12</v>
      </c>
      <c r="BG87" s="22">
        <f t="shared" si="61"/>
        <v>3.7049561727869492E-12</v>
      </c>
      <c r="BH87" s="62">
        <f t="shared" si="62"/>
        <v>293.33333333333701</v>
      </c>
      <c r="BI87" s="62">
        <f ca="1">AVERAGE(OFFSET($BH$3,0,0,'Données projet'!$E$11+1,1))-AVERAGE(OFFSET($H$3,0,0,'Données projet'!$E$11+1,1))</f>
        <v>84.664683404322943</v>
      </c>
      <c r="BJ87" s="62">
        <f t="shared" si="92"/>
        <v>79.209234837679901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41.990704842534363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41.990704842534363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4.4000000000000004</v>
      </c>
      <c r="BY87" s="13">
        <f>IF('Données projet'!$A$114&gt;35,BY86+BX87-CG86,IF(A87&lt;'Données projet'!$A$114,$BV$205^A87,IF(A87='Données projet'!$A$114,'Données projet'!$B$114,BY86+BX87-CG86)))</f>
        <v>195.59999999999994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5.7777777777777777</v>
      </c>
      <c r="N88" s="14">
        <f>IF('Données projet'!$A$36&gt;35,N87+M88-V87,IF(A88&lt;'Données projet'!$A$36,$K$205^A88,IF(A88='Données projet'!$A$36,'Données projet'!$B$36,N87+M88-V87)))</f>
        <v>193.7777777777778</v>
      </c>
      <c r="O88" s="14">
        <f>N88*VLOOKUP('Données projet'!$B$9,Paramètres!$A$1:$I$88,3,0)*VLOOKUP('Données projet'!$B$9,Paramètres!$A$1:$I$88,5,0)</f>
        <v>175.33013333333335</v>
      </c>
      <c r="P88" s="14">
        <f t="shared" si="87"/>
        <v>44.281642764467087</v>
      </c>
      <c r="Q88" s="22">
        <f t="shared" si="54"/>
        <v>382.49051003700242</v>
      </c>
      <c r="R88" s="62">
        <f t="shared" si="55"/>
        <v>675.82384337033568</v>
      </c>
      <c r="S88" s="62">
        <f ca="1">AVERAGE(OFFSET($R$3,0,0,'Données projet'!$E$9+1,1))-AVERAGE(OFFSET($H$3,0,0,'Données projet'!$E$9+1,1))</f>
        <v>182.76154982630777</v>
      </c>
      <c r="T88" s="62">
        <f t="shared" si="88"/>
        <v>119.92190922866632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20.041281618508915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20.041281618508915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projet'!$B$10,Paramètres!$A$1:$I$88,3,0)*VLOOKUP('Données projet'!$B$10,Paramètres!$A$1:$I$88,5,0)</f>
        <v>-3.3992364478763198E-14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212.1966338656834</v>
      </c>
      <c r="AO88" s="62">
        <f t="shared" si="90"/>
        <v>194.52809733694494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130.69282929216021</v>
      </c>
      <c r="AV88" s="23">
        <f>EXP(-LN(2)/25)*AV87+(1-EXP(-LN(2)/25))/(LN(2)/25)*Calculateur!AQ88*Calculateur!AS88*VLOOKUP('Données projet'!$B$10,Paramètres!$A$1:$I$88,3,0)*0.475*44/12</f>
        <v>28.86176946473153</v>
      </c>
      <c r="AW88" s="23">
        <f>EXP(-LN(2)/2)*AW87+(1-EXP(-LN(2)/2))/(LN(2)/2)*AQ88*AT88*VLOOKUP('Données projet'!$B$10,Paramètres!$A$1:$I$88,3,0)*0.475*44/12</f>
        <v>0.17340749679420545</v>
      </c>
      <c r="AX88" s="23">
        <f t="shared" si="60"/>
        <v>159.72800625368595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1.4210854715202004E-13</v>
      </c>
      <c r="BE88" s="14">
        <f>BD88*VLOOKUP('Données projet'!$B$11,Paramètres!$A$1:$I$88,3,0)*VLOOKUP('Données projet'!$B$11,Paramètres!$A$1:$I$88,5,0)</f>
        <v>1.3744738680543379E-13</v>
      </c>
      <c r="BF88" s="14">
        <f t="shared" si="91"/>
        <v>1.9898001765172164E-12</v>
      </c>
      <c r="BG88" s="22">
        <f t="shared" si="61"/>
        <v>3.7049561727869492E-12</v>
      </c>
      <c r="BH88" s="62">
        <f t="shared" si="62"/>
        <v>293.33333333333701</v>
      </c>
      <c r="BI88" s="62">
        <f ca="1">AVERAGE(OFFSET($BH$3,0,0,'Données projet'!$E$11+1,1))-AVERAGE(OFFSET($H$3,0,0,'Données projet'!$E$11+1,1))</f>
        <v>84.664683404322943</v>
      </c>
      <c r="BJ88" s="62">
        <f t="shared" si="92"/>
        <v>79.209234837679901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41.167292732373262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41.167292732373262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200</v>
      </c>
      <c r="BW88" s="13">
        <f>VLOOKUP(A88,'Données projet'!$A$113:$I$133,9,0)</f>
        <v>4.4000000000000004</v>
      </c>
      <c r="BX88" s="13">
        <f t="array" ref="BX88">INDEX(BW:BW,MIN(IF(ISNUMBER(BW88:BW284),ROW(BW88:BW284),"")))</f>
        <v>4.4000000000000004</v>
      </c>
      <c r="BY88" s="13">
        <f>IF('Données projet'!$A$114&gt;35,BY87+BX88-CG87,IF(A88&lt;'Données projet'!$A$114,$BV$205^A88,IF(A88='Données projet'!$A$114,'Données projet'!$B$114,BY87+BX88-CG87)))</f>
        <v>199.99999999999994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14</v>
      </c>
      <c r="CH88" s="17" t="e">
        <f>IF(ISNA(VLOOKUP(A88,'Données projet'!$A$113:$I$133,5,0)),0%,VLOOKUP(A88,'Données projet'!$A$113:$I$133,5,0)*VLOOKUP('Données projet'!$B$12,Paramètres!$A$1:$I$88,7,0))</f>
        <v>#N/A</v>
      </c>
      <c r="CI88" s="17" t="e">
        <f>IF(ISNA(VLOOKUP(A88,'Données projet'!$A$113:$I$133,6,0)),0%,VLOOKUP(A88,'Données projet'!$A$113:$I$133,6,0)*VLOOKUP('Données projet'!$B$12,Paramètres!$A$1:$I$88,7,0))</f>
        <v>#N/A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5.7777777777777777</v>
      </c>
      <c r="N89" s="14">
        <f>IF('Données projet'!$A$36&gt;35,N88+M89-V88,IF(A89&lt;'Données projet'!$A$36,$K$205^A89,IF(A89='Données projet'!$A$36,'Données projet'!$B$36,N88+M89-V88)))</f>
        <v>199.55555555555557</v>
      </c>
      <c r="O89" s="14">
        <f>N89*VLOOKUP('Données projet'!$B$9,Paramètres!$A$1:$I$88,3,0)*VLOOKUP('Données projet'!$B$9,Paramètres!$A$1:$I$88,5,0)</f>
        <v>180.55786666666668</v>
      </c>
      <c r="P89" s="14">
        <f t="shared" si="87"/>
        <v>45.446278860104456</v>
      </c>
      <c r="Q89" s="22">
        <f t="shared" si="54"/>
        <v>393.6238867924597</v>
      </c>
      <c r="R89" s="62">
        <f t="shared" si="55"/>
        <v>686.95722012579301</v>
      </c>
      <c r="S89" s="62">
        <f ca="1">AVERAGE(OFFSET($R$3,0,0,'Données projet'!$E$9+1,1))-AVERAGE(OFFSET($H$3,0,0,'Données projet'!$E$9+1,1))</f>
        <v>182.76154982630777</v>
      </c>
      <c r="T89" s="62">
        <f t="shared" si="88"/>
        <v>119.92190922866632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19.648284309944724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19.648284309944724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projet'!$B$10,Paramètres!$A$1:$I$88,3,0)*VLOOKUP('Données projet'!$B$10,Paramètres!$A$1:$I$88,5,0)</f>
        <v>-3.3992364478763198E-14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212.1966338656834</v>
      </c>
      <c r="AO89" s="62">
        <f t="shared" si="90"/>
        <v>194.52809733694494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128.13002262449564</v>
      </c>
      <c r="AV89" s="23">
        <f>EXP(-LN(2)/25)*AV88+(1-EXP(-LN(2)/25))/(LN(2)/25)*Calculateur!AQ89*Calculateur!AS89*VLOOKUP('Données projet'!$B$10,Paramètres!$A$1:$I$88,3,0)*0.475*44/12</f>
        <v>28.072542860943955</v>
      </c>
      <c r="AW89" s="23">
        <f>EXP(-LN(2)/2)*AW88+(1-EXP(-LN(2)/2))/(LN(2)/2)*AQ89*AT89*VLOOKUP('Données projet'!$B$10,Paramètres!$A$1:$I$88,3,0)*0.475*44/12</f>
        <v>0.12261761689176719</v>
      </c>
      <c r="AX89" s="23">
        <f t="shared" si="60"/>
        <v>156.32518310233138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1.4210854715202004E-13</v>
      </c>
      <c r="BE89" s="14">
        <f>BD89*VLOOKUP('Données projet'!$B$11,Paramètres!$A$1:$I$88,3,0)*VLOOKUP('Données projet'!$B$11,Paramètres!$A$1:$I$88,5,0)</f>
        <v>1.3744738680543379E-13</v>
      </c>
      <c r="BF89" s="14">
        <f t="shared" si="91"/>
        <v>1.9898001765172164E-12</v>
      </c>
      <c r="BG89" s="22">
        <f t="shared" si="61"/>
        <v>3.7049561727869492E-12</v>
      </c>
      <c r="BH89" s="62">
        <f t="shared" si="62"/>
        <v>293.33333333333701</v>
      </c>
      <c r="BI89" s="62">
        <f ca="1">AVERAGE(OFFSET($BH$3,0,0,'Données projet'!$E$11+1,1))-AVERAGE(OFFSET($H$3,0,0,'Données projet'!$E$11+1,1))</f>
        <v>84.664683404322943</v>
      </c>
      <c r="BJ89" s="62">
        <f t="shared" si="92"/>
        <v>79.209234837679901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40.360027231460627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40.360027231460627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4.2</v>
      </c>
      <c r="BY89" s="13">
        <f>IF('Données projet'!$A$114&gt;35,BY88+BX89-CG88,IF(A89&lt;'Données projet'!$A$114,$BV$205^A89,IF(A89='Données projet'!$A$114,'Données projet'!$B$114,BY88+BX89-CG88)))</f>
        <v>190.19999999999993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5.7777777777777777</v>
      </c>
      <c r="N90" s="14">
        <f>IF('Données projet'!$A$36&gt;35,N89+M90-V89,IF(A90&lt;'Données projet'!$A$36,$K$205^A90,IF(A90='Données projet'!$A$36,'Données projet'!$B$36,N89+M90-V89)))</f>
        <v>205.33333333333334</v>
      </c>
      <c r="O90" s="14">
        <f>N90*VLOOKUP('Données projet'!$B$9,Paramètres!$A$1:$I$88,3,0)*VLOOKUP('Données projet'!$B$9,Paramètres!$A$1:$I$88,5,0)</f>
        <v>185.78560000000002</v>
      </c>
      <c r="P90" s="14">
        <f t="shared" si="87"/>
        <v>46.606995978498198</v>
      </c>
      <c r="Q90" s="22">
        <f t="shared" si="54"/>
        <v>404.75043799588434</v>
      </c>
      <c r="R90" s="62">
        <f t="shared" si="55"/>
        <v>698.0837713292176</v>
      </c>
      <c r="S90" s="62">
        <f ca="1">AVERAGE(OFFSET($R$3,0,0,'Données projet'!$E$9+1,1))-AVERAGE(OFFSET($H$3,0,0,'Données projet'!$E$9+1,1))</f>
        <v>182.76154982630777</v>
      </c>
      <c r="T90" s="62">
        <f t="shared" si="88"/>
        <v>119.92190922866632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19.262993438896789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19.262993438896789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projet'!$B$10,Paramètres!$A$1:$I$88,3,0)*VLOOKUP('Données projet'!$B$10,Paramètres!$A$1:$I$88,5,0)</f>
        <v>-3.3992364478763198E-14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212.1966338656834</v>
      </c>
      <c r="AO90" s="62">
        <f t="shared" si="90"/>
        <v>194.52809733694494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125.61747103242625</v>
      </c>
      <c r="AV90" s="23">
        <f>EXP(-LN(2)/25)*AV89+(1-EXP(-LN(2)/25))/(LN(2)/25)*Calculateur!AQ90*Calculateur!AS90*VLOOKUP('Données projet'!$B$10,Paramètres!$A$1:$I$88,3,0)*0.475*44/12</f>
        <v>27.304897700140575</v>
      </c>
      <c r="AW90" s="23">
        <f>EXP(-LN(2)/2)*AW89+(1-EXP(-LN(2)/2))/(LN(2)/2)*AQ90*AT90*VLOOKUP('Données projet'!$B$10,Paramètres!$A$1:$I$88,3,0)*0.475*44/12</f>
        <v>8.6703748397102737E-2</v>
      </c>
      <c r="AX90" s="23">
        <f t="shared" si="60"/>
        <v>153.00907248096394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1.4210854715202004E-13</v>
      </c>
      <c r="BE90" s="14">
        <f>BD90*VLOOKUP('Données projet'!$B$11,Paramètres!$A$1:$I$88,3,0)*VLOOKUP('Données projet'!$B$11,Paramètres!$A$1:$I$88,5,0)</f>
        <v>1.3744738680543379E-13</v>
      </c>
      <c r="BF90" s="14">
        <f t="shared" si="91"/>
        <v>1.9898001765172164E-12</v>
      </c>
      <c r="BG90" s="22">
        <f t="shared" si="61"/>
        <v>3.7049561727869492E-12</v>
      </c>
      <c r="BH90" s="62">
        <f t="shared" si="62"/>
        <v>293.33333333333701</v>
      </c>
      <c r="BI90" s="62">
        <f ca="1">AVERAGE(OFFSET($BH$3,0,0,'Données projet'!$E$11+1,1))-AVERAGE(OFFSET($H$3,0,0,'Données projet'!$E$11+1,1))</f>
        <v>84.664683404322943</v>
      </c>
      <c r="BJ90" s="62">
        <f t="shared" si="92"/>
        <v>79.209234837679901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39.568591714637549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39.568591714637549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4.2</v>
      </c>
      <c r="BY90" s="13">
        <f>IF('Données projet'!$A$114&gt;35,BY89+BX90-CG89,IF(A90&lt;'Données projet'!$A$114,$BV$205^A90,IF(A90='Données projet'!$A$114,'Données projet'!$B$114,BY89+BX90-CG89)))</f>
        <v>194.39999999999992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5.7777777777777777</v>
      </c>
      <c r="N91" s="14">
        <f>IF('Données projet'!$A$36&gt;35,N90+M91-V90,IF(A91&lt;'Données projet'!$A$36,$K$205^A91,IF(A91='Données projet'!$A$36,'Données projet'!$B$36,N90+M91-V90)))</f>
        <v>211.11111111111111</v>
      </c>
      <c r="O91" s="14">
        <f>N91*VLOOKUP('Données projet'!$B$9,Paramètres!$A$1:$I$88,3,0)*VLOOKUP('Données projet'!$B$9,Paramètres!$A$1:$I$88,5,0)</f>
        <v>191.01333333333335</v>
      </c>
      <c r="P91" s="14">
        <f t="shared" si="87"/>
        <v>47.763917061299928</v>
      </c>
      <c r="Q91" s="22">
        <f t="shared" si="54"/>
        <v>415.87037777065296</v>
      </c>
      <c r="R91" s="62">
        <f t="shared" si="55"/>
        <v>709.20371110398628</v>
      </c>
      <c r="S91" s="62">
        <f ca="1">AVERAGE(OFFSET($R$3,0,0,'Données projet'!$E$9+1,1))-AVERAGE(OFFSET($H$3,0,0,'Données projet'!$E$9+1,1))</f>
        <v>182.76154982630777</v>
      </c>
      <c r="T91" s="62">
        <f t="shared" si="88"/>
        <v>119.92190922866632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18.885257886825876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18.885257886825876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projet'!$B$10,Paramètres!$A$1:$I$88,3,0)*VLOOKUP('Données projet'!$B$10,Paramètres!$A$1:$I$88,5,0)</f>
        <v>-3.3992364478763198E-14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212.1966338656834</v>
      </c>
      <c r="AO91" s="62">
        <f t="shared" si="90"/>
        <v>194.52809733694494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123.15418904457219</v>
      </c>
      <c r="AV91" s="23">
        <f>EXP(-LN(2)/25)*AV90+(1-EXP(-LN(2)/25))/(LN(2)/25)*Calculateur!AQ91*Calculateur!AS91*VLOOKUP('Données projet'!$B$10,Paramètres!$A$1:$I$88,3,0)*0.475*44/12</f>
        <v>26.558243836628069</v>
      </c>
      <c r="AW91" s="23">
        <f>EXP(-LN(2)/2)*AW90+(1-EXP(-LN(2)/2))/(LN(2)/2)*AQ91*AT91*VLOOKUP('Données projet'!$B$10,Paramètres!$A$1:$I$88,3,0)*0.475*44/12</f>
        <v>6.13088084458836E-2</v>
      </c>
      <c r="AX91" s="23">
        <f t="shared" si="60"/>
        <v>149.77374168964616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1.4210854715202004E-13</v>
      </c>
      <c r="BE91" s="14">
        <f>BD91*VLOOKUP('Données projet'!$B$11,Paramètres!$A$1:$I$88,3,0)*VLOOKUP('Données projet'!$B$11,Paramètres!$A$1:$I$88,5,0)</f>
        <v>1.3744738680543379E-13</v>
      </c>
      <c r="BF91" s="14">
        <f t="shared" si="91"/>
        <v>1.9898001765172164E-12</v>
      </c>
      <c r="BG91" s="22">
        <f t="shared" si="61"/>
        <v>3.7049561727869492E-12</v>
      </c>
      <c r="BH91" s="62">
        <f t="shared" si="62"/>
        <v>293.33333333333701</v>
      </c>
      <c r="BI91" s="62">
        <f ca="1">AVERAGE(OFFSET($BH$3,0,0,'Données projet'!$E$11+1,1))-AVERAGE(OFFSET($H$3,0,0,'Données projet'!$E$11+1,1))</f>
        <v>84.664683404322943</v>
      </c>
      <c r="BJ91" s="62">
        <f t="shared" si="92"/>
        <v>79.209234837679901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38.792675765571374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38.792675765571374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4.2</v>
      </c>
      <c r="BY91" s="13">
        <f>IF('Données projet'!$A$114&gt;35,BY90+BX91-CG90,IF(A91&lt;'Données projet'!$A$114,$BV$205^A91,IF(A91='Données projet'!$A$114,'Données projet'!$B$114,BY90+BX91-CG90)))</f>
        <v>198.59999999999991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5.7777777777777777</v>
      </c>
      <c r="N92" s="14">
        <f>IF('Données projet'!$A$36&gt;35,N91+M92-V91,IF(A92&lt;'Données projet'!$A$36,$K$205^A92,IF(A92='Données projet'!$A$36,'Données projet'!$B$36,N91+M92-V91)))</f>
        <v>216.88888888888889</v>
      </c>
      <c r="O92" s="14">
        <f>N92*VLOOKUP('Données projet'!$B$9,Paramètres!$A$1:$I$88,3,0)*VLOOKUP('Données projet'!$B$9,Paramètres!$A$1:$I$88,5,0)</f>
        <v>196.24106666666665</v>
      </c>
      <c r="P92" s="14">
        <f t="shared" si="87"/>
        <v>48.917157937717533</v>
      </c>
      <c r="Q92" s="22">
        <f t="shared" si="54"/>
        <v>426.98390785263581</v>
      </c>
      <c r="R92" s="62">
        <f t="shared" si="55"/>
        <v>720.31724118596912</v>
      </c>
      <c r="S92" s="62">
        <f ca="1">AVERAGE(OFFSET($R$3,0,0,'Données projet'!$E$9+1,1))-AVERAGE(OFFSET($H$3,0,0,'Données projet'!$E$9+1,1))</f>
        <v>182.76154982630777</v>
      </c>
      <c r="T92" s="62">
        <f t="shared" si="88"/>
        <v>119.92190922866632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18.514929498535139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18.514929498535139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projet'!$B$10,Paramètres!$A$1:$I$88,3,0)*VLOOKUP('Données projet'!$B$10,Paramètres!$A$1:$I$88,5,0)</f>
        <v>-3.3992364478763198E-14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212.1966338656834</v>
      </c>
      <c r="AO92" s="62">
        <f t="shared" si="90"/>
        <v>194.52809733694494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120.73921051404629</v>
      </c>
      <c r="AV92" s="23">
        <f>EXP(-LN(2)/25)*AV91+(1-EXP(-LN(2)/25))/(LN(2)/25)*Calculateur!AQ92*Calculateur!AS92*VLOOKUP('Données projet'!$B$10,Paramètres!$A$1:$I$88,3,0)*0.475*44/12</f>
        <v>25.832007262278132</v>
      </c>
      <c r="AW92" s="23">
        <f>EXP(-LN(2)/2)*AW91+(1-EXP(-LN(2)/2))/(LN(2)/2)*AQ92*AT92*VLOOKUP('Données projet'!$B$10,Paramètres!$A$1:$I$88,3,0)*0.475*44/12</f>
        <v>4.3351874198551375E-2</v>
      </c>
      <c r="AX92" s="23">
        <f t="shared" si="60"/>
        <v>146.61456965052298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1.4210854715202004E-13</v>
      </c>
      <c r="BE92" s="14">
        <f>BD92*VLOOKUP('Données projet'!$B$11,Paramètres!$A$1:$I$88,3,0)*VLOOKUP('Données projet'!$B$11,Paramètres!$A$1:$I$88,5,0)</f>
        <v>1.3744738680543379E-13</v>
      </c>
      <c r="BF92" s="14">
        <f t="shared" si="91"/>
        <v>1.9898001765172164E-12</v>
      </c>
      <c r="BG92" s="22">
        <f t="shared" si="61"/>
        <v>3.7049561727869492E-12</v>
      </c>
      <c r="BH92" s="62">
        <f t="shared" si="62"/>
        <v>293.33333333333701</v>
      </c>
      <c r="BI92" s="62">
        <f ca="1">AVERAGE(OFFSET($BH$3,0,0,'Données projet'!$E$11+1,1))-AVERAGE(OFFSET($H$3,0,0,'Données projet'!$E$11+1,1))</f>
        <v>84.664683404322943</v>
      </c>
      <c r="BJ92" s="62">
        <f t="shared" si="92"/>
        <v>79.209234837679901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38.031975055004388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38.031975055004388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4.2</v>
      </c>
      <c r="BY92" s="13">
        <f>IF('Données projet'!$A$114&gt;35,BY91+BX92-CG91,IF(A92&lt;'Données projet'!$A$114,$BV$205^A92,IF(A92='Données projet'!$A$114,'Données projet'!$B$114,BY91+BX92-CG91)))</f>
        <v>202.7999999999999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5.7777777777777777</v>
      </c>
      <c r="N93" s="14">
        <f>IF('Données projet'!$A$36&gt;35,N92+M93-V92,IF(A93&lt;'Données projet'!$A$36,$K$205^A93,IF(A93='Données projet'!$A$36,'Données projet'!$B$36,N92+M93-V92)))</f>
        <v>222.66666666666666</v>
      </c>
      <c r="O93" s="14">
        <f>N93*VLOOKUP('Données projet'!$B$9,Paramètres!$A$1:$I$88,3,0)*VLOOKUP('Données projet'!$B$9,Paramètres!$A$1:$I$88,5,0)</f>
        <v>201.46879999999999</v>
      </c>
      <c r="P93" s="14">
        <f t="shared" si="87"/>
        <v>50.066827914349915</v>
      </c>
      <c r="Q93" s="22">
        <f t="shared" si="54"/>
        <v>438.09121861749276</v>
      </c>
      <c r="R93" s="62">
        <f t="shared" si="55"/>
        <v>731.42455195082607</v>
      </c>
      <c r="S93" s="62">
        <f ca="1">AVERAGE(OFFSET($R$3,0,0,'Données projet'!$E$9+1,1))-AVERAGE(OFFSET($H$3,0,0,'Données projet'!$E$9+1,1))</f>
        <v>182.76154982630777</v>
      </c>
      <c r="T93" s="62">
        <f t="shared" si="88"/>
        <v>119.92190922866632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18.15186302406077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18.15186302406077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projet'!$B$10,Paramètres!$A$1:$I$88,3,0)*VLOOKUP('Données projet'!$B$10,Paramètres!$A$1:$I$88,5,0)</f>
        <v>-3.3992364478763198E-14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212.1966338656834</v>
      </c>
      <c r="AO93" s="62">
        <f t="shared" si="90"/>
        <v>194.52809733694494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118.37158823951255</v>
      </c>
      <c r="AV93" s="23">
        <f>EXP(-LN(2)/25)*AV92+(1-EXP(-LN(2)/25))/(LN(2)/25)*Calculateur!AQ93*Calculateur!AS93*VLOOKUP('Données projet'!$B$10,Paramètres!$A$1:$I$88,3,0)*0.475*44/12</f>
        <v>25.125629665244915</v>
      </c>
      <c r="AW93" s="23">
        <f>EXP(-LN(2)/2)*AW92+(1-EXP(-LN(2)/2))/(LN(2)/2)*AQ93*AT93*VLOOKUP('Données projet'!$B$10,Paramètres!$A$1:$I$88,3,0)*0.475*44/12</f>
        <v>3.0654404222941804E-2</v>
      </c>
      <c r="AX93" s="23">
        <f t="shared" si="60"/>
        <v>143.52787230898039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1.4210854715202004E-13</v>
      </c>
      <c r="BE93" s="14">
        <f>BD93*VLOOKUP('Données projet'!$B$11,Paramètres!$A$1:$I$88,3,0)*VLOOKUP('Données projet'!$B$11,Paramètres!$A$1:$I$88,5,0)</f>
        <v>1.3744738680543379E-13</v>
      </c>
      <c r="BF93" s="14">
        <f t="shared" si="91"/>
        <v>1.9898001765172164E-12</v>
      </c>
      <c r="BG93" s="22">
        <f t="shared" si="61"/>
        <v>3.7049561727869492E-12</v>
      </c>
      <c r="BH93" s="62">
        <f t="shared" si="62"/>
        <v>293.33333333333701</v>
      </c>
      <c r="BI93" s="62">
        <f ca="1">AVERAGE(OFFSET($BH$3,0,0,'Données projet'!$E$11+1,1))-AVERAGE(OFFSET($H$3,0,0,'Données projet'!$E$11+1,1))</f>
        <v>84.664683404322943</v>
      </c>
      <c r="BJ93" s="62">
        <f t="shared" si="92"/>
        <v>79.209234837679901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37.286191221389998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37.286191221389998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207</v>
      </c>
      <c r="BW93" s="13">
        <f>VLOOKUP(A93,'Données projet'!$A$113:$I$133,9,0)</f>
        <v>4.2</v>
      </c>
      <c r="BX93" s="13">
        <f t="array" ref="BX93">INDEX(BW:BW,MIN(IF(ISNUMBER(BW93:BW289),ROW(BW93:BW289),"")))</f>
        <v>4.2</v>
      </c>
      <c r="BY93" s="13">
        <f>IF('Données projet'!$A$114&gt;35,BY92+BX93-CG92,IF(A93&lt;'Données projet'!$A$114,$BV$205^A93,IF(A93='Données projet'!$A$114,'Données projet'!$B$114,BY92+BX93-CG92)))</f>
        <v>206.99999999999989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14</v>
      </c>
      <c r="CH93" s="17" t="e">
        <f>IF(ISNA(VLOOKUP(A93,'Données projet'!$A$113:$I$133,5,0)),0%,VLOOKUP(A93,'Données projet'!$A$113:$I$133,5,0)*VLOOKUP('Données projet'!$B$12,Paramètres!$A$1:$I$88,7,0))</f>
        <v>#N/A</v>
      </c>
      <c r="CI93" s="17" t="e">
        <f>IF(ISNA(VLOOKUP(A93,'Données projet'!$A$113:$I$133,6,0)),0%,VLOOKUP(A93,'Données projet'!$A$113:$I$133,6,0)*VLOOKUP('Données projet'!$B$12,Paramètres!$A$1:$I$88,7,0))</f>
        <v>#N/A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5.7777777777777777</v>
      </c>
      <c r="N94" s="14">
        <f>IF('Données projet'!$A$36&gt;35,N93+M94-V93,IF(A94&lt;'Données projet'!$A$36,$K$205^A94,IF(A94='Données projet'!$A$36,'Données projet'!$B$36,N93+M94-V93)))</f>
        <v>228.44444444444443</v>
      </c>
      <c r="O94" s="14">
        <f>N94*VLOOKUP('Données projet'!$B$9,Paramètres!$A$1:$I$88,3,0)*VLOOKUP('Données projet'!$B$9,Paramètres!$A$1:$I$88,5,0)</f>
        <v>206.69653333333332</v>
      </c>
      <c r="P94" s="14">
        <f t="shared" si="87"/>
        <v>51.213030302078494</v>
      </c>
      <c r="Q94" s="22">
        <f t="shared" si="54"/>
        <v>449.19248999834218</v>
      </c>
      <c r="R94" s="62">
        <f t="shared" si="55"/>
        <v>742.5258233316755</v>
      </c>
      <c r="S94" s="62">
        <f ca="1">AVERAGE(OFFSET($R$3,0,0,'Données projet'!$E$9+1,1))-AVERAGE(OFFSET($H$3,0,0,'Données projet'!$E$9+1,1))</f>
        <v>182.76154982630777</v>
      </c>
      <c r="T94" s="62">
        <f t="shared" si="88"/>
        <v>119.92190922866632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17.795916061702158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17.795916061702158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projet'!$B$10,Paramètres!$A$1:$I$88,3,0)*VLOOKUP('Données projet'!$B$10,Paramètres!$A$1:$I$88,5,0)</f>
        <v>-3.3992364478763198E-14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212.1966338656834</v>
      </c>
      <c r="AO94" s="62">
        <f t="shared" si="90"/>
        <v>194.52809733694494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116.05039359367542</v>
      </c>
      <c r="AV94" s="23">
        <f>EXP(-LN(2)/25)*AV93+(1-EXP(-LN(2)/25))/(LN(2)/25)*Calculateur!AQ94*Calculateur!AS94*VLOOKUP('Données projet'!$B$10,Paramètres!$A$1:$I$88,3,0)*0.475*44/12</f>
        <v>24.438568000749353</v>
      </c>
      <c r="AW94" s="23">
        <f>EXP(-LN(2)/2)*AW93+(1-EXP(-LN(2)/2))/(LN(2)/2)*AQ94*AT94*VLOOKUP('Données projet'!$B$10,Paramètres!$A$1:$I$88,3,0)*0.475*44/12</f>
        <v>2.1675937099275691E-2</v>
      </c>
      <c r="AX94" s="23">
        <f t="shared" si="60"/>
        <v>140.51063753152405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1.4210854715202004E-13</v>
      </c>
      <c r="BE94" s="14">
        <f>BD94*VLOOKUP('Données projet'!$B$11,Paramètres!$A$1:$I$88,3,0)*VLOOKUP('Données projet'!$B$11,Paramètres!$A$1:$I$88,5,0)</f>
        <v>1.3744738680543379E-13</v>
      </c>
      <c r="BF94" s="14">
        <f t="shared" si="91"/>
        <v>1.9898001765172164E-12</v>
      </c>
      <c r="BG94" s="22">
        <f t="shared" si="61"/>
        <v>3.7049561727869492E-12</v>
      </c>
      <c r="BH94" s="62">
        <f t="shared" si="62"/>
        <v>293.33333333333701</v>
      </c>
      <c r="BI94" s="62">
        <f ca="1">AVERAGE(OFFSET($BH$3,0,0,'Données projet'!$E$11+1,1))-AVERAGE(OFFSET($H$3,0,0,'Données projet'!$E$11+1,1))</f>
        <v>84.664683404322943</v>
      </c>
      <c r="BJ94" s="62">
        <f t="shared" si="92"/>
        <v>79.209234837679901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36.555031753869564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36.555031753869564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3.8</v>
      </c>
      <c r="BY94" s="13">
        <f>IF('Données projet'!$A$114&gt;35,BY93+BX94-CG93,IF(A94&lt;'Données projet'!$A$114,$BV$205^A94,IF(A94='Données projet'!$A$114,'Données projet'!$B$114,BY93+BX94-CG93)))</f>
        <v>196.7999999999999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5.7777777777777777</v>
      </c>
      <c r="N95" s="14">
        <f>IF('Données projet'!$A$36&gt;35,N94+M95-V94,IF(A95&lt;'Données projet'!$A$36,$K$205^A95,IF(A95='Données projet'!$A$36,'Données projet'!$B$36,N94+M95-V94)))</f>
        <v>234.2222222222222</v>
      </c>
      <c r="O95" s="14">
        <f>N95*VLOOKUP('Données projet'!$B$9,Paramètres!$A$1:$I$88,3,0)*VLOOKUP('Données projet'!$B$9,Paramètres!$A$1:$I$88,5,0)</f>
        <v>211.92426666666663</v>
      </c>
      <c r="P95" s="14">
        <f t="shared" si="87"/>
        <v>52.355862888154732</v>
      </c>
      <c r="Q95" s="22">
        <f t="shared" si="54"/>
        <v>460.28789230798048</v>
      </c>
      <c r="R95" s="62">
        <f t="shared" si="55"/>
        <v>753.6212256413138</v>
      </c>
      <c r="S95" s="62">
        <f ca="1">AVERAGE(OFFSET($R$3,0,0,'Données projet'!$E$9+1,1))-AVERAGE(OFFSET($H$3,0,0,'Données projet'!$E$9+1,1))</f>
        <v>182.76154982630777</v>
      </c>
      <c r="T95" s="62">
        <f t="shared" si="88"/>
        <v>119.92190922866632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17.446949002169191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17.446949002169191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projet'!$B$10,Paramètres!$A$1:$I$88,3,0)*VLOOKUP('Données projet'!$B$10,Paramètres!$A$1:$I$88,5,0)</f>
        <v>-3.3992364478763198E-14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212.1966338656834</v>
      </c>
      <c r="AO95" s="62">
        <f t="shared" si="90"/>
        <v>194.52809733694494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113.77471615905422</v>
      </c>
      <c r="AV95" s="23">
        <f>EXP(-LN(2)/25)*AV94+(1-EXP(-LN(2)/25))/(LN(2)/25)*Calculateur!AQ95*Calculateur!AS95*VLOOKUP('Données projet'!$B$10,Paramètres!$A$1:$I$88,3,0)*0.475*44/12</f>
        <v>23.770294073600425</v>
      </c>
      <c r="AW95" s="23">
        <f>EXP(-LN(2)/2)*AW94+(1-EXP(-LN(2)/2))/(LN(2)/2)*AQ95*AT95*VLOOKUP('Données projet'!$B$10,Paramètres!$A$1:$I$88,3,0)*0.475*44/12</f>
        <v>1.5327202111470905E-2</v>
      </c>
      <c r="AX95" s="23">
        <f t="shared" si="60"/>
        <v>137.56033743476613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1.4210854715202004E-13</v>
      </c>
      <c r="BE95" s="14">
        <f>BD95*VLOOKUP('Données projet'!$B$11,Paramètres!$A$1:$I$88,3,0)*VLOOKUP('Données projet'!$B$11,Paramètres!$A$1:$I$88,5,0)</f>
        <v>1.3744738680543379E-13</v>
      </c>
      <c r="BF95" s="14">
        <f t="shared" si="91"/>
        <v>1.9898001765172164E-12</v>
      </c>
      <c r="BG95" s="22">
        <f t="shared" si="61"/>
        <v>3.7049561727869492E-12</v>
      </c>
      <c r="BH95" s="62">
        <f t="shared" si="62"/>
        <v>293.33333333333701</v>
      </c>
      <c r="BI95" s="62">
        <f ca="1">AVERAGE(OFFSET($BH$3,0,0,'Données projet'!$E$11+1,1))-AVERAGE(OFFSET($H$3,0,0,'Données projet'!$E$11+1,1))</f>
        <v>84.664683404322943</v>
      </c>
      <c r="BJ95" s="62">
        <f t="shared" si="92"/>
        <v>79.209234837679901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35.838209877543967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35.838209877543967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3.8</v>
      </c>
      <c r="BY95" s="13">
        <f>IF('Données projet'!$A$114&gt;35,BY94+BX95-CG94,IF(A95&lt;'Données projet'!$A$114,$BV$205^A95,IF(A95='Données projet'!$A$114,'Données projet'!$B$114,BY94+BX95-CG94)))</f>
        <v>200.59999999999991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>
        <f>VLOOKUP(A96,'Données projet'!$A$35:$I$55,2,0)</f>
        <v>240</v>
      </c>
      <c r="L96" s="13">
        <f>VLOOKUP(A96,'Données projet'!$A$35:$I$55,9,0)</f>
        <v>5.7777777777777777</v>
      </c>
      <c r="M96" s="13">
        <f t="array" ref="M96">INDEX(L:L,MIN(IF(ISNUMBER(L96:L292),ROW(L96:L292),"")))</f>
        <v>5.7777777777777777</v>
      </c>
      <c r="N96" s="14">
        <f>IF('Données projet'!$A$36&gt;35,N95+M96-V95,IF(A96&lt;'Données projet'!$A$36,$K$205^A96,IF(A96='Données projet'!$A$36,'Données projet'!$B$36,N95+M96-V95)))</f>
        <v>239.99999999999997</v>
      </c>
      <c r="O96" s="14">
        <f>N96*VLOOKUP('Données projet'!$B$9,Paramètres!$A$1:$I$88,3,0)*VLOOKUP('Données projet'!$B$9,Paramètres!$A$1:$I$88,5,0)</f>
        <v>217.15199999999996</v>
      </c>
      <c r="P96" s="14">
        <f t="shared" si="87"/>
        <v>53.495418360394225</v>
      </c>
      <c r="Q96" s="22">
        <f t="shared" si="54"/>
        <v>471.37758697768658</v>
      </c>
      <c r="R96" s="62">
        <f t="shared" si="55"/>
        <v>764.71092031101989</v>
      </c>
      <c r="S96" s="62">
        <f ca="1">AVERAGE(OFFSET($R$3,0,0,'Données projet'!$E$9+1,1))-AVERAGE(OFFSET($H$3,0,0,'Données projet'!$E$9+1,1))</f>
        <v>182.76154982630777</v>
      </c>
      <c r="T96" s="62">
        <f t="shared" si="88"/>
        <v>119.92190922866632</v>
      </c>
      <c r="U96" s="16">
        <f>IF(ISNA(VLOOKUP(A96,'Données projet'!$A$35:$I$55,3,0)),0,VLOOKUP(A96,'Données projet'!$A$35:$I$55,3,0))</f>
        <v>7</v>
      </c>
      <c r="V96" s="16">
        <f>IF(ISNA(VLOOKUP(A96,'Données projet'!$A$35:$I$55,4,0)),0,VLOOKUP(A96,'Données projet'!$A$35:$I$55,4,0))</f>
        <v>34</v>
      </c>
      <c r="W96" s="17">
        <f>IF(ISNA(VLOOKUP(A96,'Données projet'!$A$35:$I$55,5,0)),0%,VLOOKUP(A96,'Données projet'!$A$35:$I$55,5,0)*VLOOKUP('Données projet'!$B$9,Paramètres!$A$1:$I$88,7,0))</f>
        <v>0.215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24.416503345449105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24.416503345449105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projet'!$B$10,Paramètres!$A$1:$I$88,3,0)*VLOOKUP('Données projet'!$B$10,Paramètres!$A$1:$I$88,5,0)</f>
        <v>-3.3992364478763198E-14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212.1966338656834</v>
      </c>
      <c r="AO96" s="62">
        <f t="shared" si="90"/>
        <v>194.52809733694494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111.54366337089976</v>
      </c>
      <c r="AV96" s="23">
        <f>EXP(-LN(2)/25)*AV95+(1-EXP(-LN(2)/25))/(LN(2)/25)*Calculateur!AQ96*Calculateur!AS96*VLOOKUP('Données projet'!$B$10,Paramètres!$A$1:$I$88,3,0)*0.475*44/12</f>
        <v>23.120294132132383</v>
      </c>
      <c r="AW96" s="23">
        <f>EXP(-LN(2)/2)*AW95+(1-EXP(-LN(2)/2))/(LN(2)/2)*AQ96*AT96*VLOOKUP('Données projet'!$B$10,Paramètres!$A$1:$I$88,3,0)*0.475*44/12</f>
        <v>1.0837968549637847E-2</v>
      </c>
      <c r="AX96" s="23">
        <f t="shared" si="60"/>
        <v>134.6747954715818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1.4210854715202004E-13</v>
      </c>
      <c r="BE96" s="14">
        <f>BD96*VLOOKUP('Données projet'!$B$11,Paramètres!$A$1:$I$88,3,0)*VLOOKUP('Données projet'!$B$11,Paramètres!$A$1:$I$88,5,0)</f>
        <v>1.3744738680543379E-13</v>
      </c>
      <c r="BF96" s="14">
        <f t="shared" si="91"/>
        <v>1.9898001765172164E-12</v>
      </c>
      <c r="BG96" s="22">
        <f t="shared" si="61"/>
        <v>3.7049561727869492E-12</v>
      </c>
      <c r="BH96" s="62">
        <f t="shared" si="62"/>
        <v>293.33333333333701</v>
      </c>
      <c r="BI96" s="62">
        <f ca="1">AVERAGE(OFFSET($BH$3,0,0,'Données projet'!$E$11+1,1))-AVERAGE(OFFSET($H$3,0,0,'Données projet'!$E$11+1,1))</f>
        <v>84.664683404322943</v>
      </c>
      <c r="BJ96" s="62">
        <f t="shared" si="92"/>
        <v>79.209234837679901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35.135444440994945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35.135444440994945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3.8</v>
      </c>
      <c r="BY96" s="13">
        <f>IF('Données projet'!$A$114&gt;35,BY95+BX96-CG95,IF(A96&lt;'Données projet'!$A$114,$BV$205^A96,IF(A96='Données projet'!$A$114,'Données projet'!$B$114,BY95+BX96-CG95)))</f>
        <v>204.39999999999992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5.6</v>
      </c>
      <c r="N97" s="14">
        <f>IF('Données projet'!$A$36&gt;35,N96+M97-V96,IF(A97&lt;'Données projet'!$A$36,$K$205^A97,IF(A97='Données projet'!$A$36,'Données projet'!$B$36,N96+M97-V96)))</f>
        <v>211.59999999999997</v>
      </c>
      <c r="O97" s="14">
        <f>N97*VLOOKUP('Données projet'!$B$9,Paramètres!$A$1:$I$88,3,0)*VLOOKUP('Données projet'!$B$9,Paramètres!$A$1:$I$88,5,0)</f>
        <v>191.45567999999994</v>
      </c>
      <c r="P97" s="14">
        <f t="shared" si="87"/>
        <v>47.861639935303188</v>
      </c>
      <c r="Q97" s="22">
        <f t="shared" si="54"/>
        <v>416.81099888731961</v>
      </c>
      <c r="R97" s="62">
        <f t="shared" si="55"/>
        <v>710.14433222065293</v>
      </c>
      <c r="S97" s="62">
        <f ca="1">AVERAGE(OFFSET($R$3,0,0,'Données projet'!$E$9+1,1))-AVERAGE(OFFSET($H$3,0,0,'Données projet'!$E$9+1,1))</f>
        <v>182.76154982630777</v>
      </c>
      <c r="T97" s="62">
        <f t="shared" si="88"/>
        <v>119.92190922866632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23.937710607441367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23.937710607441367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projet'!$B$10,Paramètres!$A$1:$I$88,3,0)*VLOOKUP('Données projet'!$B$10,Paramètres!$A$1:$I$88,5,0)</f>
        <v>-3.3992364478763198E-14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212.1966338656834</v>
      </c>
      <c r="AO97" s="62">
        <f t="shared" si="90"/>
        <v>194.52809733694494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109.35636016711318</v>
      </c>
      <c r="AV97" s="23">
        <f>EXP(-LN(2)/25)*AV96+(1-EXP(-LN(2)/25))/(LN(2)/25)*Calculateur!AQ97*Calculateur!AS97*VLOOKUP('Données projet'!$B$10,Paramètres!$A$1:$I$88,3,0)*0.475*44/12</f>
        <v>22.488068473245796</v>
      </c>
      <c r="AW97" s="23">
        <f>EXP(-LN(2)/2)*AW96+(1-EXP(-LN(2)/2))/(LN(2)/2)*AQ97*AT97*VLOOKUP('Données projet'!$B$10,Paramètres!$A$1:$I$88,3,0)*0.475*44/12</f>
        <v>7.6636010557354535E-3</v>
      </c>
      <c r="AX97" s="23">
        <f t="shared" si="60"/>
        <v>131.85209224141471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1.4210854715202004E-13</v>
      </c>
      <c r="BE97" s="14">
        <f>BD97*VLOOKUP('Données projet'!$B$11,Paramètres!$A$1:$I$88,3,0)*VLOOKUP('Données projet'!$B$11,Paramètres!$A$1:$I$88,5,0)</f>
        <v>1.3744738680543379E-13</v>
      </c>
      <c r="BF97" s="14">
        <f t="shared" si="91"/>
        <v>1.9898001765172164E-12</v>
      </c>
      <c r="BG97" s="22">
        <f t="shared" si="61"/>
        <v>3.7049561727869492E-12</v>
      </c>
      <c r="BH97" s="62">
        <f t="shared" si="62"/>
        <v>293.33333333333701</v>
      </c>
      <c r="BI97" s="62">
        <f ca="1">AVERAGE(OFFSET($BH$3,0,0,'Données projet'!$E$11+1,1))-AVERAGE(OFFSET($H$3,0,0,'Données projet'!$E$11+1,1))</f>
        <v>84.664683404322943</v>
      </c>
      <c r="BJ97" s="62">
        <f t="shared" si="92"/>
        <v>79.209234837679901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34.446459806012058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34.446459806012058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3.8</v>
      </c>
      <c r="BY97" s="13">
        <f>IF('Données projet'!$A$114&gt;35,BY96+BX97-CG96,IF(A97&lt;'Données projet'!$A$114,$BV$205^A97,IF(A97='Données projet'!$A$114,'Données projet'!$B$114,BY96+BX97-CG96)))</f>
        <v>208.19999999999993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5.6</v>
      </c>
      <c r="N98" s="14">
        <f>IF('Données projet'!$A$36&gt;35,N97+M98-V97,IF(A98&lt;'Données projet'!$A$36,$K$205^A98,IF(A98='Données projet'!$A$36,'Données projet'!$B$36,N97+M98-V97)))</f>
        <v>217.19999999999996</v>
      </c>
      <c r="O98" s="14">
        <f>N98*VLOOKUP('Données projet'!$B$9,Paramètres!$A$1:$I$88,3,0)*VLOOKUP('Données projet'!$B$9,Paramètres!$A$1:$I$88,5,0)</f>
        <v>196.52255999999997</v>
      </c>
      <c r="P98" s="14">
        <f t="shared" si="87"/>
        <v>48.979153257338155</v>
      </c>
      <c r="Q98" s="22">
        <f t="shared" si="54"/>
        <v>427.58215058986383</v>
      </c>
      <c r="R98" s="62">
        <f t="shared" si="55"/>
        <v>720.91548392319714</v>
      </c>
      <c r="S98" s="62">
        <f ca="1">AVERAGE(OFFSET($R$3,0,0,'Données projet'!$E$9+1,1))-AVERAGE(OFFSET($H$3,0,0,'Données projet'!$E$9+1,1))</f>
        <v>182.76154982630777</v>
      </c>
      <c r="T98" s="62">
        <f t="shared" si="88"/>
        <v>119.92190922866632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23.468306702991228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23.468306702991228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projet'!$B$10,Paramètres!$A$1:$I$88,3,0)*VLOOKUP('Données projet'!$B$10,Paramètres!$A$1:$I$88,5,0)</f>
        <v>-3.3992364478763198E-14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212.1966338656834</v>
      </c>
      <c r="AO98" s="62">
        <f t="shared" si="90"/>
        <v>194.52809733694494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107.21194864502964</v>
      </c>
      <c r="AV98" s="23">
        <f>EXP(-LN(2)/25)*AV97+(1-EXP(-LN(2)/25))/(LN(2)/25)*Calculateur!AQ98*Calculateur!AS98*VLOOKUP('Données projet'!$B$10,Paramètres!$A$1:$I$88,3,0)*0.475*44/12</f>
        <v>21.873131058248767</v>
      </c>
      <c r="AW98" s="23">
        <f>EXP(-LN(2)/2)*AW97+(1-EXP(-LN(2)/2))/(LN(2)/2)*AQ98*AT98*VLOOKUP('Données projet'!$B$10,Paramètres!$A$1:$I$88,3,0)*0.475*44/12</f>
        <v>5.4189842748189245E-3</v>
      </c>
      <c r="AX98" s="23">
        <f t="shared" si="60"/>
        <v>129.09049868755324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1.4210854715202004E-13</v>
      </c>
      <c r="BE98" s="14">
        <f>BD98*VLOOKUP('Données projet'!$B$11,Paramètres!$A$1:$I$88,3,0)*VLOOKUP('Données projet'!$B$11,Paramètres!$A$1:$I$88,5,0)</f>
        <v>1.3744738680543379E-13</v>
      </c>
      <c r="BF98" s="14">
        <f t="shared" si="91"/>
        <v>1.9898001765172164E-12</v>
      </c>
      <c r="BG98" s="22">
        <f t="shared" si="61"/>
        <v>3.7049561727869492E-12</v>
      </c>
      <c r="BH98" s="62">
        <f t="shared" si="62"/>
        <v>293.33333333333701</v>
      </c>
      <c r="BI98" s="62">
        <f ca="1">AVERAGE(OFFSET($BH$3,0,0,'Données projet'!$E$11+1,1))-AVERAGE(OFFSET($H$3,0,0,'Données projet'!$E$11+1,1))</f>
        <v>84.664683404322943</v>
      </c>
      <c r="BJ98" s="62">
        <f t="shared" si="92"/>
        <v>79.209234837679901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33.77098573948205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33.77098573948205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212</v>
      </c>
      <c r="BW98" s="13">
        <f>VLOOKUP(A98,'Données projet'!$A$113:$I$133,9,0)</f>
        <v>3.8</v>
      </c>
      <c r="BX98" s="13">
        <f t="array" ref="BX98">INDEX(BW:BW,MIN(IF(ISNUMBER(BW98:BW294),ROW(BW98:BW294),"")))</f>
        <v>3.8</v>
      </c>
      <c r="BY98" s="13">
        <f>IF('Données projet'!$A$114&gt;35,BY97+BX98-CG97,IF(A98&lt;'Données projet'!$A$114,$BV$205^A98,IF(A98='Données projet'!$A$114,'Données projet'!$B$114,BY97+BX98-CG97)))</f>
        <v>211.99999999999994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14</v>
      </c>
      <c r="CH98" s="17" t="e">
        <f>IF(ISNA(VLOOKUP(A98,'Données projet'!$A$113:$I$133,5,0)),0%,VLOOKUP(A98,'Données projet'!$A$113:$I$133,5,0)*VLOOKUP('Données projet'!$B$12,Paramètres!$A$1:$I$88,7,0))</f>
        <v>#N/A</v>
      </c>
      <c r="CI98" s="17" t="e">
        <f>IF(ISNA(VLOOKUP(A98,'Données projet'!$A$113:$I$133,6,0)),0%,VLOOKUP(A98,'Données projet'!$A$113:$I$133,6,0)*VLOOKUP('Données projet'!$B$12,Paramètres!$A$1:$I$88,7,0))</f>
        <v>#N/A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222.79999999999995</v>
      </c>
      <c r="O99" s="14">
        <f>N99*VLOOKUP('Données projet'!$B$9,Paramètres!$A$1:$I$88,3,0)*VLOOKUP('Données projet'!$B$9,Paramètres!$A$1:$I$88,5,0)</f>
        <v>201.58943999999994</v>
      </c>
      <c r="P99" s="14">
        <f t="shared" si="87"/>
        <v>50.093317439945402</v>
      </c>
      <c r="Q99" s="22">
        <f t="shared" ref="Q99:Q130" si="107">(O99+P99)*0.475*44/12</f>
        <v>438.34746920790479</v>
      </c>
      <c r="R99" s="62">
        <f t="shared" si="55"/>
        <v>731.68080254123811</v>
      </c>
      <c r="S99" s="62">
        <f ca="1">AVERAGE(OFFSET($R$3,0,0,'Données projet'!$E$9+1,1))-AVERAGE(OFFSET($H$3,0,0,'Données projet'!$E$9+1,1))</f>
        <v>182.76154982630777</v>
      </c>
      <c r="T99" s="62">
        <f t="shared" si="88"/>
        <v>119.92190922866632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23.008107522799243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23.008107522799243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projet'!$B$10,Paramètres!$A$1:$I$88,3,0)*VLOOKUP('Données projet'!$B$10,Paramètres!$A$1:$I$88,5,0)</f>
        <v>-3.3992364478763198E-14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212.1966338656834</v>
      </c>
      <c r="AO99" s="62">
        <f t="shared" si="90"/>
        <v>194.52809733694494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105.10958772493227</v>
      </c>
      <c r="AV99" s="23">
        <f>EXP(-LN(2)/25)*AV98+(1-EXP(-LN(2)/25))/(LN(2)/25)*Calculateur!AQ99*Calculateur!AS99*VLOOKUP('Données projet'!$B$10,Paramètres!$A$1:$I$88,3,0)*0.475*44/12</f>
        <v>21.275009139202982</v>
      </c>
      <c r="AW99" s="23">
        <f>EXP(-LN(2)/2)*AW98+(1-EXP(-LN(2)/2))/(LN(2)/2)*AQ99*AT99*VLOOKUP('Données projet'!$B$10,Paramètres!$A$1:$I$88,3,0)*0.475*44/12</f>
        <v>3.8318005278677276E-3</v>
      </c>
      <c r="AX99" s="23">
        <f t="shared" si="60"/>
        <v>126.38842866466311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1.4210854715202004E-13</v>
      </c>
      <c r="BE99" s="14">
        <f>BD99*VLOOKUP('Données projet'!$B$11,Paramètres!$A$1:$I$88,3,0)*VLOOKUP('Données projet'!$B$11,Paramètres!$A$1:$I$88,5,0)</f>
        <v>1.3744738680543379E-13</v>
      </c>
      <c r="BF99" s="14">
        <f t="shared" si="91"/>
        <v>1.9898001765172164E-12</v>
      </c>
      <c r="BG99" s="22">
        <f t="shared" si="61"/>
        <v>3.7049561727869492E-12</v>
      </c>
      <c r="BH99" s="62">
        <f t="shared" si="62"/>
        <v>293.33333333333701</v>
      </c>
      <c r="BI99" s="62">
        <f ca="1">AVERAGE(OFFSET($BH$3,0,0,'Données projet'!$E$11+1,1))-AVERAGE(OFFSET($H$3,0,0,'Données projet'!$E$11+1,1))</f>
        <v>84.664683404322943</v>
      </c>
      <c r="BJ99" s="62">
        <f t="shared" si="92"/>
        <v>79.209234837679901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33.1087573073982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33.1087573073982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3.6</v>
      </c>
      <c r="BY99" s="13">
        <f>IF('Données projet'!$A$114&gt;35,BY98+BX99-CG98,IF(A99&lt;'Données projet'!$A$114,$BV$205^A99,IF(A99='Données projet'!$A$114,'Données projet'!$B$114,BY98+BX99-CG98)))</f>
        <v>201.59999999999994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228.39999999999995</v>
      </c>
      <c r="O100" s="14">
        <f>N100*VLOOKUP('Données projet'!$B$9,Paramètres!$A$1:$I$88,3,0)*VLOOKUP('Données projet'!$B$9,Paramètres!$A$1:$I$88,5,0)</f>
        <v>206.65631999999994</v>
      </c>
      <c r="P100" s="14">
        <f t="shared" si="87"/>
        <v>51.20422634371338</v>
      </c>
      <c r="Q100" s="22">
        <f t="shared" si="107"/>
        <v>449.10711821530072</v>
      </c>
      <c r="R100" s="62">
        <f t="shared" si="55"/>
        <v>742.44045154863397</v>
      </c>
      <c r="S100" s="62">
        <f ca="1">AVERAGE(OFFSET($R$3,0,0,'Données projet'!$E$9+1,1))-AVERAGE(OFFSET($H$3,0,0,'Données projet'!$E$9+1,1))</f>
        <v>182.76154982630777</v>
      </c>
      <c r="T100" s="62">
        <f t="shared" si="88"/>
        <v>119.92190922866632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22.556932567837041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22.556932567837041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projet'!$B$10,Paramètres!$A$1:$I$88,3,0)*VLOOKUP('Données projet'!$B$10,Paramètres!$A$1:$I$88,5,0)</f>
        <v>-3.3992364478763198E-14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212.1966338656834</v>
      </c>
      <c r="AO100" s="62">
        <f t="shared" si="90"/>
        <v>194.52809733694494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103.04845282016447</v>
      </c>
      <c r="AV100" s="23">
        <f>EXP(-LN(2)/25)*AV99+(1-EXP(-LN(2)/25))/(LN(2)/25)*Calculateur!AQ100*Calculateur!AS100*VLOOKUP('Données projet'!$B$10,Paramètres!$A$1:$I$88,3,0)*0.475*44/12</f>
        <v>20.693242895487369</v>
      </c>
      <c r="AW100" s="23">
        <f>EXP(-LN(2)/2)*AW99+(1-EXP(-LN(2)/2))/(LN(2)/2)*AQ100*AT100*VLOOKUP('Données projet'!$B$10,Paramètres!$A$1:$I$88,3,0)*0.475*44/12</f>
        <v>2.7094921374094627E-3</v>
      </c>
      <c r="AX100" s="23">
        <f t="shared" si="60"/>
        <v>123.74440520778926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1.4210854715202004E-13</v>
      </c>
      <c r="BE100" s="14">
        <f>BD100*VLOOKUP('Données projet'!$B$11,Paramètres!$A$1:$I$88,3,0)*VLOOKUP('Données projet'!$B$11,Paramètres!$A$1:$I$88,5,0)</f>
        <v>1.3744738680543379E-13</v>
      </c>
      <c r="BF100" s="14">
        <f t="shared" si="91"/>
        <v>1.9898001765172164E-12</v>
      </c>
      <c r="BG100" s="22">
        <f t="shared" si="61"/>
        <v>3.7049561727869492E-12</v>
      </c>
      <c r="BH100" s="62">
        <f t="shared" si="62"/>
        <v>293.33333333333701</v>
      </c>
      <c r="BI100" s="62">
        <f ca="1">AVERAGE(OFFSET($BH$3,0,0,'Données projet'!$E$11+1,1))-AVERAGE(OFFSET($H$3,0,0,'Données projet'!$E$11+1,1))</f>
        <v>84.664683404322943</v>
      </c>
      <c r="BJ100" s="62">
        <f t="shared" si="92"/>
        <v>79.209234837679901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32.459514770948054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32.459514770948054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3.6</v>
      </c>
      <c r="BY100" s="13">
        <f>IF('Données projet'!$A$114&gt;35,BY99+BX100-CG99,IF(A100&lt;'Données projet'!$A$114,$BV$205^A100,IF(A100='Données projet'!$A$114,'Données projet'!$B$114,BY99+BX100-CG99)))</f>
        <v>205.19999999999993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233.99999999999994</v>
      </c>
      <c r="O101" s="14">
        <f>N101*VLOOKUP('Données projet'!$B$9,Paramètres!$A$1:$I$88,3,0)*VLOOKUP('Données projet'!$B$9,Paramètres!$A$1:$I$88,5,0)</f>
        <v>211.72319999999996</v>
      </c>
      <c r="P101" s="14">
        <f t="shared" si="87"/>
        <v>52.311968964212078</v>
      </c>
      <c r="Q101" s="22">
        <f t="shared" si="107"/>
        <v>459.86125261266926</v>
      </c>
      <c r="R101" s="62">
        <f t="shared" si="55"/>
        <v>753.19458594600258</v>
      </c>
      <c r="S101" s="62">
        <f ca="1">AVERAGE(OFFSET($R$3,0,0,'Données projet'!$E$9+1,1))-AVERAGE(OFFSET($H$3,0,0,'Données projet'!$E$9+1,1))</f>
        <v>182.76154982630777</v>
      </c>
      <c r="T101" s="62">
        <f t="shared" si="88"/>
        <v>119.92190922866632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22.114604878552097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22.114604878552097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projet'!$B$10,Paramètres!$A$1:$I$88,3,0)*VLOOKUP('Données projet'!$B$10,Paramètres!$A$1:$I$88,5,0)</f>
        <v>-3.3992364478763198E-14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212.1966338656834</v>
      </c>
      <c r="AO101" s="62">
        <f t="shared" si="90"/>
        <v>194.52809733694494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101.02773551371101</v>
      </c>
      <c r="AV101" s="23">
        <f>EXP(-LN(2)/25)*AV100+(1-EXP(-LN(2)/25))/(LN(2)/25)*Calculateur!AQ101*Calculateur!AS101*VLOOKUP('Données projet'!$B$10,Paramètres!$A$1:$I$88,3,0)*0.475*44/12</f>
        <v>20.12738508029992</v>
      </c>
      <c r="AW101" s="23">
        <f>EXP(-LN(2)/2)*AW100+(1-EXP(-LN(2)/2))/(LN(2)/2)*AQ101*AT101*VLOOKUP('Données projet'!$B$10,Paramètres!$A$1:$I$88,3,0)*0.475*44/12</f>
        <v>1.915900263933864E-3</v>
      </c>
      <c r="AX101" s="23">
        <f t="shared" si="60"/>
        <v>121.15703649427486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1.4210854715202004E-13</v>
      </c>
      <c r="BE101" s="14">
        <f>BD101*VLOOKUP('Données projet'!$B$11,Paramètres!$A$1:$I$88,3,0)*VLOOKUP('Données projet'!$B$11,Paramètres!$A$1:$I$88,5,0)</f>
        <v>1.3744738680543379E-13</v>
      </c>
      <c r="BF101" s="14">
        <f t="shared" si="91"/>
        <v>1.9898001765172164E-12</v>
      </c>
      <c r="BG101" s="22">
        <f t="shared" si="61"/>
        <v>3.7049561727869492E-12</v>
      </c>
      <c r="BH101" s="62">
        <f t="shared" si="62"/>
        <v>293.33333333333701</v>
      </c>
      <c r="BI101" s="62">
        <f ca="1">AVERAGE(OFFSET($BH$3,0,0,'Données projet'!$E$11+1,1))-AVERAGE(OFFSET($H$3,0,0,'Données projet'!$E$11+1,1))</f>
        <v>84.664683404322943</v>
      </c>
      <c r="BJ101" s="62">
        <f t="shared" si="92"/>
        <v>79.209234837679901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31.82300348463885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31.82300348463885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3.6</v>
      </c>
      <c r="BY101" s="13">
        <f>IF('Données projet'!$A$114&gt;35,BY100+BX101-CG100,IF(A101&lt;'Données projet'!$A$114,$BV$205^A101,IF(A101='Données projet'!$A$114,'Données projet'!$B$114,BY100+BX101-CG100)))</f>
        <v>208.79999999999993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239.59999999999994</v>
      </c>
      <c r="O102" s="14">
        <f>N102*VLOOKUP('Données projet'!$B$9,Paramètres!$A$1:$I$88,3,0)*VLOOKUP('Données projet'!$B$9,Paramètres!$A$1:$I$88,5,0)</f>
        <v>216.79007999999996</v>
      </c>
      <c r="P102" s="14">
        <f t="shared" si="87"/>
        <v>53.416629794462551</v>
      </c>
      <c r="Q102" s="22">
        <f t="shared" si="107"/>
        <v>470.61001955868886</v>
      </c>
      <c r="R102" s="62">
        <f t="shared" si="55"/>
        <v>763.94335289202218</v>
      </c>
      <c r="S102" s="62">
        <f ca="1">AVERAGE(OFFSET($R$3,0,0,'Données projet'!$E$9+1,1))-AVERAGE(OFFSET($H$3,0,0,'Données projet'!$E$9+1,1))</f>
        <v>182.76154982630777</v>
      </c>
      <c r="T102" s="62">
        <f t="shared" si="88"/>
        <v>119.92190922866632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21.680950965460781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21.680950965460781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projet'!$B$10,Paramètres!$A$1:$I$88,3,0)*VLOOKUP('Données projet'!$B$10,Paramètres!$A$1:$I$88,5,0)</f>
        <v>-3.3992364478763198E-14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212.1966338656834</v>
      </c>
      <c r="AO102" s="62">
        <f t="shared" si="90"/>
        <v>194.52809733694494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99.046643241121245</v>
      </c>
      <c r="AV102" s="23">
        <f>EXP(-LN(2)/25)*AV101+(1-EXP(-LN(2)/25))/(LN(2)/25)*Calculateur!AQ102*Calculateur!AS102*VLOOKUP('Données projet'!$B$10,Paramètres!$A$1:$I$88,3,0)*0.475*44/12</f>
        <v>19.577000676825939</v>
      </c>
      <c r="AW102" s="23">
        <f>EXP(-LN(2)/2)*AW101+(1-EXP(-LN(2)/2))/(LN(2)/2)*AQ102*AT102*VLOOKUP('Données projet'!$B$10,Paramètres!$A$1:$I$88,3,0)*0.475*44/12</f>
        <v>1.3547460687047316E-3</v>
      </c>
      <c r="AX102" s="23">
        <f t="shared" si="60"/>
        <v>118.62499866401589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1.4210854715202004E-13</v>
      </c>
      <c r="BE102" s="14">
        <f>BD102*VLOOKUP('Données projet'!$B$11,Paramètres!$A$1:$I$88,3,0)*VLOOKUP('Données projet'!$B$11,Paramètres!$A$1:$I$88,5,0)</f>
        <v>1.3744738680543379E-13</v>
      </c>
      <c r="BF102" s="14">
        <f t="shared" si="91"/>
        <v>1.9898001765172164E-12</v>
      </c>
      <c r="BG102" s="22">
        <f t="shared" si="61"/>
        <v>3.7049561727869492E-12</v>
      </c>
      <c r="BH102" s="62">
        <f t="shared" si="62"/>
        <v>293.33333333333701</v>
      </c>
      <c r="BI102" s="62">
        <f ca="1">AVERAGE(OFFSET($BH$3,0,0,'Données projet'!$E$11+1,1))-AVERAGE(OFFSET($H$3,0,0,'Données projet'!$E$11+1,1))</f>
        <v>84.664683404322943</v>
      </c>
      <c r="BJ102" s="62">
        <f t="shared" si="92"/>
        <v>79.209234837679901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31.198973796420617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31.198973796420617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3.6</v>
      </c>
      <c r="BY102" s="13">
        <f>IF('Données projet'!$A$114&gt;35,BY101+BX102-CG101,IF(A102&lt;'Données projet'!$A$114,$BV$205^A102,IF(A102='Données projet'!$A$114,'Données projet'!$B$114,BY101+BX102-CG101)))</f>
        <v>212.39999999999992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245.19999999999993</v>
      </c>
      <c r="O103" s="14">
        <f>N103*VLOOKUP('Données projet'!$B$9,Paramètres!$A$1:$I$88,3,0)*VLOOKUP('Données projet'!$B$9,Paramètres!$A$1:$I$88,5,0)</f>
        <v>221.85695999999993</v>
      </c>
      <c r="P103" s="14">
        <f t="shared" si="87"/>
        <v>54.518289152565778</v>
      </c>
      <c r="Q103" s="22">
        <f t="shared" si="107"/>
        <v>481.35355894071859</v>
      </c>
      <c r="R103" s="62">
        <f t="shared" si="55"/>
        <v>774.68689227405184</v>
      </c>
      <c r="S103" s="62">
        <f ca="1">AVERAGE(OFFSET($R$3,0,0,'Données projet'!$E$9+1,1))-AVERAGE(OFFSET($H$3,0,0,'Données projet'!$E$9+1,1))</f>
        <v>182.76154982630777</v>
      </c>
      <c r="T103" s="62">
        <f t="shared" si="88"/>
        <v>119.92190922866632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21.255800741102416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21.255800741102416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projet'!$B$10,Paramètres!$A$1:$I$88,3,0)*VLOOKUP('Données projet'!$B$10,Paramètres!$A$1:$I$88,5,0)</f>
        <v>-3.3992364478763198E-14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212.1966338656834</v>
      </c>
      <c r="AO103" s="62">
        <f t="shared" si="90"/>
        <v>194.52809733694494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97.10439897965</v>
      </c>
      <c r="AV103" s="23">
        <f>EXP(-LN(2)/25)*AV102+(1-EXP(-LN(2)/25))/(LN(2)/25)*Calculateur!AQ103*Calculateur!AS103*VLOOKUP('Données projet'!$B$10,Paramètres!$A$1:$I$88,3,0)*0.475*44/12</f>
        <v>19.041666563808413</v>
      </c>
      <c r="AW103" s="23">
        <f>EXP(-LN(2)/2)*AW102+(1-EXP(-LN(2)/2))/(LN(2)/2)*AQ103*AT103*VLOOKUP('Données projet'!$B$10,Paramètres!$A$1:$I$88,3,0)*0.475*44/12</f>
        <v>9.5795013196693212E-4</v>
      </c>
      <c r="AX103" s="23">
        <f t="shared" si="60"/>
        <v>116.14702349359037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1.4210854715202004E-13</v>
      </c>
      <c r="BE103" s="14">
        <f>BD103*VLOOKUP('Données projet'!$B$11,Paramètres!$A$1:$I$88,3,0)*VLOOKUP('Données projet'!$B$11,Paramètres!$A$1:$I$88,5,0)</f>
        <v>1.3744738680543379E-13</v>
      </c>
      <c r="BF103" s="14">
        <f t="shared" si="91"/>
        <v>1.9898001765172164E-12</v>
      </c>
      <c r="BG103" s="22">
        <f t="shared" si="61"/>
        <v>3.7049561727869492E-12</v>
      </c>
      <c r="BH103" s="62">
        <f t="shared" si="62"/>
        <v>293.33333333333701</v>
      </c>
      <c r="BI103" s="62">
        <f ca="1">AVERAGE(OFFSET($BH$3,0,0,'Données projet'!$E$11+1,1))-AVERAGE(OFFSET($H$3,0,0,'Données projet'!$E$11+1,1))</f>
        <v>84.664683404322943</v>
      </c>
      <c r="BJ103" s="62">
        <f t="shared" si="92"/>
        <v>79.209234837679901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30.587180949767816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30.587180949767816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216</v>
      </c>
      <c r="BW103" s="13">
        <f>VLOOKUP(A103,'Données projet'!$A$113:$I$133,9,0)</f>
        <v>3.6</v>
      </c>
      <c r="BX103" s="13">
        <f t="array" ref="BX103">INDEX(BW:BW,MIN(IF(ISNUMBER(BW103:BW299),ROW(BW103:BW299),"")))</f>
        <v>3.6</v>
      </c>
      <c r="BY103" s="13">
        <f>IF('Données projet'!$A$114&gt;35,BY102+BX103-CG102,IF(A103&lt;'Données projet'!$A$114,$BV$205^A103,IF(A103='Données projet'!$A$114,'Données projet'!$B$114,BY102+BX103-CG102)))</f>
        <v>215.99999999999991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216</v>
      </c>
      <c r="CH103" s="17" t="e">
        <f>IF(ISNA(VLOOKUP(A103,'Données projet'!$A$113:$I$133,5,0)),0%,VLOOKUP(A103,'Données projet'!$A$113:$I$133,5,0)*VLOOKUP('Données projet'!$B$12,Paramètres!$A$1:$I$88,7,0))</f>
        <v>#N/A</v>
      </c>
      <c r="CI103" s="17" t="e">
        <f>IF(ISNA(VLOOKUP(A103,'Données projet'!$A$113:$I$133,6,0)),0%,VLOOKUP(A103,'Données projet'!$A$113:$I$133,6,0)*VLOOKUP('Données projet'!$B$12,Paramètres!$A$1:$I$88,7,0))</f>
        <v>#N/A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5.6</v>
      </c>
      <c r="N104" s="14">
        <f>IF('Données projet'!$A$36&gt;35,N103+M104-V103,IF(A104&lt;'Données projet'!$A$36,$K$205^A104,IF(A104='Données projet'!$A$36,'Données projet'!$B$36,N103+M104-V103)))</f>
        <v>250.79999999999993</v>
      </c>
      <c r="O104" s="14">
        <f>N104*VLOOKUP('Données projet'!$B$9,Paramètres!$A$1:$I$88,3,0)*VLOOKUP('Données projet'!$B$9,Paramètres!$A$1:$I$88,5,0)</f>
        <v>226.92383999999993</v>
      </c>
      <c r="P104" s="14">
        <f t="shared" si="87"/>
        <v>55.617023478556483</v>
      </c>
      <c r="Q104" s="22">
        <f t="shared" si="107"/>
        <v>492.09200389181893</v>
      </c>
      <c r="R104" s="62">
        <f t="shared" si="55"/>
        <v>785.42533722515225</v>
      </c>
      <c r="S104" s="62">
        <f ca="1">AVERAGE(OFFSET($R$3,0,0,'Données projet'!$E$9+1,1))-AVERAGE(OFFSET($H$3,0,0,'Données projet'!$E$9+1,1))</f>
        <v>182.76154982630777</v>
      </c>
      <c r="T104" s="62">
        <f t="shared" si="88"/>
        <v>119.92190922866632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20.838987453327686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20.838987453327686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projet'!$B$10,Paramètres!$A$1:$I$88,3,0)*VLOOKUP('Données projet'!$B$10,Paramètres!$A$1:$I$88,5,0)</f>
        <v>-3.3992364478763198E-14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212.1966338656834</v>
      </c>
      <c r="AO104" s="62">
        <f t="shared" si="90"/>
        <v>194.52809733694494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95.20024094349418</v>
      </c>
      <c r="AV104" s="23">
        <f>EXP(-LN(2)/25)*AV103+(1-EXP(-LN(2)/25))/(LN(2)/25)*Calculateur!AQ104*Calculateur!AS104*VLOOKUP('Données projet'!$B$10,Paramètres!$A$1:$I$88,3,0)*0.475*44/12</f>
        <v>18.520971190263346</v>
      </c>
      <c r="AW104" s="23">
        <f>EXP(-LN(2)/2)*AW103+(1-EXP(-LN(2)/2))/(LN(2)/2)*AQ104*AT104*VLOOKUP('Données projet'!$B$10,Paramètres!$A$1:$I$88,3,0)*0.475*44/12</f>
        <v>6.7737303435236589E-4</v>
      </c>
      <c r="AX104" s="23">
        <f t="shared" si="60"/>
        <v>113.72188950679187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1.4210854715202004E-13</v>
      </c>
      <c r="BE104" s="14">
        <f>BD104*VLOOKUP('Données projet'!$B$11,Paramètres!$A$1:$I$88,3,0)*VLOOKUP('Données projet'!$B$11,Paramètres!$A$1:$I$88,5,0)</f>
        <v>1.3744738680543379E-13</v>
      </c>
      <c r="BF104" s="14">
        <f t="shared" si="91"/>
        <v>1.9898001765172164E-12</v>
      </c>
      <c r="BG104" s="22">
        <f t="shared" si="61"/>
        <v>3.7049561727869492E-12</v>
      </c>
      <c r="BH104" s="62">
        <f t="shared" si="62"/>
        <v>293.33333333333701</v>
      </c>
      <c r="BI104" s="62">
        <f ca="1">AVERAGE(OFFSET($BH$3,0,0,'Données projet'!$E$11+1,1))-AVERAGE(OFFSET($H$3,0,0,'Données projet'!$E$11+1,1))</f>
        <v>84.664683404322943</v>
      </c>
      <c r="BJ104" s="62">
        <f t="shared" si="92"/>
        <v>79.209234837679901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29.987384987681089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29.987384987681089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-8.5265128291212022E-14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5.6</v>
      </c>
      <c r="N105" s="14">
        <f>IF('Données projet'!$A$36&gt;35,N104+M105-V104,IF(A105&lt;'Données projet'!$A$36,$K$205^A105,IF(A105='Données projet'!$A$36,'Données projet'!$B$36,N104+M105-V104)))</f>
        <v>256.39999999999992</v>
      </c>
      <c r="O105" s="14">
        <f>N105*VLOOKUP('Données projet'!$B$9,Paramètres!$A$1:$I$88,3,0)*VLOOKUP('Données projet'!$B$9,Paramètres!$A$1:$I$88,5,0)</f>
        <v>231.9907199999999</v>
      </c>
      <c r="P105" s="14">
        <f t="shared" si="87"/>
        <v>56.71290560399715</v>
      </c>
      <c r="Q105" s="22">
        <f t="shared" si="107"/>
        <v>502.82548126029491</v>
      </c>
      <c r="R105" s="62">
        <f t="shared" si="55"/>
        <v>796.15881459362822</v>
      </c>
      <c r="S105" s="62">
        <f ca="1">AVERAGE(OFFSET($R$3,0,0,'Données projet'!$E$9+1,1))-AVERAGE(OFFSET($H$3,0,0,'Données projet'!$E$9+1,1))</f>
        <v>182.76154982630777</v>
      </c>
      <c r="T105" s="62">
        <f t="shared" si="88"/>
        <v>119.92190922866632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20.430347619895215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20.430347619895215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projet'!$B$10,Paramètres!$A$1:$I$88,3,0)*VLOOKUP('Données projet'!$B$10,Paramètres!$A$1:$I$88,5,0)</f>
        <v>-3.3992364478763198E-14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212.1966338656834</v>
      </c>
      <c r="AO105" s="62">
        <f t="shared" si="90"/>
        <v>194.52809733694494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93.333422285005653</v>
      </c>
      <c r="AV105" s="23">
        <f>EXP(-LN(2)/25)*AV104+(1-EXP(-LN(2)/25))/(LN(2)/25)*Calculateur!AQ105*Calculateur!AS105*VLOOKUP('Données projet'!$B$10,Paramètres!$A$1:$I$88,3,0)*0.475*44/12</f>
        <v>18.014514259090049</v>
      </c>
      <c r="AW105" s="23">
        <f>EXP(-LN(2)/2)*AW104+(1-EXP(-LN(2)/2))/(LN(2)/2)*AQ105*AT105*VLOOKUP('Données projet'!$B$10,Paramètres!$A$1:$I$88,3,0)*0.475*44/12</f>
        <v>4.7897506598346617E-4</v>
      </c>
      <c r="AX105" s="23">
        <f t="shared" si="60"/>
        <v>111.34841551916169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1.4210854715202004E-13</v>
      </c>
      <c r="BE105" s="14">
        <f>BD105*VLOOKUP('Données projet'!$B$11,Paramètres!$A$1:$I$88,3,0)*VLOOKUP('Données projet'!$B$11,Paramètres!$A$1:$I$88,5,0)</f>
        <v>1.3744738680543379E-13</v>
      </c>
      <c r="BF105" s="14">
        <f t="shared" si="91"/>
        <v>1.9898001765172164E-12</v>
      </c>
      <c r="BG105" s="22">
        <f t="shared" si="61"/>
        <v>3.7049561727869492E-12</v>
      </c>
      <c r="BH105" s="62">
        <f t="shared" si="62"/>
        <v>293.33333333333701</v>
      </c>
      <c r="BI105" s="62">
        <f ca="1">AVERAGE(OFFSET($BH$3,0,0,'Données projet'!$E$11+1,1))-AVERAGE(OFFSET($H$3,0,0,'Données projet'!$E$11+1,1))</f>
        <v>84.664683404322943</v>
      </c>
      <c r="BJ105" s="62">
        <f t="shared" si="92"/>
        <v>79.209234837679901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29.399350658571468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29.399350658571468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-8.5265128291212022E-14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>
        <f>VLOOKUP(A106,'Données projet'!$A$35:$I$55,2,0)</f>
        <v>262</v>
      </c>
      <c r="L106" s="13">
        <f>VLOOKUP(A106,'Données projet'!$A$35:$I$55,9,0)</f>
        <v>5.6</v>
      </c>
      <c r="M106" s="13">
        <f t="array" ref="M106">INDEX(L:L,MIN(IF(ISNUMBER(L106:L302),ROW(L106:L302),"")))</f>
        <v>5.6</v>
      </c>
      <c r="N106" s="14">
        <f>IF('Données projet'!$A$36&gt;35,N105+M106-V105,IF(A106&lt;'Données projet'!$A$36,$K$205^A106,IF(A106='Données projet'!$A$36,'Données projet'!$B$36,N105+M106-V105)))</f>
        <v>261.99999999999994</v>
      </c>
      <c r="O106" s="14">
        <f>N106*VLOOKUP('Données projet'!$B$9,Paramètres!$A$1:$I$88,3,0)*VLOOKUP('Données projet'!$B$9,Paramètres!$A$1:$I$88,5,0)</f>
        <v>237.05759999999992</v>
      </c>
      <c r="P106" s="14">
        <f t="shared" si="87"/>
        <v>57.806004997354641</v>
      </c>
      <c r="Q106" s="22">
        <f t="shared" si="107"/>
        <v>513.5541120370591</v>
      </c>
      <c r="R106" s="62">
        <f t="shared" si="55"/>
        <v>806.88744537039247</v>
      </c>
      <c r="S106" s="62">
        <f ca="1">AVERAGE(OFFSET($R$3,0,0,'Données projet'!$E$9+1,1))-AVERAGE(OFFSET($H$3,0,0,'Données projet'!$E$9+1,1))</f>
        <v>182.76154982630777</v>
      </c>
      <c r="T106" s="62">
        <f t="shared" si="88"/>
        <v>119.92190922866632</v>
      </c>
      <c r="U106" s="16">
        <f>IF(ISNA(VLOOKUP(A106,'Données projet'!$A$35:$I$55,3,0)),0,VLOOKUP(A106,'Données projet'!$A$35:$I$55,3,0))</f>
        <v>8</v>
      </c>
      <c r="V106" s="16">
        <f>IF(ISNA(VLOOKUP(A106,'Données projet'!$A$35:$I$55,4,0)),0,VLOOKUP(A106,'Données projet'!$A$35:$I$55,4,0))</f>
        <v>38</v>
      </c>
      <c r="W106" s="17">
        <f>IF(ISNA(VLOOKUP(A106,'Données projet'!$A$35:$I$55,5,0)),0%,VLOOKUP(A106,'Données projet'!$A$35:$I$55,5,0)*VLOOKUP('Données projet'!$B$9,Paramètres!$A$1:$I$88,7,0))</f>
        <v>0.25800000000000001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29.835971956882126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29.835971956882126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projet'!$B$10,Paramètres!$A$1:$I$88,3,0)*VLOOKUP('Données projet'!$B$10,Paramètres!$A$1:$I$88,5,0)</f>
        <v>-3.3992364478763198E-14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212.1966338656834</v>
      </c>
      <c r="AO106" s="62">
        <f t="shared" si="90"/>
        <v>194.52809733694494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91.503210801763132</v>
      </c>
      <c r="AV106" s="23">
        <f>EXP(-LN(2)/25)*AV105+(1-EXP(-LN(2)/25))/(LN(2)/25)*Calculateur!AQ106*Calculateur!AS106*VLOOKUP('Données projet'!$B$10,Paramètres!$A$1:$I$88,3,0)*0.475*44/12</f>
        <v>17.521906419333099</v>
      </c>
      <c r="AW106" s="23">
        <f>EXP(-LN(2)/2)*AW105+(1-EXP(-LN(2)/2))/(LN(2)/2)*AQ106*AT106*VLOOKUP('Données projet'!$B$10,Paramètres!$A$1:$I$88,3,0)*0.475*44/12</f>
        <v>3.38686517176183E-4</v>
      </c>
      <c r="AX106" s="23">
        <f t="shared" si="60"/>
        <v>109.02545590761341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1.4210854715202004E-13</v>
      </c>
      <c r="BE106" s="14">
        <f>BD106*VLOOKUP('Données projet'!$B$11,Paramètres!$A$1:$I$88,3,0)*VLOOKUP('Données projet'!$B$11,Paramètres!$A$1:$I$88,5,0)</f>
        <v>1.3744738680543379E-13</v>
      </c>
      <c r="BF106" s="14">
        <f t="shared" si="91"/>
        <v>1.9898001765172164E-12</v>
      </c>
      <c r="BG106" s="22">
        <f t="shared" si="61"/>
        <v>3.7049561727869492E-12</v>
      </c>
      <c r="BH106" s="62">
        <f t="shared" si="62"/>
        <v>293.33333333333701</v>
      </c>
      <c r="BI106" s="62">
        <f ca="1">AVERAGE(OFFSET($BH$3,0,0,'Données projet'!$E$11+1,1))-AVERAGE(OFFSET($H$3,0,0,'Données projet'!$E$11+1,1))</f>
        <v>84.664683404322943</v>
      </c>
      <c r="BJ106" s="62">
        <f t="shared" si="92"/>
        <v>79.209234837679901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28.82284732399016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28.82284732399016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-8.5265128291212022E-14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6</v>
      </c>
      <c r="N107" s="14">
        <f>IF('Données projet'!$A$36&gt;35,N106+M107-V106,IF(A107&lt;'Données projet'!$A$36,$K$205^A107,IF(A107='Données projet'!$A$36,'Données projet'!$B$36,N106+M107-V106)))</f>
        <v>229.99999999999994</v>
      </c>
      <c r="O107" s="14">
        <f>N107*VLOOKUP('Données projet'!$B$9,Paramètres!$A$1:$I$88,3,0)*VLOOKUP('Données projet'!$B$9,Paramètres!$A$1:$I$88,5,0)</f>
        <v>208.10399999999993</v>
      </c>
      <c r="P107" s="14">
        <f t="shared" si="87"/>
        <v>51.52104354893045</v>
      </c>
      <c r="Q107" s="22">
        <f t="shared" si="107"/>
        <v>452.18028418105376</v>
      </c>
      <c r="R107" s="62">
        <f t="shared" si="55"/>
        <v>745.51361751438708</v>
      </c>
      <c r="S107" s="62">
        <f ca="1">AVERAGE(OFFSET($R$3,0,0,'Données projet'!$E$9+1,1))-AVERAGE(OFFSET($H$3,0,0,'Données projet'!$E$9+1,1))</f>
        <v>182.76154982630777</v>
      </c>
      <c r="T107" s="62">
        <f t="shared" si="88"/>
        <v>119.92190922866632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29.250906744953642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29.250906744953642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projet'!$B$10,Paramètres!$A$1:$I$88,3,0)*VLOOKUP('Données projet'!$B$10,Paramètres!$A$1:$I$88,5,0)</f>
        <v>-3.3992364478763198E-14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212.1966338656834</v>
      </c>
      <c r="AO107" s="62">
        <f t="shared" si="90"/>
        <v>194.52809733694494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89.708888649388228</v>
      </c>
      <c r="AV107" s="23">
        <f>EXP(-LN(2)/25)*AV106+(1-EXP(-LN(2)/25))/(LN(2)/25)*Calculateur!AQ107*Calculateur!AS107*VLOOKUP('Données projet'!$B$10,Paramètres!$A$1:$I$88,3,0)*0.475*44/12</f>
        <v>17.042768966859423</v>
      </c>
      <c r="AW107" s="23">
        <f>EXP(-LN(2)/2)*AW106+(1-EXP(-LN(2)/2))/(LN(2)/2)*AQ107*AT107*VLOOKUP('Données projet'!$B$10,Paramètres!$A$1:$I$88,3,0)*0.475*44/12</f>
        <v>2.3948753299173311E-4</v>
      </c>
      <c r="AX107" s="23">
        <f t="shared" si="60"/>
        <v>106.75189710378065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1.4210854715202004E-13</v>
      </c>
      <c r="BE107" s="14">
        <f>BD107*VLOOKUP('Données projet'!$B$11,Paramètres!$A$1:$I$88,3,0)*VLOOKUP('Données projet'!$B$11,Paramètres!$A$1:$I$88,5,0)</f>
        <v>1.3744738680543379E-13</v>
      </c>
      <c r="BF107" s="14">
        <f t="shared" si="91"/>
        <v>1.9898001765172164E-12</v>
      </c>
      <c r="BG107" s="22">
        <f t="shared" si="61"/>
        <v>3.7049561727869492E-12</v>
      </c>
      <c r="BH107" s="62">
        <f t="shared" si="62"/>
        <v>293.33333333333701</v>
      </c>
      <c r="BI107" s="62">
        <f ca="1">AVERAGE(OFFSET($BH$3,0,0,'Données projet'!$E$11+1,1))-AVERAGE(OFFSET($H$3,0,0,'Données projet'!$E$11+1,1))</f>
        <v>84.664683404322943</v>
      </c>
      <c r="BJ107" s="62">
        <f t="shared" si="92"/>
        <v>79.209234837679901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28.257648868167681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28.257648868167681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-8.5265128291212022E-14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6</v>
      </c>
      <c r="N108" s="14">
        <f>IF('Données projet'!$A$36&gt;35,N107+M108-V107,IF(A108&lt;'Données projet'!$A$36,$K$205^A108,IF(A108='Données projet'!$A$36,'Données projet'!$B$36,N107+M108-V107)))</f>
        <v>235.99999999999994</v>
      </c>
      <c r="O108" s="14">
        <f>N108*VLOOKUP('Données projet'!$B$9,Paramètres!$A$1:$I$88,3,0)*VLOOKUP('Données projet'!$B$9,Paramètres!$A$1:$I$88,5,0)</f>
        <v>213.53279999999995</v>
      </c>
      <c r="P108" s="14">
        <f t="shared" si="87"/>
        <v>52.706840209271185</v>
      </c>
      <c r="Q108" s="22">
        <f t="shared" si="107"/>
        <v>463.70070669781393</v>
      </c>
      <c r="R108" s="62">
        <f t="shared" si="55"/>
        <v>757.03404003114724</v>
      </c>
      <c r="S108" s="62">
        <f ca="1">AVERAGE(OFFSET($R$3,0,0,'Données projet'!$E$9+1,1))-AVERAGE(OFFSET($H$3,0,0,'Données projet'!$E$9+1,1))</f>
        <v>182.76154982630777</v>
      </c>
      <c r="T108" s="62">
        <f t="shared" si="88"/>
        <v>119.92190922866632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28.677314304976534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28.677314304976534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projet'!$B$10,Paramètres!$A$1:$I$88,3,0)*VLOOKUP('Données projet'!$B$10,Paramètres!$A$1:$I$88,5,0)</f>
        <v>-3.3992364478763198E-14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212.1966338656834</v>
      </c>
      <c r="AO108" s="62">
        <f t="shared" si="90"/>
        <v>194.52809733694494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87.949752059992946</v>
      </c>
      <c r="AV108" s="23">
        <f>EXP(-LN(2)/25)*AV107+(1-EXP(-LN(2)/25))/(LN(2)/25)*Calculateur!AQ108*Calculateur!AS108*VLOOKUP('Données projet'!$B$10,Paramètres!$A$1:$I$88,3,0)*0.475*44/12</f>
        <v>16.576733553220386</v>
      </c>
      <c r="AW108" s="23">
        <f>EXP(-LN(2)/2)*AW107+(1-EXP(-LN(2)/2))/(LN(2)/2)*AQ108*AT108*VLOOKUP('Données projet'!$B$10,Paramètres!$A$1:$I$88,3,0)*0.475*44/12</f>
        <v>1.6934325858809153E-4</v>
      </c>
      <c r="AX108" s="23">
        <f t="shared" si="60"/>
        <v>104.52665495647193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1.4210854715202004E-13</v>
      </c>
      <c r="BE108" s="14">
        <f>BD108*VLOOKUP('Données projet'!$B$11,Paramètres!$A$1:$I$88,3,0)*VLOOKUP('Données projet'!$B$11,Paramètres!$A$1:$I$88,5,0)</f>
        <v>1.3744738680543379E-13</v>
      </c>
      <c r="BF108" s="14">
        <f t="shared" si="91"/>
        <v>1.9898001765172164E-12</v>
      </c>
      <c r="BG108" s="22">
        <f t="shared" si="61"/>
        <v>3.7049561727869492E-12</v>
      </c>
      <c r="BH108" s="62">
        <f t="shared" si="62"/>
        <v>293.33333333333701</v>
      </c>
      <c r="BI108" s="62">
        <f ca="1">AVERAGE(OFFSET($BH$3,0,0,'Données projet'!$E$11+1,1))-AVERAGE(OFFSET($H$3,0,0,'Données projet'!$E$11+1,1))</f>
        <v>84.664683404322943</v>
      </c>
      <c r="BJ108" s="62">
        <f t="shared" si="92"/>
        <v>79.209234837679901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27.703533609326861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27.703533609326861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-8.5265128291212022E-14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6</v>
      </c>
      <c r="N109" s="14">
        <f>IF('Données projet'!$A$36&gt;35,N108+M109-V108,IF(A109&lt;'Données projet'!$A$36,$K$205^A109,IF(A109='Données projet'!$A$36,'Données projet'!$B$36,N108+M109-V108)))</f>
        <v>241.99999999999994</v>
      </c>
      <c r="O109" s="14">
        <f>N109*VLOOKUP('Données projet'!$B$9,Paramètres!$A$1:$I$88,3,0)*VLOOKUP('Données projet'!$B$9,Paramètres!$A$1:$I$88,5,0)</f>
        <v>218.96159999999995</v>
      </c>
      <c r="P109" s="14">
        <f t="shared" si="87"/>
        <v>53.88913250370743</v>
      </c>
      <c r="Q109" s="22">
        <f t="shared" si="107"/>
        <v>475.21502577729035</v>
      </c>
      <c r="R109" s="62">
        <f t="shared" si="55"/>
        <v>768.54835911062366</v>
      </c>
      <c r="S109" s="62">
        <f ca="1">AVERAGE(OFFSET($R$3,0,0,'Données projet'!$E$9+1,1))-AVERAGE(OFFSET($H$3,0,0,'Données projet'!$E$9+1,1))</f>
        <v>182.76154982630777</v>
      </c>
      <c r="T109" s="62">
        <f t="shared" si="88"/>
        <v>119.92190922866632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28.114969662890534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28.114969662890534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projet'!$B$10,Paramètres!$A$1:$I$88,3,0)*VLOOKUP('Données projet'!$B$10,Paramètres!$A$1:$I$88,5,0)</f>
        <v>-3.3992364478763198E-14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212.1966338656834</v>
      </c>
      <c r="AO109" s="62">
        <f t="shared" si="90"/>
        <v>194.52809733694494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86.22511106614833</v>
      </c>
      <c r="AV109" s="23">
        <f>EXP(-LN(2)/25)*AV108+(1-EXP(-LN(2)/25))/(LN(2)/25)*Calculateur!AQ109*Calculateur!AS109*VLOOKUP('Données projet'!$B$10,Paramètres!$A$1:$I$88,3,0)*0.475*44/12</f>
        <v>16.123441902475044</v>
      </c>
      <c r="AW109" s="23">
        <f>EXP(-LN(2)/2)*AW108+(1-EXP(-LN(2)/2))/(LN(2)/2)*AQ109*AT109*VLOOKUP('Données projet'!$B$10,Paramètres!$A$1:$I$88,3,0)*0.475*44/12</f>
        <v>1.1974376649586658E-4</v>
      </c>
      <c r="AX109" s="23">
        <f t="shared" si="60"/>
        <v>102.34867271238987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1.4210854715202004E-13</v>
      </c>
      <c r="BE109" s="14">
        <f>BD109*VLOOKUP('Données projet'!$B$11,Paramètres!$A$1:$I$88,3,0)*VLOOKUP('Données projet'!$B$11,Paramètres!$A$1:$I$88,5,0)</f>
        <v>1.3744738680543379E-13</v>
      </c>
      <c r="BF109" s="14">
        <f t="shared" si="91"/>
        <v>1.9898001765172164E-12</v>
      </c>
      <c r="BG109" s="22">
        <f t="shared" si="61"/>
        <v>3.7049561727869492E-12</v>
      </c>
      <c r="BH109" s="62">
        <f t="shared" si="62"/>
        <v>293.33333333333701</v>
      </c>
      <c r="BI109" s="62">
        <f ca="1">AVERAGE(OFFSET($BH$3,0,0,'Données projet'!$E$11+1,1))-AVERAGE(OFFSET($H$3,0,0,'Données projet'!$E$11+1,1))</f>
        <v>84.664683404322943</v>
      </c>
      <c r="BJ109" s="62">
        <f t="shared" si="92"/>
        <v>79.209234837679901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27.160284212734975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27.160284212734975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-8.5265128291212022E-14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6</v>
      </c>
      <c r="N110" s="14">
        <f>IF('Données projet'!$A$36&gt;35,N109+M110-V109,IF(A110&lt;'Données projet'!$A$36,$K$205^A110,IF(A110='Données projet'!$A$36,'Données projet'!$B$36,N109+M110-V109)))</f>
        <v>247.99999999999994</v>
      </c>
      <c r="O110" s="14">
        <f>N110*VLOOKUP('Données projet'!$B$9,Paramètres!$A$1:$I$88,3,0)*VLOOKUP('Données projet'!$B$9,Paramètres!$A$1:$I$88,5,0)</f>
        <v>224.39039999999991</v>
      </c>
      <c r="P110" s="14">
        <f t="shared" si="87"/>
        <v>55.068017311015808</v>
      </c>
      <c r="Q110" s="22">
        <f t="shared" si="107"/>
        <v>486.72341015001911</v>
      </c>
      <c r="R110" s="62">
        <f t="shared" si="55"/>
        <v>780.05674348335242</v>
      </c>
      <c r="S110" s="62">
        <f ca="1">AVERAGE(OFFSET($R$3,0,0,'Données projet'!$E$9+1,1))-AVERAGE(OFFSET($H$3,0,0,'Données projet'!$E$9+1,1))</f>
        <v>182.76154982630777</v>
      </c>
      <c r="T110" s="62">
        <f t="shared" si="88"/>
        <v>119.92190922866632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27.563652256239479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27.563652256239479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projet'!$B$10,Paramètres!$A$1:$I$88,3,0)*VLOOKUP('Données projet'!$B$10,Paramètres!$A$1:$I$88,5,0)</f>
        <v>-3.3992364478763198E-14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212.1966338656834</v>
      </c>
      <c r="AO110" s="62">
        <f t="shared" si="90"/>
        <v>194.52809733694494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84.53428923026587</v>
      </c>
      <c r="AV110" s="23">
        <f>EXP(-LN(2)/25)*AV109+(1-EXP(-LN(2)/25))/(LN(2)/25)*Calculateur!AQ110*Calculateur!AS110*VLOOKUP('Données projet'!$B$10,Paramètres!$A$1:$I$88,3,0)*0.475*44/12</f>
        <v>15.682545535756905</v>
      </c>
      <c r="AW110" s="23">
        <f>EXP(-LN(2)/2)*AW109+(1-EXP(-LN(2)/2))/(LN(2)/2)*AQ110*AT110*VLOOKUP('Données projet'!$B$10,Paramètres!$A$1:$I$88,3,0)*0.475*44/12</f>
        <v>8.4671629294045777E-5</v>
      </c>
      <c r="AX110" s="23">
        <f t="shared" si="60"/>
        <v>100.21691943765207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1.4210854715202004E-13</v>
      </c>
      <c r="BE110" s="14">
        <f>BD110*VLOOKUP('Données projet'!$B$11,Paramètres!$A$1:$I$88,3,0)*VLOOKUP('Données projet'!$B$11,Paramètres!$A$1:$I$88,5,0)</f>
        <v>1.3744738680543379E-13</v>
      </c>
      <c r="BF110" s="14">
        <f t="shared" si="91"/>
        <v>1.9898001765172164E-12</v>
      </c>
      <c r="BG110" s="22">
        <f t="shared" si="61"/>
        <v>3.7049561727869492E-12</v>
      </c>
      <c r="BH110" s="62">
        <f t="shared" si="62"/>
        <v>293.33333333333701</v>
      </c>
      <c r="BI110" s="62">
        <f ca="1">AVERAGE(OFFSET($BH$3,0,0,'Données projet'!$E$11+1,1))-AVERAGE(OFFSET($H$3,0,0,'Données projet'!$E$11+1,1))</f>
        <v>84.664683404322943</v>
      </c>
      <c r="BJ110" s="62">
        <f t="shared" si="92"/>
        <v>79.209234837679901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26.627687605460842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26.627687605460842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-8.5265128291212022E-14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6</v>
      </c>
      <c r="N111" s="14">
        <f>IF('Données projet'!$A$36&gt;35,N110+M111-V110,IF(A111&lt;'Données projet'!$A$36,$K$205^A111,IF(A111='Données projet'!$A$36,'Données projet'!$B$36,N110+M111-V110)))</f>
        <v>253.99999999999994</v>
      </c>
      <c r="O111" s="14">
        <f>N111*VLOOKUP('Données projet'!$B$9,Paramètres!$A$1:$I$88,3,0)*VLOOKUP('Données projet'!$B$9,Paramètres!$A$1:$I$88,5,0)</f>
        <v>229.81919999999997</v>
      </c>
      <c r="P111" s="14">
        <f t="shared" si="87"/>
        <v>56.243586554989342</v>
      </c>
      <c r="Q111" s="22">
        <f t="shared" si="107"/>
        <v>498.22601991660639</v>
      </c>
      <c r="R111" s="62">
        <f t="shared" si="55"/>
        <v>791.5593532499397</v>
      </c>
      <c r="S111" s="62">
        <f ca="1">AVERAGE(OFFSET($R$3,0,0,'Données projet'!$E$9+1,1))-AVERAGE(OFFSET($H$3,0,0,'Données projet'!$E$9+1,1))</f>
        <v>182.76154982630777</v>
      </c>
      <c r="T111" s="62">
        <f t="shared" si="88"/>
        <v>119.92190922866632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27.023145847662434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27.023145847662434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projet'!$B$10,Paramètres!$A$1:$I$88,3,0)*VLOOKUP('Données projet'!$B$10,Paramètres!$A$1:$I$88,5,0)</f>
        <v>-3.3992364478763198E-14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212.1966338656834</v>
      </c>
      <c r="AO111" s="62">
        <f t="shared" si="90"/>
        <v>194.52809733694494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82.876623379285576</v>
      </c>
      <c r="AV111" s="23">
        <f>EXP(-LN(2)/25)*AV110+(1-EXP(-LN(2)/25))/(LN(2)/25)*Calculateur!AQ111*Calculateur!AS111*VLOOKUP('Données projet'!$B$10,Paramètres!$A$1:$I$88,3,0)*0.475*44/12</f>
        <v>15.253705503372405</v>
      </c>
      <c r="AW111" s="23">
        <f>EXP(-LN(2)/2)*AW110+(1-EXP(-LN(2)/2))/(LN(2)/2)*AQ111*AT111*VLOOKUP('Données projet'!$B$10,Paramètres!$A$1:$I$88,3,0)*0.475*44/12</f>
        <v>5.9871883247933298E-5</v>
      </c>
      <c r="AX111" s="23">
        <f t="shared" si="60"/>
        <v>98.130388754541229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1.4210854715202004E-13</v>
      </c>
      <c r="BE111" s="14">
        <f>BD111*VLOOKUP('Données projet'!$B$11,Paramètres!$A$1:$I$88,3,0)*VLOOKUP('Données projet'!$B$11,Paramètres!$A$1:$I$88,5,0)</f>
        <v>1.3744738680543379E-13</v>
      </c>
      <c r="BF111" s="14">
        <f t="shared" si="91"/>
        <v>1.9898001765172164E-12</v>
      </c>
      <c r="BG111" s="22">
        <f t="shared" si="61"/>
        <v>3.7049561727869492E-12</v>
      </c>
      <c r="BH111" s="62">
        <f t="shared" si="62"/>
        <v>293.33333333333701</v>
      </c>
      <c r="BI111" s="62">
        <f ca="1">AVERAGE(OFFSET($BH$3,0,0,'Données projet'!$E$11+1,1))-AVERAGE(OFFSET($H$3,0,0,'Données projet'!$E$11+1,1))</f>
        <v>84.664683404322943</v>
      </c>
      <c r="BJ111" s="62">
        <f t="shared" si="92"/>
        <v>79.209234837679901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26.105534892803501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26.105534892803501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-8.5265128291212022E-14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6</v>
      </c>
      <c r="N112" s="14">
        <f>IF('Données projet'!$A$36&gt;35,N111+M112-V111,IF(A112&lt;'Données projet'!$A$36,$K$205^A112,IF(A112='Données projet'!$A$36,'Données projet'!$B$36,N111+M112-V111)))</f>
        <v>259.99999999999994</v>
      </c>
      <c r="O112" s="14">
        <f>N112*VLOOKUP('Données projet'!$B$9,Paramètres!$A$1:$I$88,3,0)*VLOOKUP('Données projet'!$B$9,Paramètres!$A$1:$I$88,5,0)</f>
        <v>235.24799999999993</v>
      </c>
      <c r="P112" s="14">
        <f t="shared" si="87"/>
        <v>57.41592756883739</v>
      </c>
      <c r="Q112" s="22">
        <f t="shared" si="107"/>
        <v>509.72300718239165</v>
      </c>
      <c r="R112" s="62">
        <f t="shared" si="55"/>
        <v>803.05634051572497</v>
      </c>
      <c r="S112" s="62">
        <f ca="1">AVERAGE(OFFSET($R$3,0,0,'Données projet'!$E$9+1,1))-AVERAGE(OFFSET($H$3,0,0,'Données projet'!$E$9+1,1))</f>
        <v>182.76154982630777</v>
      </c>
      <c r="T112" s="62">
        <f t="shared" si="88"/>
        <v>119.92190922866632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26.493238440081228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26.493238440081228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projet'!$B$10,Paramètres!$A$1:$I$88,3,0)*VLOOKUP('Données projet'!$B$10,Paramètres!$A$1:$I$88,5,0)</f>
        <v>-3.3992364478763198E-14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212.1966338656834</v>
      </c>
      <c r="AO112" s="62">
        <f t="shared" si="90"/>
        <v>194.52809733694494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81.251463344566673</v>
      </c>
      <c r="AV112" s="23">
        <f>EXP(-LN(2)/25)*AV111+(1-EXP(-LN(2)/25))/(LN(2)/25)*Calculateur!AQ112*Calculateur!AS112*VLOOKUP('Données projet'!$B$10,Paramètres!$A$1:$I$88,3,0)*0.475*44/12</f>
        <v>14.836592124225177</v>
      </c>
      <c r="AW112" s="23">
        <f>EXP(-LN(2)/2)*AW111+(1-EXP(-LN(2)/2))/(LN(2)/2)*AQ112*AT112*VLOOKUP('Données projet'!$B$10,Paramètres!$A$1:$I$88,3,0)*0.475*44/12</f>
        <v>4.2335814647022895E-5</v>
      </c>
      <c r="AX112" s="23">
        <f t="shared" si="60"/>
        <v>96.088097804606491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1.4210854715202004E-13</v>
      </c>
      <c r="BE112" s="14">
        <f>BD112*VLOOKUP('Données projet'!$B$11,Paramètres!$A$1:$I$88,3,0)*VLOOKUP('Données projet'!$B$11,Paramètres!$A$1:$I$88,5,0)</f>
        <v>1.3744738680543379E-13</v>
      </c>
      <c r="BF112" s="14">
        <f t="shared" si="91"/>
        <v>1.9898001765172164E-12</v>
      </c>
      <c r="BG112" s="22">
        <f t="shared" si="61"/>
        <v>3.7049561727869492E-12</v>
      </c>
      <c r="BH112" s="62">
        <f t="shared" si="62"/>
        <v>293.33333333333701</v>
      </c>
      <c r="BI112" s="62">
        <f ca="1">AVERAGE(OFFSET($BH$3,0,0,'Données projet'!$E$11+1,1))-AVERAGE(OFFSET($H$3,0,0,'Données projet'!$E$11+1,1))</f>
        <v>84.664683404322943</v>
      </c>
      <c r="BJ112" s="62">
        <f t="shared" si="92"/>
        <v>79.209234837679901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25.593621276359663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25.593621276359663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-8.5265128291212022E-14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6</v>
      </c>
      <c r="N113" s="14">
        <f>IF('Données projet'!$A$36&gt;35,N112+M113-V112,IF(A113&lt;'Données projet'!$A$36,$K$205^A113,IF(A113='Données projet'!$A$36,'Données projet'!$B$36,N112+M113-V112)))</f>
        <v>265.99999999999994</v>
      </c>
      <c r="O113" s="14">
        <f>N113*VLOOKUP('Données projet'!$B$9,Paramètres!$A$1:$I$88,3,0)*VLOOKUP('Données projet'!$B$9,Paramètres!$A$1:$I$88,5,0)</f>
        <v>240.67679999999993</v>
      </c>
      <c r="P113" s="14">
        <f t="shared" si="87"/>
        <v>58.585123425001029</v>
      </c>
      <c r="Q113" s="22">
        <f t="shared" si="107"/>
        <v>521.21451663187668</v>
      </c>
      <c r="R113" s="62">
        <f t="shared" si="55"/>
        <v>814.54784996520993</v>
      </c>
      <c r="S113" s="62">
        <f ca="1">AVERAGE(OFFSET($R$3,0,0,'Données projet'!$E$9+1,1))-AVERAGE(OFFSET($H$3,0,0,'Données projet'!$E$9+1,1))</f>
        <v>182.76154982630777</v>
      </c>
      <c r="T113" s="62">
        <f t="shared" si="88"/>
        <v>119.92190922866632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25.973722193551087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25.973722193551087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projet'!$B$10,Paramètres!$A$1:$I$88,3,0)*VLOOKUP('Données projet'!$B$10,Paramètres!$A$1:$I$88,5,0)</f>
        <v>-3.3992364478763198E-14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212.1966338656834</v>
      </c>
      <c r="AO113" s="62">
        <f t="shared" si="90"/>
        <v>194.52809733694494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79.658171706878861</v>
      </c>
      <c r="AV113" s="23">
        <f>EXP(-LN(2)/25)*AV112+(1-EXP(-LN(2)/25))/(LN(2)/25)*Calculateur!AQ113*Calculateur!AS113*VLOOKUP('Données projet'!$B$10,Paramètres!$A$1:$I$88,3,0)*0.475*44/12</f>
        <v>14.430884732365769</v>
      </c>
      <c r="AW113" s="23">
        <f>EXP(-LN(2)/2)*AW112+(1-EXP(-LN(2)/2))/(LN(2)/2)*AQ113*AT113*VLOOKUP('Données projet'!$B$10,Paramètres!$A$1:$I$88,3,0)*0.475*44/12</f>
        <v>2.9935941623966652E-5</v>
      </c>
      <c r="AX113" s="23">
        <f t="shared" si="60"/>
        <v>94.089086375186255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1.4210854715202004E-13</v>
      </c>
      <c r="BE113" s="14">
        <f>BD113*VLOOKUP('Données projet'!$B$11,Paramètres!$A$1:$I$88,3,0)*VLOOKUP('Données projet'!$B$11,Paramètres!$A$1:$I$88,5,0)</f>
        <v>1.3744738680543379E-13</v>
      </c>
      <c r="BF113" s="14">
        <f t="shared" si="91"/>
        <v>1.9898001765172164E-12</v>
      </c>
      <c r="BG113" s="22">
        <f t="shared" si="61"/>
        <v>3.7049561727869492E-12</v>
      </c>
      <c r="BH113" s="62">
        <f t="shared" si="62"/>
        <v>293.33333333333701</v>
      </c>
      <c r="BI113" s="62">
        <f ca="1">AVERAGE(OFFSET($BH$3,0,0,'Données projet'!$E$11+1,1))-AVERAGE(OFFSET($H$3,0,0,'Données projet'!$E$11+1,1))</f>
        <v>84.664683404322943</v>
      </c>
      <c r="BJ113" s="62">
        <f t="shared" si="92"/>
        <v>79.209234837679901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25.091745973697812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25.091745973697812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-8.5265128291212022E-14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6</v>
      </c>
      <c r="N114" s="14">
        <f>IF('Données projet'!$A$36&gt;35,N113+M114-V113,IF(A114&lt;'Données projet'!$A$36,$K$205^A114,IF(A114='Données projet'!$A$36,'Données projet'!$B$36,N113+M114-V113)))</f>
        <v>271.99999999999994</v>
      </c>
      <c r="O114" s="14">
        <f>N114*VLOOKUP('Données projet'!$B$9,Paramètres!$A$1:$I$88,3,0)*VLOOKUP('Données projet'!$B$9,Paramètres!$A$1:$I$88,5,0)</f>
        <v>246.10559999999995</v>
      </c>
      <c r="P114" s="14">
        <f t="shared" si="87"/>
        <v>59.751253234371873</v>
      </c>
      <c r="Q114" s="22">
        <f t="shared" si="107"/>
        <v>532.7006860498642</v>
      </c>
      <c r="R114" s="62">
        <f t="shared" si="55"/>
        <v>826.03401938319757</v>
      </c>
      <c r="S114" s="62">
        <f ca="1">AVERAGE(OFFSET($R$3,0,0,'Données projet'!$E$9+1,1))-AVERAGE(OFFSET($H$3,0,0,'Données projet'!$E$9+1,1))</f>
        <v>182.76154982630777</v>
      </c>
      <c r="T114" s="62">
        <f t="shared" si="88"/>
        <v>119.92190922866632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25.464393343741779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25.464393343741779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projet'!$B$10,Paramètres!$A$1:$I$88,3,0)*VLOOKUP('Données projet'!$B$10,Paramètres!$A$1:$I$88,5,0)</f>
        <v>-3.3992364478763198E-14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212.1966338656834</v>
      </c>
      <c r="AO114" s="62">
        <f t="shared" si="90"/>
        <v>194.52809733694494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78.096123546394168</v>
      </c>
      <c r="AV114" s="23">
        <f>EXP(-LN(2)/25)*AV113+(1-EXP(-LN(2)/25))/(LN(2)/25)*Calculateur!AQ114*Calculateur!AS114*VLOOKUP('Données projet'!$B$10,Paramètres!$A$1:$I$88,3,0)*0.475*44/12</f>
        <v>14.036271430471981</v>
      </c>
      <c r="AW114" s="23">
        <f>EXP(-LN(2)/2)*AW113+(1-EXP(-LN(2)/2))/(LN(2)/2)*AQ114*AT114*VLOOKUP('Données projet'!$B$10,Paramètres!$A$1:$I$88,3,0)*0.475*44/12</f>
        <v>2.1167907323511451E-5</v>
      </c>
      <c r="AX114" s="23">
        <f t="shared" si="60"/>
        <v>92.132416144773472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1.4210854715202004E-13</v>
      </c>
      <c r="BE114" s="14">
        <f>BD114*VLOOKUP('Données projet'!$B$11,Paramètres!$A$1:$I$88,3,0)*VLOOKUP('Données projet'!$B$11,Paramètres!$A$1:$I$88,5,0)</f>
        <v>1.3744738680543379E-13</v>
      </c>
      <c r="BF114" s="14">
        <f t="shared" si="91"/>
        <v>1.9898001765172164E-12</v>
      </c>
      <c r="BG114" s="22">
        <f t="shared" si="61"/>
        <v>3.7049561727869492E-12</v>
      </c>
      <c r="BH114" s="62">
        <f t="shared" si="62"/>
        <v>293.33333333333701</v>
      </c>
      <c r="BI114" s="62">
        <f ca="1">AVERAGE(OFFSET($BH$3,0,0,'Données projet'!$E$11+1,1))-AVERAGE(OFFSET($H$3,0,0,'Données projet'!$E$11+1,1))</f>
        <v>84.664683404322943</v>
      </c>
      <c r="BJ114" s="62">
        <f t="shared" si="92"/>
        <v>79.209234837679901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24.599712139607451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24.599712139607451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-8.5265128291212022E-14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6</v>
      </c>
      <c r="N115" s="14">
        <f>IF('Données projet'!$A$36&gt;35,N114+M115-V114,IF(A115&lt;'Données projet'!$A$36,$K$205^A115,IF(A115='Données projet'!$A$36,'Données projet'!$B$36,N114+M115-V114)))</f>
        <v>277.99999999999994</v>
      </c>
      <c r="O115" s="14">
        <f>N115*VLOOKUP('Données projet'!$B$9,Paramètres!$A$1:$I$88,3,0)*VLOOKUP('Données projet'!$B$9,Paramètres!$A$1:$I$88,5,0)</f>
        <v>251.53439999999995</v>
      </c>
      <c r="P115" s="14">
        <f t="shared" si="87"/>
        <v>60.914392418364585</v>
      </c>
      <c r="Q115" s="22">
        <f t="shared" si="107"/>
        <v>544.18164679531822</v>
      </c>
      <c r="R115" s="62">
        <f t="shared" si="55"/>
        <v>837.51498012865159</v>
      </c>
      <c r="S115" s="62">
        <f ca="1">AVERAGE(OFFSET($R$3,0,0,'Données projet'!$E$9+1,1))-AVERAGE(OFFSET($H$3,0,0,'Données projet'!$E$9+1,1))</f>
        <v>182.76154982630777</v>
      </c>
      <c r="T115" s="62">
        <f t="shared" si="88"/>
        <v>119.92190922866632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24.965052122017312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24.965052122017312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projet'!$B$10,Paramètres!$A$1:$I$88,3,0)*VLOOKUP('Données projet'!$B$10,Paramètres!$A$1:$I$88,5,0)</f>
        <v>-3.3992364478763198E-14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212.1966338656834</v>
      </c>
      <c r="AO115" s="62">
        <f t="shared" si="90"/>
        <v>194.52809733694494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76.564706197581287</v>
      </c>
      <c r="AV115" s="23">
        <f>EXP(-LN(2)/25)*AV114+(1-EXP(-LN(2)/25))/(LN(2)/25)*Calculateur!AQ115*Calculateur!AS115*VLOOKUP('Données projet'!$B$10,Paramètres!$A$1:$I$88,3,0)*0.475*44/12</f>
        <v>13.652448850070291</v>
      </c>
      <c r="AW115" s="23">
        <f>EXP(-LN(2)/2)*AW114+(1-EXP(-LN(2)/2))/(LN(2)/2)*AQ115*AT115*VLOOKUP('Données projet'!$B$10,Paramètres!$A$1:$I$88,3,0)*0.475*44/12</f>
        <v>1.496797081198333E-5</v>
      </c>
      <c r="AX115" s="23">
        <f t="shared" si="60"/>
        <v>90.217170015622386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1.4210854715202004E-13</v>
      </c>
      <c r="BE115" s="14">
        <f>BD115*VLOOKUP('Données projet'!$B$11,Paramètres!$A$1:$I$88,3,0)*VLOOKUP('Données projet'!$B$11,Paramètres!$A$1:$I$88,5,0)</f>
        <v>1.3744738680543379E-13</v>
      </c>
      <c r="BF115" s="14">
        <f t="shared" si="91"/>
        <v>1.9898001765172164E-12</v>
      </c>
      <c r="BG115" s="22">
        <f t="shared" si="61"/>
        <v>3.7049561727869492E-12</v>
      </c>
      <c r="BH115" s="62">
        <f t="shared" si="62"/>
        <v>293.33333333333701</v>
      </c>
      <c r="BI115" s="62">
        <f ca="1">AVERAGE(OFFSET($BH$3,0,0,'Données projet'!$E$11+1,1))-AVERAGE(OFFSET($H$3,0,0,'Données projet'!$E$11+1,1))</f>
        <v>84.664683404322943</v>
      </c>
      <c r="BJ115" s="62">
        <f t="shared" si="92"/>
        <v>79.209234837679901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24.117326788892598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24.117326788892598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-8.5265128291212022E-14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>
        <f>VLOOKUP(A116,'Données projet'!$A$35:$I$55,2,0)</f>
        <v>284</v>
      </c>
      <c r="L116" s="13">
        <f>VLOOKUP(A116,'Données projet'!$A$35:$I$55,9,0)</f>
        <v>6</v>
      </c>
      <c r="M116" s="13">
        <f t="array" ref="M116">INDEX(L:L,MIN(IF(ISNUMBER(L116:L312),ROW(L116:L312),"")))</f>
        <v>6</v>
      </c>
      <c r="N116" s="14">
        <f>IF('Données projet'!$A$36&gt;35,N115+M116-V115,IF(A116&lt;'Données projet'!$A$36,$K$205^A116,IF(A116='Données projet'!$A$36,'Données projet'!$B$36,N115+M116-V115)))</f>
        <v>283.99999999999994</v>
      </c>
      <c r="O116" s="14">
        <f>N116*VLOOKUP('Données projet'!$B$9,Paramètres!$A$1:$I$88,3,0)*VLOOKUP('Données projet'!$B$9,Paramètres!$A$1:$I$88,5,0)</f>
        <v>256.96319999999992</v>
      </c>
      <c r="P116" s="14">
        <f t="shared" si="87"/>
        <v>62.074612956838024</v>
      </c>
      <c r="Q116" s="22">
        <f t="shared" si="107"/>
        <v>555.65752423315928</v>
      </c>
      <c r="R116" s="62">
        <f t="shared" si="55"/>
        <v>848.99085756649265</v>
      </c>
      <c r="S116" s="62">
        <f ca="1">AVERAGE(OFFSET($R$3,0,0,'Données projet'!$E$9+1,1))-AVERAGE(OFFSET($H$3,0,0,'Données projet'!$E$9+1,1))</f>
        <v>182.76154982630777</v>
      </c>
      <c r="T116" s="62">
        <f t="shared" si="88"/>
        <v>119.92190922866632</v>
      </c>
      <c r="U116" s="16">
        <f>IF(ISNA(VLOOKUP(A116,'Données projet'!$A$35:$I$55,3,0)),0,VLOOKUP(A116,'Données projet'!$A$35:$I$55,3,0))</f>
        <v>9</v>
      </c>
      <c r="V116" s="16">
        <f>IF(ISNA(VLOOKUP(A116,'Données projet'!$A$35:$I$55,4,0)),0,VLOOKUP(A116,'Données projet'!$A$35:$I$55,4,0))</f>
        <v>42</v>
      </c>
      <c r="W116" s="17">
        <f>IF(ISNA(VLOOKUP(A116,'Données projet'!$A$35:$I$55,5,0)),0%,VLOOKUP(A116,'Données projet'!$A$35:$I$55,5,0)*VLOOKUP('Données projet'!$B$9,Paramètres!$A$1:$I$88,7,0))</f>
        <v>0.30099999999999999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37.120405272715452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37.120405272715452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projet'!$B$10,Paramètres!$A$1:$I$88,3,0)*VLOOKUP('Données projet'!$B$10,Paramètres!$A$1:$I$88,5,0)</f>
        <v>-3.3992364478763198E-14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212.1966338656834</v>
      </c>
      <c r="AO116" s="62">
        <f t="shared" si="90"/>
        <v>194.52809733694494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75.063319008906277</v>
      </c>
      <c r="AV116" s="23">
        <f>EXP(-LN(2)/25)*AV115+(1-EXP(-LN(2)/25))/(LN(2)/25)*Calculateur!AQ116*Calculateur!AS116*VLOOKUP('Données projet'!$B$10,Paramètres!$A$1:$I$88,3,0)*0.475*44/12</f>
        <v>13.279121918314036</v>
      </c>
      <c r="AW116" s="23">
        <f>EXP(-LN(2)/2)*AW115+(1-EXP(-LN(2)/2))/(LN(2)/2)*AQ116*AT116*VLOOKUP('Données projet'!$B$10,Paramètres!$A$1:$I$88,3,0)*0.475*44/12</f>
        <v>1.0583953661755727E-5</v>
      </c>
      <c r="AX116" s="23">
        <f t="shared" si="60"/>
        <v>88.342451511173977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1.4210854715202004E-13</v>
      </c>
      <c r="BE116" s="14">
        <f>BD116*VLOOKUP('Données projet'!$B$11,Paramètres!$A$1:$I$88,3,0)*VLOOKUP('Données projet'!$B$11,Paramètres!$A$1:$I$88,5,0)</f>
        <v>1.3744738680543379E-13</v>
      </c>
      <c r="BF116" s="14">
        <f t="shared" si="91"/>
        <v>1.9898001765172164E-12</v>
      </c>
      <c r="BG116" s="22">
        <f t="shared" si="61"/>
        <v>3.7049561727869492E-12</v>
      </c>
      <c r="BH116" s="62">
        <f t="shared" si="62"/>
        <v>293.33333333333701</v>
      </c>
      <c r="BI116" s="62">
        <f ca="1">AVERAGE(OFFSET($BH$3,0,0,'Données projet'!$E$11+1,1))-AVERAGE(OFFSET($H$3,0,0,'Données projet'!$E$11+1,1))</f>
        <v>84.664683404322943</v>
      </c>
      <c r="BJ116" s="62">
        <f t="shared" si="92"/>
        <v>79.209234837679901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23.644400720679251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23.644400720679251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-8.5265128291212022E-14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6.4285714285714288</v>
      </c>
      <c r="N117" s="14">
        <f>IF('Données projet'!$A$36&gt;35,N116+M117-V116,IF(A117&lt;'Données projet'!$A$36,$K$205^A117,IF(A117='Données projet'!$A$36,'Données projet'!$B$36,N116+M117-V116)))</f>
        <v>248.42857142857139</v>
      </c>
      <c r="O117" s="14">
        <f>N117*VLOOKUP('Données projet'!$B$9,Paramètres!$A$1:$I$88,3,0)*VLOOKUP('Données projet'!$B$9,Paramètres!$A$1:$I$88,5,0)</f>
        <v>224.77817142857137</v>
      </c>
      <c r="P117" s="14">
        <f t="shared" si="87"/>
        <v>55.152095437861625</v>
      </c>
      <c r="Q117" s="22">
        <f t="shared" si="107"/>
        <v>487.5452147923707</v>
      </c>
      <c r="R117" s="62">
        <f t="shared" si="55"/>
        <v>780.87854812570401</v>
      </c>
      <c r="S117" s="62">
        <f ca="1">AVERAGE(OFFSET($R$3,0,0,'Données projet'!$E$9+1,1))-AVERAGE(OFFSET($H$3,0,0,'Données projet'!$E$9+1,1))</f>
        <v>182.76154982630777</v>
      </c>
      <c r="T117" s="62">
        <f t="shared" si="88"/>
        <v>119.92190922866632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36.392496766529085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36.392496766529085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projet'!$B$10,Paramètres!$A$1:$I$88,3,0)*VLOOKUP('Données projet'!$B$10,Paramètres!$A$1:$I$88,5,0)</f>
        <v>-3.3992364478763198E-14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212.1966338656834</v>
      </c>
      <c r="AO117" s="62">
        <f t="shared" si="90"/>
        <v>194.52809733694494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73.591373107245417</v>
      </c>
      <c r="AV117" s="23">
        <f>EXP(-LN(2)/25)*AV116+(1-EXP(-LN(2)/25))/(LN(2)/25)*Calculateur!AQ117*Calculateur!AS117*VLOOKUP('Données projet'!$B$10,Paramètres!$A$1:$I$88,3,0)*0.475*44/12</f>
        <v>12.916003631139068</v>
      </c>
      <c r="AW117" s="23">
        <f>EXP(-LN(2)/2)*AW116+(1-EXP(-LN(2)/2))/(LN(2)/2)*AQ117*AT117*VLOOKUP('Données projet'!$B$10,Paramètres!$A$1:$I$88,3,0)*0.475*44/12</f>
        <v>7.4839854059916657E-6</v>
      </c>
      <c r="AX117" s="23">
        <f t="shared" si="60"/>
        <v>86.507384222369879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1.4210854715202004E-13</v>
      </c>
      <c r="BE117" s="14">
        <f>BD117*VLOOKUP('Données projet'!$B$11,Paramètres!$A$1:$I$88,3,0)*VLOOKUP('Données projet'!$B$11,Paramètres!$A$1:$I$88,5,0)</f>
        <v>1.3744738680543379E-13</v>
      </c>
      <c r="BF117" s="14">
        <f t="shared" si="91"/>
        <v>1.9898001765172164E-12</v>
      </c>
      <c r="BG117" s="22">
        <f t="shared" si="61"/>
        <v>3.7049561727869492E-12</v>
      </c>
      <c r="BH117" s="62">
        <f t="shared" si="62"/>
        <v>293.33333333333701</v>
      </c>
      <c r="BI117" s="62">
        <f ca="1">AVERAGE(OFFSET($BH$3,0,0,'Données projet'!$E$11+1,1))-AVERAGE(OFFSET($H$3,0,0,'Données projet'!$E$11+1,1))</f>
        <v>84.664683404322943</v>
      </c>
      <c r="BJ117" s="62">
        <f t="shared" si="92"/>
        <v>79.209234837679901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23.180748444207151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23.180748444207151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-8.5265128291212022E-14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6.4285714285714288</v>
      </c>
      <c r="N118" s="14">
        <f>IF('Données projet'!$A$36&gt;35,N117+M118-V117,IF(A118&lt;'Données projet'!$A$36,$K$205^A118,IF(A118='Données projet'!$A$36,'Données projet'!$B$36,N117+M118-V117)))</f>
        <v>254.8571428571428</v>
      </c>
      <c r="O118" s="14">
        <f>N118*VLOOKUP('Données projet'!$B$9,Paramètres!$A$1:$I$88,3,0)*VLOOKUP('Données projet'!$B$9,Paramètres!$A$1:$I$88,5,0)</f>
        <v>230.59474285714279</v>
      </c>
      <c r="P118" s="14">
        <f t="shared" si="87"/>
        <v>56.411259507188184</v>
      </c>
      <c r="Q118" s="22">
        <f t="shared" si="107"/>
        <v>499.86878745120976</v>
      </c>
      <c r="R118" s="62">
        <f t="shared" si="55"/>
        <v>793.20212078454301</v>
      </c>
      <c r="S118" s="62">
        <f ca="1">AVERAGE(OFFSET($R$3,0,0,'Données projet'!$E$9+1,1))-AVERAGE(OFFSET($H$3,0,0,'Données projet'!$E$9+1,1))</f>
        <v>182.76154982630777</v>
      </c>
      <c r="T118" s="62">
        <f t="shared" si="88"/>
        <v>119.92190922866632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35.678862102168679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35.678862102168679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projet'!$B$10,Paramètres!$A$1:$I$88,3,0)*VLOOKUP('Données projet'!$B$10,Paramètres!$A$1:$I$88,5,0)</f>
        <v>-3.3992364478763198E-14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212.1966338656834</v>
      </c>
      <c r="AO118" s="62">
        <f t="shared" si="90"/>
        <v>194.52809733694494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72.148291166917772</v>
      </c>
      <c r="AV118" s="23">
        <f>EXP(-LN(2)/25)*AV117+(1-EXP(-LN(2)/25))/(LN(2)/25)*Calculateur!AQ118*Calculateur!AS118*VLOOKUP('Données projet'!$B$10,Paramètres!$A$1:$I$88,3,0)*0.475*44/12</f>
        <v>12.562814832622459</v>
      </c>
      <c r="AW118" s="23">
        <f>EXP(-LN(2)/2)*AW117+(1-EXP(-LN(2)/2))/(LN(2)/2)*AQ118*AT118*VLOOKUP('Données projet'!$B$10,Paramètres!$A$1:$I$88,3,0)*0.475*44/12</f>
        <v>5.2919768308778644E-6</v>
      </c>
      <c r="AX118" s="23">
        <f t="shared" si="60"/>
        <v>84.711111291517071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1.4210854715202004E-13</v>
      </c>
      <c r="BE118" s="14">
        <f>BD118*VLOOKUP('Données projet'!$B$11,Paramètres!$A$1:$I$88,3,0)*VLOOKUP('Données projet'!$B$11,Paramètres!$A$1:$I$88,5,0)</f>
        <v>1.3744738680543379E-13</v>
      </c>
      <c r="BF118" s="14">
        <f t="shared" si="91"/>
        <v>1.9898001765172164E-12</v>
      </c>
      <c r="BG118" s="22">
        <f t="shared" si="61"/>
        <v>3.7049561727869492E-12</v>
      </c>
      <c r="BH118" s="62">
        <f t="shared" si="62"/>
        <v>293.33333333333701</v>
      </c>
      <c r="BI118" s="62">
        <f ca="1">AVERAGE(OFFSET($BH$3,0,0,'Données projet'!$E$11+1,1))-AVERAGE(OFFSET($H$3,0,0,'Données projet'!$E$11+1,1))</f>
        <v>84.664683404322943</v>
      </c>
      <c r="BJ118" s="62">
        <f t="shared" si="92"/>
        <v>79.209234837679901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22.726188106076702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22.726188106076702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-8.5265128291212022E-14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6.4285714285714288</v>
      </c>
      <c r="N119" s="14">
        <f>IF('Données projet'!$A$36&gt;35,N118+M119-V118,IF(A119&lt;'Données projet'!$A$36,$K$205^A119,IF(A119='Données projet'!$A$36,'Données projet'!$B$36,N118+M119-V118)))</f>
        <v>261.28571428571422</v>
      </c>
      <c r="O119" s="14">
        <f>N119*VLOOKUP('Données projet'!$B$9,Paramètres!$A$1:$I$88,3,0)*VLOOKUP('Données projet'!$B$9,Paramètres!$A$1:$I$88,5,0)</f>
        <v>236.41131428571421</v>
      </c>
      <c r="P119" s="14">
        <f t="shared" si="87"/>
        <v>57.666731554942118</v>
      </c>
      <c r="Q119" s="22">
        <f t="shared" si="107"/>
        <v>512.18592983914311</v>
      </c>
      <c r="R119" s="62">
        <f t="shared" si="55"/>
        <v>805.51926317247649</v>
      </c>
      <c r="S119" s="62">
        <f ca="1">AVERAGE(OFFSET($R$3,0,0,'Données projet'!$E$9+1,1))-AVERAGE(OFFSET($H$3,0,0,'Données projet'!$E$9+1,1))</f>
        <v>182.76154982630777</v>
      </c>
      <c r="T119" s="62">
        <f t="shared" si="88"/>
        <v>119.92190922866632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34.979221378302221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34.979221378302221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projet'!$B$10,Paramètres!$A$1:$I$88,3,0)*VLOOKUP('Données projet'!$B$10,Paramètres!$A$1:$I$88,5,0)</f>
        <v>-3.3992364478763198E-14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212.1966338656834</v>
      </c>
      <c r="AO119" s="62">
        <f t="shared" si="90"/>
        <v>194.52809733694494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70.733507183246886</v>
      </c>
      <c r="AV119" s="23">
        <f>EXP(-LN(2)/25)*AV118+(1-EXP(-LN(2)/25))/(LN(2)/25)*Calculateur!AQ119*Calculateur!AS119*VLOOKUP('Données projet'!$B$10,Paramètres!$A$1:$I$88,3,0)*0.475*44/12</f>
        <v>12.219284000374678</v>
      </c>
      <c r="AW119" s="23">
        <f>EXP(-LN(2)/2)*AW118+(1-EXP(-LN(2)/2))/(LN(2)/2)*AQ119*AT119*VLOOKUP('Données projet'!$B$10,Paramètres!$A$1:$I$88,3,0)*0.475*44/12</f>
        <v>3.7419927029958337E-6</v>
      </c>
      <c r="AX119" s="23">
        <f t="shared" si="60"/>
        <v>82.95279492561427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1.4210854715202004E-13</v>
      </c>
      <c r="BE119" s="14">
        <f>BD119*VLOOKUP('Données projet'!$B$11,Paramètres!$A$1:$I$88,3,0)*VLOOKUP('Données projet'!$B$11,Paramètres!$A$1:$I$88,5,0)</f>
        <v>1.3744738680543379E-13</v>
      </c>
      <c r="BF119" s="14">
        <f t="shared" si="91"/>
        <v>1.9898001765172164E-12</v>
      </c>
      <c r="BG119" s="22">
        <f t="shared" si="61"/>
        <v>3.7049561727869492E-12</v>
      </c>
      <c r="BH119" s="62">
        <f t="shared" si="62"/>
        <v>293.33333333333701</v>
      </c>
      <c r="BI119" s="62">
        <f ca="1">AVERAGE(OFFSET($BH$3,0,0,'Données projet'!$E$11+1,1))-AVERAGE(OFFSET($H$3,0,0,'Données projet'!$E$11+1,1))</f>
        <v>84.664683404322943</v>
      </c>
      <c r="BJ119" s="62">
        <f t="shared" si="92"/>
        <v>79.209234837679901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22.280541418922564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22.280541418922564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-8.5265128291212022E-14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6.4285714285714288</v>
      </c>
      <c r="N120" s="14">
        <f>IF('Données projet'!$A$36&gt;35,N119+M120-V119,IF(A120&lt;'Données projet'!$A$36,$K$205^A120,IF(A120='Données projet'!$A$36,'Données projet'!$B$36,N119+M120-V119)))</f>
        <v>267.71428571428567</v>
      </c>
      <c r="O120" s="14">
        <f>N120*VLOOKUP('Données projet'!$B$9,Paramètres!$A$1:$I$88,3,0)*VLOOKUP('Données projet'!$B$9,Paramètres!$A$1:$I$88,5,0)</f>
        <v>242.22788571428566</v>
      </c>
      <c r="P120" s="14">
        <f t="shared" si="87"/>
        <v>58.918612867204452</v>
      </c>
      <c r="Q120" s="22">
        <f t="shared" si="107"/>
        <v>524.49681836276193</v>
      </c>
      <c r="R120" s="62">
        <f t="shared" si="55"/>
        <v>817.8301516960953</v>
      </c>
      <c r="S120" s="62">
        <f ca="1">AVERAGE(OFFSET($R$3,0,0,'Données projet'!$E$9+1,1))-AVERAGE(OFFSET($H$3,0,0,'Données projet'!$E$9+1,1))</f>
        <v>182.76154982630777</v>
      </c>
      <c r="T120" s="62">
        <f t="shared" si="88"/>
        <v>119.92190922866632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34.293300182292079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34.293300182292079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projet'!$B$10,Paramètres!$A$1:$I$88,3,0)*VLOOKUP('Données projet'!$B$10,Paramètres!$A$1:$I$88,5,0)</f>
        <v>-3.3992364478763198E-14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212.1966338656834</v>
      </c>
      <c r="AO120" s="62">
        <f t="shared" si="90"/>
        <v>194.52809733694494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69.346466250562756</v>
      </c>
      <c r="AV120" s="23">
        <f>EXP(-LN(2)/25)*AV119+(1-EXP(-LN(2)/25))/(LN(2)/25)*Calculateur!AQ120*Calculateur!AS120*VLOOKUP('Données projet'!$B$10,Paramètres!$A$1:$I$88,3,0)*0.475*44/12</f>
        <v>11.885147036800214</v>
      </c>
      <c r="AW120" s="23">
        <f>EXP(-LN(2)/2)*AW119+(1-EXP(-LN(2)/2))/(LN(2)/2)*AQ120*AT120*VLOOKUP('Données projet'!$B$10,Paramètres!$A$1:$I$88,3,0)*0.475*44/12</f>
        <v>2.6459884154389326E-6</v>
      </c>
      <c r="AX120" s="23">
        <f t="shared" si="60"/>
        <v>81.231615933351392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1.4210854715202004E-13</v>
      </c>
      <c r="BE120" s="14">
        <f>BD120*VLOOKUP('Données projet'!$B$11,Paramètres!$A$1:$I$88,3,0)*VLOOKUP('Données projet'!$B$11,Paramètres!$A$1:$I$88,5,0)</f>
        <v>1.3744738680543379E-13</v>
      </c>
      <c r="BF120" s="14">
        <f t="shared" si="91"/>
        <v>1.9898001765172164E-12</v>
      </c>
      <c r="BG120" s="22">
        <f t="shared" si="61"/>
        <v>3.7049561727869492E-12</v>
      </c>
      <c r="BH120" s="62">
        <f t="shared" si="62"/>
        <v>293.33333333333701</v>
      </c>
      <c r="BI120" s="62">
        <f ca="1">AVERAGE(OFFSET($BH$3,0,0,'Données projet'!$E$11+1,1))-AVERAGE(OFFSET($H$3,0,0,'Données projet'!$E$11+1,1))</f>
        <v>84.664683404322943</v>
      </c>
      <c r="BJ120" s="62">
        <f t="shared" si="92"/>
        <v>79.209234837679901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21.843633591485876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21.843633591485876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-8.5265128291212022E-14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6.4285714285714288</v>
      </c>
      <c r="N121" s="14">
        <f>IF('Données projet'!$A$36&gt;35,N120+M121-V120,IF(A121&lt;'Données projet'!$A$36,$K$205^A121,IF(A121='Données projet'!$A$36,'Données projet'!$B$36,N120+M121-V120)))</f>
        <v>274.14285714285711</v>
      </c>
      <c r="O121" s="14">
        <f>N121*VLOOKUP('Données projet'!$B$9,Paramètres!$A$1:$I$88,3,0)*VLOOKUP('Données projet'!$B$9,Paramètres!$A$1:$I$88,5,0)</f>
        <v>248.04445714285711</v>
      </c>
      <c r="P121" s="14">
        <f t="shared" si="87"/>
        <v>60.166999588325147</v>
      </c>
      <c r="Q121" s="22">
        <f t="shared" si="107"/>
        <v>536.80162047347574</v>
      </c>
      <c r="R121" s="62">
        <f t="shared" si="55"/>
        <v>830.13495380680911</v>
      </c>
      <c r="S121" s="62">
        <f ca="1">AVERAGE(OFFSET($R$3,0,0,'Données projet'!$E$9+1,1))-AVERAGE(OFFSET($H$3,0,0,'Données projet'!$E$9+1,1))</f>
        <v>182.76154982630777</v>
      </c>
      <c r="T121" s="62">
        <f t="shared" si="88"/>
        <v>119.92190922866632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33.620829482565078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33.620829482565078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projet'!$B$10,Paramètres!$A$1:$I$88,3,0)*VLOOKUP('Données projet'!$B$10,Paramètres!$A$1:$I$88,5,0)</f>
        <v>-3.3992364478763198E-14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212.1966338656834</v>
      </c>
      <c r="AO121" s="62">
        <f t="shared" si="90"/>
        <v>194.52809733694494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67.986624344557129</v>
      </c>
      <c r="AV121" s="23">
        <f>EXP(-LN(2)/25)*AV120+(1-EXP(-LN(2)/25))/(LN(2)/25)*Calculateur!AQ121*Calculateur!AS121*VLOOKUP('Données projet'!$B$10,Paramètres!$A$1:$I$88,3,0)*0.475*44/12</f>
        <v>11.560147066066193</v>
      </c>
      <c r="AW121" s="23">
        <f>EXP(-LN(2)/2)*AW120+(1-EXP(-LN(2)/2))/(LN(2)/2)*AQ121*AT121*VLOOKUP('Données projet'!$B$10,Paramètres!$A$1:$I$88,3,0)*0.475*44/12</f>
        <v>1.8709963514979171E-6</v>
      </c>
      <c r="AX121" s="23">
        <f t="shared" si="60"/>
        <v>79.546773281619679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1.4210854715202004E-13</v>
      </c>
      <c r="BE121" s="14">
        <f>BD121*VLOOKUP('Données projet'!$B$11,Paramètres!$A$1:$I$88,3,0)*VLOOKUP('Données projet'!$B$11,Paramètres!$A$1:$I$88,5,0)</f>
        <v>1.3744738680543379E-13</v>
      </c>
      <c r="BF121" s="14">
        <f t="shared" si="91"/>
        <v>1.9898001765172164E-12</v>
      </c>
      <c r="BG121" s="22">
        <f t="shared" si="61"/>
        <v>3.7049561727869492E-12</v>
      </c>
      <c r="BH121" s="62">
        <f t="shared" si="62"/>
        <v>293.33333333333701</v>
      </c>
      <c r="BI121" s="62">
        <f ca="1">AVERAGE(OFFSET($BH$3,0,0,'Données projet'!$E$11+1,1))-AVERAGE(OFFSET($H$3,0,0,'Données projet'!$E$11+1,1))</f>
        <v>84.664683404322943</v>
      </c>
      <c r="BJ121" s="62">
        <f t="shared" si="92"/>
        <v>79.209234837679901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21.415293260057762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21.415293260057762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-8.5265128291212022E-14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6.4285714285714288</v>
      </c>
      <c r="N122" s="14">
        <f>IF('Données projet'!$A$36&gt;35,N121+M122-V121,IF(A122&lt;'Données projet'!$A$36,$K$205^A122,IF(A122='Données projet'!$A$36,'Données projet'!$B$36,N121+M122-V121)))</f>
        <v>280.57142857142856</v>
      </c>
      <c r="O122" s="14">
        <f>N122*VLOOKUP('Données projet'!$B$9,Paramètres!$A$1:$I$88,3,0)*VLOOKUP('Données projet'!$B$9,Paramètres!$A$1:$I$88,5,0)</f>
        <v>253.86102857142856</v>
      </c>
      <c r="P122" s="14">
        <f t="shared" si="87"/>
        <v>61.411983096300084</v>
      </c>
      <c r="Q122" s="22">
        <f t="shared" si="107"/>
        <v>549.10049532129403</v>
      </c>
      <c r="R122" s="62">
        <f t="shared" si="55"/>
        <v>842.4338286546274</v>
      </c>
      <c r="S122" s="62">
        <f ca="1">AVERAGE(OFFSET($R$3,0,0,'Données projet'!$E$9+1,1))-AVERAGE(OFFSET($H$3,0,0,'Données projet'!$E$9+1,1))</f>
        <v>182.76154982630777</v>
      </c>
      <c r="T122" s="62">
        <f t="shared" si="88"/>
        <v>119.92190922866632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32.961545523093093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32.961545523093093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projet'!$B$10,Paramètres!$A$1:$I$88,3,0)*VLOOKUP('Données projet'!$B$10,Paramètres!$A$1:$I$88,5,0)</f>
        <v>-3.3992364478763198E-14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212.1966338656834</v>
      </c>
      <c r="AO122" s="62">
        <f t="shared" si="90"/>
        <v>194.52809733694494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66.653448108906616</v>
      </c>
      <c r="AV122" s="23">
        <f>EXP(-LN(2)/25)*AV121+(1-EXP(-LN(2)/25))/(LN(2)/25)*Calculateur!AQ122*Calculateur!AS122*VLOOKUP('Données projet'!$B$10,Paramètres!$A$1:$I$88,3,0)*0.475*44/12</f>
        <v>11.2440342366229</v>
      </c>
      <c r="AW122" s="23">
        <f>EXP(-LN(2)/2)*AW121+(1-EXP(-LN(2)/2))/(LN(2)/2)*AQ122*AT122*VLOOKUP('Données projet'!$B$10,Paramètres!$A$1:$I$88,3,0)*0.475*44/12</f>
        <v>1.3229942077194665E-6</v>
      </c>
      <c r="AX122" s="23">
        <f t="shared" si="60"/>
        <v>77.897483668523719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1.4210854715202004E-13</v>
      </c>
      <c r="BE122" s="14">
        <f>BD122*VLOOKUP('Données projet'!$B$11,Paramètres!$A$1:$I$88,3,0)*VLOOKUP('Données projet'!$B$11,Paramètres!$A$1:$I$88,5,0)</f>
        <v>1.3744738680543379E-13</v>
      </c>
      <c r="BF122" s="14">
        <f t="shared" si="91"/>
        <v>1.9898001765172164E-12</v>
      </c>
      <c r="BG122" s="22">
        <f t="shared" si="61"/>
        <v>3.7049561727869492E-12</v>
      </c>
      <c r="BH122" s="62">
        <f t="shared" si="62"/>
        <v>293.33333333333701</v>
      </c>
      <c r="BI122" s="62">
        <f ca="1">AVERAGE(OFFSET($BH$3,0,0,'Données projet'!$E$11+1,1))-AVERAGE(OFFSET($H$3,0,0,'Données projet'!$E$11+1,1))</f>
        <v>84.664683404322943</v>
      </c>
      <c r="BJ122" s="62">
        <f t="shared" si="92"/>
        <v>79.209234837679901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20.99535242126715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20.99535242126715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-8.5265128291212022E-14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287</v>
      </c>
      <c r="L123" s="13">
        <f>VLOOKUP(A123,'Données projet'!$A$35:$I$55,9,0)</f>
        <v>6.4285714285714288</v>
      </c>
      <c r="M123" s="13">
        <f t="array" ref="M123">INDEX(L:L,MIN(IF(ISNUMBER(L123:L319),ROW(L123:L319),"")))</f>
        <v>6.4285714285714288</v>
      </c>
      <c r="N123" s="14">
        <f>IF('Données projet'!$A$36&gt;35,N122+M123-V122,IF(A123&lt;'Données projet'!$A$36,$K$205^A123,IF(A123='Données projet'!$A$36,'Données projet'!$B$36,N122+M123-V122)))</f>
        <v>287</v>
      </c>
      <c r="O123" s="14">
        <f>N123*VLOOKUP('Données projet'!$B$9,Paramètres!$A$1:$I$88,3,0)*VLOOKUP('Données projet'!$B$9,Paramètres!$A$1:$I$88,5,0)</f>
        <v>259.67759999999998</v>
      </c>
      <c r="P123" s="14">
        <f t="shared" si="87"/>
        <v>62.653650342775357</v>
      </c>
      <c r="Q123" s="22">
        <f t="shared" si="107"/>
        <v>561.39359434700032</v>
      </c>
      <c r="R123" s="62">
        <f t="shared" si="55"/>
        <v>854.72692768033357</v>
      </c>
      <c r="S123" s="62">
        <f ca="1">AVERAGE(OFFSET($R$3,0,0,'Données projet'!$E$9+1,1))-AVERAGE(OFFSET($H$3,0,0,'Données projet'!$E$9+1,1))</f>
        <v>182.76154982630777</v>
      </c>
      <c r="T123" s="62">
        <f t="shared" si="88"/>
        <v>119.92190922866632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287</v>
      </c>
      <c r="W123" s="17">
        <f>IF(ISNA(VLOOKUP(A123,'Données projet'!$A$35:$I$55,5,0)),0%,VLOOKUP(A123,'Données projet'!$A$35:$I$55,5,0)*VLOOKUP('Données projet'!$B$9,Paramètres!$A$1:$I$88,7,0))</f>
        <v>0.34400000000000003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131.0658576096456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131.0658576096456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projet'!$B$10,Paramètres!$A$1:$I$88,3,0)*VLOOKUP('Données projet'!$B$10,Paramètres!$A$1:$I$88,5,0)</f>
        <v>-3.3992364478763198E-14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212.1966338656834</v>
      </c>
      <c r="AO123" s="62">
        <f t="shared" si="90"/>
        <v>194.52809733694494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65.346414646079992</v>
      </c>
      <c r="AV123" s="23">
        <f>EXP(-LN(2)/25)*AV122+(1-EXP(-LN(2)/25))/(LN(2)/25)*Calculateur!AQ123*Calculateur!AS123*VLOOKUP('Données projet'!$B$10,Paramètres!$A$1:$I$88,3,0)*0.475*44/12</f>
        <v>10.936565529124385</v>
      </c>
      <c r="AW123" s="23">
        <f>EXP(-LN(2)/2)*AW122+(1-EXP(-LN(2)/2))/(LN(2)/2)*AQ123*AT123*VLOOKUP('Données projet'!$B$10,Paramètres!$A$1:$I$88,3,0)*0.475*44/12</f>
        <v>9.3549817574895874E-7</v>
      </c>
      <c r="AX123" s="23">
        <f t="shared" si="60"/>
        <v>76.282981110702551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1.4210854715202004E-13</v>
      </c>
      <c r="BE123" s="14">
        <f>BD123*VLOOKUP('Données projet'!$B$11,Paramètres!$A$1:$I$88,3,0)*VLOOKUP('Données projet'!$B$11,Paramètres!$A$1:$I$88,5,0)</f>
        <v>1.3744738680543379E-13</v>
      </c>
      <c r="BF123" s="14">
        <f t="shared" si="91"/>
        <v>1.9898001765172164E-12</v>
      </c>
      <c r="BG123" s="22">
        <f t="shared" si="61"/>
        <v>3.7049561727869492E-12</v>
      </c>
      <c r="BH123" s="62">
        <f t="shared" si="62"/>
        <v>293.33333333333701</v>
      </c>
      <c r="BI123" s="62">
        <f ca="1">AVERAGE(OFFSET($BH$3,0,0,'Données projet'!$E$11+1,1))-AVERAGE(OFFSET($H$3,0,0,'Données projet'!$E$11+1,1))</f>
        <v>84.664683404322943</v>
      </c>
      <c r="BJ123" s="62">
        <f t="shared" si="92"/>
        <v>79.209234837679901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20.583646366186599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20.583646366186599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-8.5265128291212022E-14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182.76154982630777</v>
      </c>
      <c r="T124" s="62">
        <f t="shared" si="88"/>
        <v>119.92190922866632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128.49573608419996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128.49573608419996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projet'!$B$10,Paramètres!$A$1:$I$88,3,0)*VLOOKUP('Données projet'!$B$10,Paramètres!$A$1:$I$88,5,0)</f>
        <v>-3.3992364478763198E-14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212.1966338656834</v>
      </c>
      <c r="AO124" s="62">
        <f t="shared" si="90"/>
        <v>194.52809733694494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64.065011312247705</v>
      </c>
      <c r="AV124" s="23">
        <f>EXP(-LN(2)/25)*AV123+(1-EXP(-LN(2)/25))/(LN(2)/25)*Calculateur!AQ124*Calculateur!AS124*VLOOKUP('Données projet'!$B$10,Paramètres!$A$1:$I$88,3,0)*0.475*44/12</f>
        <v>10.637504569601493</v>
      </c>
      <c r="AW124" s="23">
        <f>EXP(-LN(2)/2)*AW123+(1-EXP(-LN(2)/2))/(LN(2)/2)*AQ124*AT124*VLOOKUP('Données projet'!$B$10,Paramètres!$A$1:$I$88,3,0)*0.475*44/12</f>
        <v>6.6149710385973337E-7</v>
      </c>
      <c r="AX124" s="23">
        <f t="shared" si="60"/>
        <v>74.702516543346292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1.4210854715202004E-13</v>
      </c>
      <c r="BE124" s="14">
        <f>BD124*VLOOKUP('Données projet'!$B$11,Paramètres!$A$1:$I$88,3,0)*VLOOKUP('Données projet'!$B$11,Paramètres!$A$1:$I$88,5,0)</f>
        <v>1.3744738680543379E-13</v>
      </c>
      <c r="BF124" s="14">
        <f t="shared" si="91"/>
        <v>1.9898001765172164E-12</v>
      </c>
      <c r="BG124" s="22">
        <f t="shared" si="61"/>
        <v>3.7049561727869492E-12</v>
      </c>
      <c r="BH124" s="62">
        <f t="shared" si="62"/>
        <v>293.33333333333701</v>
      </c>
      <c r="BI124" s="62">
        <f ca="1">AVERAGE(OFFSET($BH$3,0,0,'Données projet'!$E$11+1,1))-AVERAGE(OFFSET($H$3,0,0,'Données projet'!$E$11+1,1))</f>
        <v>84.664683404322943</v>
      </c>
      <c r="BJ124" s="62">
        <f t="shared" si="92"/>
        <v>79.209234837679901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20.180013615730282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20.180013615730282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-8.5265128291212022E-14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182.76154982630777</v>
      </c>
      <c r="T125" s="62">
        <f t="shared" si="88"/>
        <v>119.92190922866632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125.97601307424895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125.97601307424895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projet'!$B$10,Paramètres!$A$1:$I$88,3,0)*VLOOKUP('Données projet'!$B$10,Paramètres!$A$1:$I$88,5,0)</f>
        <v>-3.3992364478763198E-14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212.1966338656834</v>
      </c>
      <c r="AO125" s="62">
        <f t="shared" si="90"/>
        <v>194.52809733694494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62.808735516213012</v>
      </c>
      <c r="AV125" s="23">
        <f>EXP(-LN(2)/25)*AV124+(1-EXP(-LN(2)/25))/(LN(2)/25)*Calculateur!AQ125*Calculateur!AS125*VLOOKUP('Données projet'!$B$10,Paramètres!$A$1:$I$88,3,0)*0.475*44/12</f>
        <v>10.346621447743686</v>
      </c>
      <c r="AW125" s="23">
        <f>EXP(-LN(2)/2)*AW124+(1-EXP(-LN(2)/2))/(LN(2)/2)*AQ125*AT125*VLOOKUP('Données projet'!$B$10,Paramètres!$A$1:$I$88,3,0)*0.475*44/12</f>
        <v>4.6774908787447942E-7</v>
      </c>
      <c r="AX125" s="23">
        <f t="shared" si="60"/>
        <v>73.155357431705795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1.4210854715202004E-13</v>
      </c>
      <c r="BE125" s="14">
        <f>BD125*VLOOKUP('Données projet'!$B$11,Paramètres!$A$1:$I$88,3,0)*VLOOKUP('Données projet'!$B$11,Paramètres!$A$1:$I$88,5,0)</f>
        <v>1.3744738680543379E-13</v>
      </c>
      <c r="BF125" s="14">
        <f t="shared" si="91"/>
        <v>1.9898001765172164E-12</v>
      </c>
      <c r="BG125" s="22">
        <f t="shared" si="61"/>
        <v>3.7049561727869492E-12</v>
      </c>
      <c r="BH125" s="62">
        <f t="shared" si="62"/>
        <v>293.33333333333701</v>
      </c>
      <c r="BI125" s="62">
        <f ca="1">AVERAGE(OFFSET($BH$3,0,0,'Données projet'!$E$11+1,1))-AVERAGE(OFFSET($H$3,0,0,'Données projet'!$E$11+1,1))</f>
        <v>84.664683404322943</v>
      </c>
      <c r="BJ125" s="62">
        <f t="shared" si="92"/>
        <v>79.209234837679901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19.784295857318742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19.784295857318742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-8.5265128291212022E-14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182.76154982630777</v>
      </c>
      <c r="T126" s="62">
        <f t="shared" si="88"/>
        <v>119.92190922866632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123.50570029564381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123.50570029564381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projet'!$B$10,Paramètres!$A$1:$I$88,3,0)*VLOOKUP('Données projet'!$B$10,Paramètres!$A$1:$I$88,5,0)</f>
        <v>-3.3992364478763198E-14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212.1966338656834</v>
      </c>
      <c r="AO126" s="62">
        <f t="shared" si="90"/>
        <v>194.52809733694494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61.577094522285989</v>
      </c>
      <c r="AV126" s="23">
        <f>EXP(-LN(2)/25)*AV125+(1-EXP(-LN(2)/25))/(LN(2)/25)*Calculateur!AQ126*Calculateur!AS126*VLOOKUP('Données projet'!$B$10,Paramètres!$A$1:$I$88,3,0)*0.475*44/12</f>
        <v>10.063692540149962</v>
      </c>
      <c r="AW126" s="23">
        <f>EXP(-LN(2)/2)*AW125+(1-EXP(-LN(2)/2))/(LN(2)/2)*AQ126*AT126*VLOOKUP('Données projet'!$B$10,Paramètres!$A$1:$I$88,3,0)*0.475*44/12</f>
        <v>3.3074855192986674E-7</v>
      </c>
      <c r="AX126" s="23">
        <f t="shared" si="60"/>
        <v>71.640787393184496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1.4210854715202004E-13</v>
      </c>
      <c r="BE126" s="14">
        <f>BD126*VLOOKUP('Données projet'!$B$11,Paramètres!$A$1:$I$88,3,0)*VLOOKUP('Données projet'!$B$11,Paramètres!$A$1:$I$88,5,0)</f>
        <v>1.3744738680543379E-13</v>
      </c>
      <c r="BF126" s="14">
        <f t="shared" si="91"/>
        <v>1.9898001765172164E-12</v>
      </c>
      <c r="BG126" s="22">
        <f t="shared" si="61"/>
        <v>3.7049561727869492E-12</v>
      </c>
      <c r="BH126" s="62">
        <f t="shared" si="62"/>
        <v>293.33333333333701</v>
      </c>
      <c r="BI126" s="62">
        <f ca="1">AVERAGE(OFFSET($BH$3,0,0,'Données projet'!$E$11+1,1))-AVERAGE(OFFSET($H$3,0,0,'Données projet'!$E$11+1,1))</f>
        <v>84.664683404322943</v>
      </c>
      <c r="BJ126" s="62">
        <f t="shared" si="92"/>
        <v>79.209234837679901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19.396337882785655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19.396337882785655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-8.5265128291212022E-14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182.76154982630777</v>
      </c>
      <c r="T127" s="62">
        <f t="shared" si="88"/>
        <v>119.92190922866632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121.08382884388509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121.08382884388509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projet'!$B$10,Paramètres!$A$1:$I$88,3,0)*VLOOKUP('Données projet'!$B$10,Paramètres!$A$1:$I$88,5,0)</f>
        <v>-3.3992364478763198E-14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212.1966338656834</v>
      </c>
      <c r="AO127" s="62">
        <f t="shared" si="90"/>
        <v>194.52809733694494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60.369605257023046</v>
      </c>
      <c r="AV127" s="23">
        <f>EXP(-LN(2)/25)*AV126+(1-EXP(-LN(2)/25))/(LN(2)/25)*Calculateur!AQ127*Calculateur!AS127*VLOOKUP('Données projet'!$B$10,Paramètres!$A$1:$I$88,3,0)*0.475*44/12</f>
        <v>9.7885003384129714</v>
      </c>
      <c r="AW127" s="23">
        <f>EXP(-LN(2)/2)*AW126+(1-EXP(-LN(2)/2))/(LN(2)/2)*AQ127*AT127*VLOOKUP('Données projet'!$B$10,Paramètres!$A$1:$I$88,3,0)*0.475*44/12</f>
        <v>2.3387454393723974E-7</v>
      </c>
      <c r="AX127" s="23">
        <f t="shared" si="60"/>
        <v>70.158105829310557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1.4210854715202004E-13</v>
      </c>
      <c r="BE127" s="14">
        <f>BD127*VLOOKUP('Données projet'!$B$11,Paramètres!$A$1:$I$88,3,0)*VLOOKUP('Données projet'!$B$11,Paramètres!$A$1:$I$88,5,0)</f>
        <v>1.3744738680543379E-13</v>
      </c>
      <c r="BF127" s="14">
        <f t="shared" si="91"/>
        <v>1.9898001765172164E-12</v>
      </c>
      <c r="BG127" s="22">
        <f t="shared" si="61"/>
        <v>3.7049561727869492E-12</v>
      </c>
      <c r="BH127" s="62">
        <f t="shared" si="62"/>
        <v>293.33333333333701</v>
      </c>
      <c r="BI127" s="62">
        <f ca="1">AVERAGE(OFFSET($BH$3,0,0,'Données projet'!$E$11+1,1))-AVERAGE(OFFSET($H$3,0,0,'Données projet'!$E$11+1,1))</f>
        <v>84.664683404322943</v>
      </c>
      <c r="BJ127" s="62">
        <f t="shared" si="92"/>
        <v>79.209234837679901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19.015987527502162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19.015987527502162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-8.5265128291212022E-14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182.76154982630777</v>
      </c>
      <c r="T128" s="62">
        <f t="shared" si="88"/>
        <v>119.92190922866632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118.70944881409963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118.70944881409963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projet'!$B$10,Paramètres!$A$1:$I$88,3,0)*VLOOKUP('Données projet'!$B$10,Paramètres!$A$1:$I$88,5,0)</f>
        <v>-3.3992364478763198E-14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212.1966338656834</v>
      </c>
      <c r="AO128" s="62">
        <f t="shared" si="90"/>
        <v>194.52809733694494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59.185794119756181</v>
      </c>
      <c r="AV128" s="23">
        <f>EXP(-LN(2)/25)*AV127+(1-EXP(-LN(2)/25))/(LN(2)/25)*Calculateur!AQ128*Calculateur!AS128*VLOOKUP('Données projet'!$B$10,Paramètres!$A$1:$I$88,3,0)*0.475*44/12</f>
        <v>9.5208332819042081</v>
      </c>
      <c r="AW128" s="23">
        <f>EXP(-LN(2)/2)*AW127+(1-EXP(-LN(2)/2))/(LN(2)/2)*AQ128*AT128*VLOOKUP('Données projet'!$B$10,Paramètres!$A$1:$I$88,3,0)*0.475*44/12</f>
        <v>1.653742759649334E-7</v>
      </c>
      <c r="AX128" s="23">
        <f t="shared" si="60"/>
        <v>68.706627567034658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1.4210854715202004E-13</v>
      </c>
      <c r="BE128" s="14">
        <f>BD128*VLOOKUP('Données projet'!$B$11,Paramètres!$A$1:$I$88,3,0)*VLOOKUP('Données projet'!$B$11,Paramètres!$A$1:$I$88,5,0)</f>
        <v>1.3744738680543379E-13</v>
      </c>
      <c r="BF128" s="14">
        <f t="shared" si="91"/>
        <v>1.9898001765172164E-12</v>
      </c>
      <c r="BG128" s="22">
        <f t="shared" si="61"/>
        <v>3.7049561727869492E-12</v>
      </c>
      <c r="BH128" s="62">
        <f t="shared" si="62"/>
        <v>293.33333333333701</v>
      </c>
      <c r="BI128" s="62">
        <f ca="1">AVERAGE(OFFSET($BH$3,0,0,'Données projet'!$E$11+1,1))-AVERAGE(OFFSET($H$3,0,0,'Données projet'!$E$11+1,1))</f>
        <v>84.664683404322943</v>
      </c>
      <c r="BJ128" s="62">
        <f t="shared" si="92"/>
        <v>79.209234837679901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18.643095610694967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18.643095610694967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-8.5265128291212022E-14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182.76154982630777</v>
      </c>
      <c r="T129" s="62">
        <f t="shared" si="88"/>
        <v>119.92190922866632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116.38162892846945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116.38162892846945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projet'!$B$10,Paramètres!$A$1:$I$88,3,0)*VLOOKUP('Données projet'!$B$10,Paramètres!$A$1:$I$88,5,0)</f>
        <v>-3.3992364478763198E-14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212.1966338656834</v>
      </c>
      <c r="AO129" s="62">
        <f t="shared" si="90"/>
        <v>194.52809733694494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58.025196796837619</v>
      </c>
      <c r="AV129" s="23">
        <f>EXP(-LN(2)/25)*AV128+(1-EXP(-LN(2)/25))/(LN(2)/25)*Calculateur!AQ129*Calculateur!AS129*VLOOKUP('Données projet'!$B$10,Paramètres!$A$1:$I$88,3,0)*0.475*44/12</f>
        <v>9.2604855951316747</v>
      </c>
      <c r="AW129" s="23">
        <f>EXP(-LN(2)/2)*AW128+(1-EXP(-LN(2)/2))/(LN(2)/2)*AQ129*AT129*VLOOKUP('Données projet'!$B$10,Paramètres!$A$1:$I$88,3,0)*0.475*44/12</f>
        <v>1.169372719686199E-7</v>
      </c>
      <c r="AX129" s="23">
        <f t="shared" si="60"/>
        <v>67.285682508906561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1.4210854715202004E-13</v>
      </c>
      <c r="BE129" s="14">
        <f>BD129*VLOOKUP('Données projet'!$B$11,Paramètres!$A$1:$I$88,3,0)*VLOOKUP('Données projet'!$B$11,Paramètres!$A$1:$I$88,5,0)</f>
        <v>1.3744738680543379E-13</v>
      </c>
      <c r="BF129" s="14">
        <f t="shared" si="91"/>
        <v>1.9898001765172164E-12</v>
      </c>
      <c r="BG129" s="22">
        <f t="shared" si="61"/>
        <v>3.7049561727869492E-12</v>
      </c>
      <c r="BH129" s="62">
        <f t="shared" si="62"/>
        <v>293.33333333333701</v>
      </c>
      <c r="BI129" s="62">
        <f ca="1">AVERAGE(OFFSET($BH$3,0,0,'Données projet'!$E$11+1,1))-AVERAGE(OFFSET($H$3,0,0,'Données projet'!$E$11+1,1))</f>
        <v>84.664683404322943</v>
      </c>
      <c r="BJ129" s="62">
        <f t="shared" si="92"/>
        <v>79.209234837679901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18.277515876934753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18.277515876934753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-8.5265128291212022E-14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182.76154982630777</v>
      </c>
      <c r="T130" s="62">
        <f t="shared" si="88"/>
        <v>119.92190922866632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114.09945617096655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114.09945617096655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projet'!$B$10,Paramètres!$A$1:$I$88,3,0)*VLOOKUP('Données projet'!$B$10,Paramètres!$A$1:$I$88,5,0)</f>
        <v>-3.3992364478763198E-14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212.1966338656834</v>
      </c>
      <c r="AO130" s="62">
        <f t="shared" si="90"/>
        <v>194.52809733694494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56.887358079527019</v>
      </c>
      <c r="AV130" s="23">
        <f>EXP(-LN(2)/25)*AV129+(1-EXP(-LN(2)/25))/(LN(2)/25)*Calculateur!AQ130*Calculateur!AS130*VLOOKUP('Données projet'!$B$10,Paramètres!$A$1:$I$88,3,0)*0.475*44/12</f>
        <v>9.0072571295450263</v>
      </c>
      <c r="AW130" s="23">
        <f>EXP(-LN(2)/2)*AW129+(1-EXP(-LN(2)/2))/(LN(2)/2)*AQ130*AT130*VLOOKUP('Données projet'!$B$10,Paramètres!$A$1:$I$88,3,0)*0.475*44/12</f>
        <v>8.2687137982466711E-8</v>
      </c>
      <c r="AX130" s="23">
        <f t="shared" si="60"/>
        <v>65.89461529175918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1.4210854715202004E-13</v>
      </c>
      <c r="BE130" s="14">
        <f>BD130*VLOOKUP('Données projet'!$B$11,Paramètres!$A$1:$I$88,3,0)*VLOOKUP('Données projet'!$B$11,Paramètres!$A$1:$I$88,5,0)</f>
        <v>1.3744738680543379E-13</v>
      </c>
      <c r="BF130" s="14">
        <f t="shared" si="91"/>
        <v>1.9898001765172164E-12</v>
      </c>
      <c r="BG130" s="22">
        <f t="shared" si="61"/>
        <v>3.7049561727869492E-12</v>
      </c>
      <c r="BH130" s="62">
        <f t="shared" si="62"/>
        <v>293.33333333333701</v>
      </c>
      <c r="BI130" s="62">
        <f ca="1">AVERAGE(OFFSET($BH$3,0,0,'Données projet'!$E$11+1,1))-AVERAGE(OFFSET($H$3,0,0,'Données projet'!$E$11+1,1))</f>
        <v>84.664683404322943</v>
      </c>
      <c r="BJ130" s="62">
        <f t="shared" si="92"/>
        <v>79.209234837679901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17.919104938771955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17.919104938771955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-8.5265128291212022E-14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182.76154982630777</v>
      </c>
      <c r="T131" s="62">
        <f t="shared" si="88"/>
        <v>119.92190922866632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111.86203542925034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111.86203542925034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projet'!$B$10,Paramètres!$A$1:$I$88,3,0)*VLOOKUP('Données projet'!$B$10,Paramètres!$A$1:$I$88,5,0)</f>
        <v>-3.3992364478763198E-14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212.1966338656834</v>
      </c>
      <c r="AO131" s="62">
        <f t="shared" si="90"/>
        <v>194.52809733694494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55.77183168544979</v>
      </c>
      <c r="AV131" s="23">
        <f>EXP(-LN(2)/25)*AV130+(1-EXP(-LN(2)/25))/(LN(2)/25)*Calculateur!AQ131*Calculateur!AS131*VLOOKUP('Données projet'!$B$10,Paramètres!$A$1:$I$88,3,0)*0.475*44/12</f>
        <v>8.7609532096665514</v>
      </c>
      <c r="AW131" s="23">
        <f>EXP(-LN(2)/2)*AW130+(1-EXP(-LN(2)/2))/(LN(2)/2)*AQ131*AT131*VLOOKUP('Données projet'!$B$10,Paramètres!$A$1:$I$88,3,0)*0.475*44/12</f>
        <v>5.8468635984309954E-8</v>
      </c>
      <c r="AX131" s="23">
        <f t="shared" si="60"/>
        <v>64.532784953584965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1.4210854715202004E-13</v>
      </c>
      <c r="BE131" s="14">
        <f>BD131*VLOOKUP('Données projet'!$B$11,Paramètres!$A$1:$I$88,3,0)*VLOOKUP('Données projet'!$B$11,Paramètres!$A$1:$I$88,5,0)</f>
        <v>1.3744738680543379E-13</v>
      </c>
      <c r="BF131" s="14">
        <f t="shared" si="91"/>
        <v>1.9898001765172164E-12</v>
      </c>
      <c r="BG131" s="22">
        <f t="shared" si="61"/>
        <v>3.7049561727869492E-12</v>
      </c>
      <c r="BH131" s="62">
        <f t="shared" si="62"/>
        <v>293.33333333333701</v>
      </c>
      <c r="BI131" s="62">
        <f ca="1">AVERAGE(OFFSET($BH$3,0,0,'Données projet'!$E$11+1,1))-AVERAGE(OFFSET($H$3,0,0,'Données projet'!$E$11+1,1))</f>
        <v>84.664683404322943</v>
      </c>
      <c r="BJ131" s="62">
        <f t="shared" si="92"/>
        <v>79.209234837679901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17.567722220497444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17.567722220497444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-8.5265128291212022E-14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182.76154982630777</v>
      </c>
      <c r="T132" s="62">
        <f t="shared" si="88"/>
        <v>119.92190922866632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109.66848914358729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109.66848914358729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projet'!$B$10,Paramètres!$A$1:$I$88,3,0)*VLOOKUP('Données projet'!$B$10,Paramètres!$A$1:$I$88,5,0)</f>
        <v>-3.3992364478763198E-14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212.1966338656834</v>
      </c>
      <c r="AO132" s="62">
        <f t="shared" si="90"/>
        <v>194.52809733694494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54.678180083556505</v>
      </c>
      <c r="AV132" s="23">
        <f>EXP(-LN(2)/25)*AV131+(1-EXP(-LN(2)/25))/(LN(2)/25)*Calculateur!AQ132*Calculateur!AS132*VLOOKUP('Données projet'!$B$10,Paramètres!$A$1:$I$88,3,0)*0.475*44/12</f>
        <v>8.5213844834297134</v>
      </c>
      <c r="AW132" s="23">
        <f>EXP(-LN(2)/2)*AW131+(1-EXP(-LN(2)/2))/(LN(2)/2)*AQ132*AT132*VLOOKUP('Données projet'!$B$10,Paramètres!$A$1:$I$88,3,0)*0.475*44/12</f>
        <v>4.1343568991233362E-8</v>
      </c>
      <c r="AX132" s="23">
        <f t="shared" ref="AX132:AX153" si="114">SUM(AU132:AW132)</f>
        <v>63.199564608329787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1.4210854715202004E-13</v>
      </c>
      <c r="BE132" s="14">
        <f>BD132*VLOOKUP('Données projet'!$B$11,Paramètres!$A$1:$I$88,3,0)*VLOOKUP('Données projet'!$B$11,Paramètres!$A$1:$I$88,5,0)</f>
        <v>1.3744738680543379E-13</v>
      </c>
      <c r="BF132" s="14">
        <f t="shared" si="91"/>
        <v>1.9898001765172164E-12</v>
      </c>
      <c r="BG132" s="22">
        <f t="shared" ref="BG132:BG153" si="115">(BE132+BF132)*0.475*44/12</f>
        <v>3.7049561727869492E-12</v>
      </c>
      <c r="BH132" s="62">
        <f t="shared" ref="BH132:BH195" si="116">BG132+(AY132+AZ132)*44/12</f>
        <v>293.33333333333701</v>
      </c>
      <c r="BI132" s="62">
        <f ca="1">AVERAGE(OFFSET($BH$3,0,0,'Données projet'!$E$11+1,1))-AVERAGE(OFFSET($H$3,0,0,'Données projet'!$E$11+1,1))</f>
        <v>84.664683404322943</v>
      </c>
      <c r="BJ132" s="62">
        <f t="shared" si="92"/>
        <v>79.209234837679901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17.223229903006001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17.223229903006001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-8.5265128291212022E-14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182.76154982630777</v>
      </c>
      <c r="T133" s="62">
        <f t="shared" ref="T133:T196" si="142">$T$3</f>
        <v>119.92190922866632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107.51795696265496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107.51795696265496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projet'!$B$10,Paramètres!$A$1:$I$88,3,0)*VLOOKUP('Données projet'!$B$10,Paramètres!$A$1:$I$88,5,0)</f>
        <v>-3.3992364478763198E-14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212.1966338656834</v>
      </c>
      <c r="AO133" s="62">
        <f t="shared" ref="AO133:AO196" si="144">$AO$3</f>
        <v>194.52809733694494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53.605974322514733</v>
      </c>
      <c r="AV133" s="23">
        <f>EXP(-LN(2)/25)*AV132+(1-EXP(-LN(2)/25))/(LN(2)/25)*Calculateur!AQ133*Calculateur!AS133*VLOOKUP('Données projet'!$B$10,Paramètres!$A$1:$I$88,3,0)*0.475*44/12</f>
        <v>8.2883667766101947</v>
      </c>
      <c r="AW133" s="23">
        <f>EXP(-LN(2)/2)*AW132+(1-EXP(-LN(2)/2))/(LN(2)/2)*AQ133*AT133*VLOOKUP('Données projet'!$B$10,Paramètres!$A$1:$I$88,3,0)*0.475*44/12</f>
        <v>2.9234317992154984E-8</v>
      </c>
      <c r="AX133" s="23">
        <f t="shared" si="114"/>
        <v>61.894341128359244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1.4210854715202004E-13</v>
      </c>
      <c r="BE133" s="14">
        <f>BD133*VLOOKUP('Données projet'!$B$11,Paramètres!$A$1:$I$88,3,0)*VLOOKUP('Données projet'!$B$11,Paramètres!$A$1:$I$88,5,0)</f>
        <v>1.3744738680543379E-13</v>
      </c>
      <c r="BF133" s="14">
        <f t="shared" ref="BF133:BF153" si="145">EXP(-1.0587+0.8836*LN(BE133)+0.284)</f>
        <v>1.9898001765172164E-12</v>
      </c>
      <c r="BG133" s="22">
        <f t="shared" si="115"/>
        <v>3.7049561727869492E-12</v>
      </c>
      <c r="BH133" s="62">
        <f t="shared" si="116"/>
        <v>293.33333333333701</v>
      </c>
      <c r="BI133" s="62">
        <f ca="1">AVERAGE(OFFSET($BH$3,0,0,'Données projet'!$E$11+1,1))-AVERAGE(OFFSET($H$3,0,0,'Données projet'!$E$11+1,1))</f>
        <v>84.664683404322943</v>
      </c>
      <c r="BJ133" s="62">
        <f t="shared" ref="BJ133:BJ196" si="146">$BJ$3</f>
        <v>79.209234837679901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16.885492869740997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16.885492869740997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-8.5265128291212022E-14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182.76154982630777</v>
      </c>
      <c r="T134" s="62">
        <f t="shared" si="142"/>
        <v>119.92190922866632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105.4095954060956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105.4095954060956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projet'!$B$10,Paramètres!$A$1:$I$88,3,0)*VLOOKUP('Données projet'!$B$10,Paramètres!$A$1:$I$88,5,0)</f>
        <v>-3.3992364478763198E-14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212.1966338656834</v>
      </c>
      <c r="AO134" s="62">
        <f t="shared" si="144"/>
        <v>194.52809733694494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52.554793862466056</v>
      </c>
      <c r="AV134" s="23">
        <f>EXP(-LN(2)/25)*AV133+(1-EXP(-LN(2)/25))/(LN(2)/25)*Calculateur!AQ134*Calculateur!AS134*VLOOKUP('Données projet'!$B$10,Paramètres!$A$1:$I$88,3,0)*0.475*44/12</f>
        <v>8.0617209512375236</v>
      </c>
      <c r="AW134" s="23">
        <f>EXP(-LN(2)/2)*AW133+(1-EXP(-LN(2)/2))/(LN(2)/2)*AQ134*AT134*VLOOKUP('Données projet'!$B$10,Paramètres!$A$1:$I$88,3,0)*0.475*44/12</f>
        <v>2.0671784495616684E-8</v>
      </c>
      <c r="AX134" s="23">
        <f t="shared" si="114"/>
        <v>60.616514834375366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1.4210854715202004E-13</v>
      </c>
      <c r="BE134" s="14">
        <f>BD134*VLOOKUP('Données projet'!$B$11,Paramètres!$A$1:$I$88,3,0)*VLOOKUP('Données projet'!$B$11,Paramètres!$A$1:$I$88,5,0)</f>
        <v>1.3744738680543379E-13</v>
      </c>
      <c r="BF134" s="14">
        <f t="shared" si="145"/>
        <v>1.9898001765172164E-12</v>
      </c>
      <c r="BG134" s="22">
        <f t="shared" si="115"/>
        <v>3.7049561727869492E-12</v>
      </c>
      <c r="BH134" s="62">
        <f t="shared" si="116"/>
        <v>293.33333333333701</v>
      </c>
      <c r="BI134" s="62">
        <f ca="1">AVERAGE(OFFSET($BH$3,0,0,'Données projet'!$E$11+1,1))-AVERAGE(OFFSET($H$3,0,0,'Données projet'!$E$11+1,1))</f>
        <v>84.664683404322943</v>
      </c>
      <c r="BJ134" s="62">
        <f t="shared" si="146"/>
        <v>79.209234837679901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16.554378653699072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16.554378653699072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-8.5265128291212022E-14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182.76154982630777</v>
      </c>
      <c r="T135" s="62">
        <f t="shared" si="142"/>
        <v>119.92190922866632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103.34257753368681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103.34257753368681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projet'!$B$10,Paramètres!$A$1:$I$88,3,0)*VLOOKUP('Données projet'!$B$10,Paramètres!$A$1:$I$88,5,0)</f>
        <v>-3.3992364478763198E-14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212.1966338656834</v>
      </c>
      <c r="AO135" s="62">
        <f t="shared" si="144"/>
        <v>194.52809733694494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51.524226410082157</v>
      </c>
      <c r="AV135" s="23">
        <f>EXP(-LN(2)/25)*AV134+(1-EXP(-LN(2)/25))/(LN(2)/25)*Calculateur!AQ135*Calculateur!AS135*VLOOKUP('Données projet'!$B$10,Paramètres!$A$1:$I$88,3,0)*0.475*44/12</f>
        <v>7.8412727678784542</v>
      </c>
      <c r="AW135" s="23">
        <f>EXP(-LN(2)/2)*AW134+(1-EXP(-LN(2)/2))/(LN(2)/2)*AQ135*AT135*VLOOKUP('Données projet'!$B$10,Paramètres!$A$1:$I$88,3,0)*0.475*44/12</f>
        <v>1.4617158996077494E-8</v>
      </c>
      <c r="AX135" s="23">
        <f t="shared" si="114"/>
        <v>59.365499192577772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1.4210854715202004E-13</v>
      </c>
      <c r="BE135" s="14">
        <f>BD135*VLOOKUP('Données projet'!$B$11,Paramètres!$A$1:$I$88,3,0)*VLOOKUP('Données projet'!$B$11,Paramètres!$A$1:$I$88,5,0)</f>
        <v>1.3744738680543379E-13</v>
      </c>
      <c r="BF135" s="14">
        <f t="shared" si="145"/>
        <v>1.9898001765172164E-12</v>
      </c>
      <c r="BG135" s="22">
        <f t="shared" si="115"/>
        <v>3.7049561727869492E-12</v>
      </c>
      <c r="BH135" s="62">
        <f t="shared" si="116"/>
        <v>293.33333333333701</v>
      </c>
      <c r="BI135" s="62">
        <f ca="1">AVERAGE(OFFSET($BH$3,0,0,'Données projet'!$E$11+1,1))-AVERAGE(OFFSET($H$3,0,0,'Données projet'!$E$11+1,1))</f>
        <v>84.664683404322943</v>
      </c>
      <c r="BJ135" s="62">
        <f t="shared" si="146"/>
        <v>79.209234837679901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16.229757385473999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16.229757385473999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-8.5265128291212022E-14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182.76154982630777</v>
      </c>
      <c r="T136" s="62">
        <f t="shared" si="142"/>
        <v>119.92190922866632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101.31609262099954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101.31609262099954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projet'!$B$10,Paramètres!$A$1:$I$88,3,0)*VLOOKUP('Données projet'!$B$10,Paramètres!$A$1:$I$88,5,0)</f>
        <v>-3.3992364478763198E-14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212.1966338656834</v>
      </c>
      <c r="AO136" s="62">
        <f t="shared" si="144"/>
        <v>194.52809733694494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50.513867756855433</v>
      </c>
      <c r="AV136" s="23">
        <f>EXP(-LN(2)/25)*AV135+(1-EXP(-LN(2)/25))/(LN(2)/25)*Calculateur!AQ136*Calculateur!AS136*VLOOKUP('Données projet'!$B$10,Paramètres!$A$1:$I$88,3,0)*0.475*44/12</f>
        <v>7.6268527516862044</v>
      </c>
      <c r="AW136" s="23">
        <f>EXP(-LN(2)/2)*AW135+(1-EXP(-LN(2)/2))/(LN(2)/2)*AQ136*AT136*VLOOKUP('Données projet'!$B$10,Paramètres!$A$1:$I$88,3,0)*0.475*44/12</f>
        <v>1.0335892247808344E-8</v>
      </c>
      <c r="AX136" s="23">
        <f t="shared" si="114"/>
        <v>58.140720518877529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1.4210854715202004E-13</v>
      </c>
      <c r="BE136" s="14">
        <f>BD136*VLOOKUP('Données projet'!$B$11,Paramètres!$A$1:$I$88,3,0)*VLOOKUP('Données projet'!$B$11,Paramètres!$A$1:$I$88,5,0)</f>
        <v>1.3744738680543379E-13</v>
      </c>
      <c r="BF136" s="14">
        <f t="shared" si="145"/>
        <v>1.9898001765172164E-12</v>
      </c>
      <c r="BG136" s="22">
        <f t="shared" si="115"/>
        <v>3.7049561727869492E-12</v>
      </c>
      <c r="BH136" s="62">
        <f t="shared" si="116"/>
        <v>293.33333333333701</v>
      </c>
      <c r="BI136" s="62">
        <f ca="1">AVERAGE(OFFSET($BH$3,0,0,'Données projet'!$E$11+1,1))-AVERAGE(OFFSET($H$3,0,0,'Données projet'!$E$11+1,1))</f>
        <v>84.664683404322943</v>
      </c>
      <c r="BJ136" s="62">
        <f t="shared" si="146"/>
        <v>79.209234837679901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15.911501742319397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15.911501742319397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-8.5265128291212022E-14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182.76154982630777</v>
      </c>
      <c r="T137" s="62">
        <f t="shared" si="142"/>
        <v>119.92190922866632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99.329345841416327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99.329345841416327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projet'!$B$10,Paramètres!$A$1:$I$88,3,0)*VLOOKUP('Données projet'!$B$10,Paramètres!$A$1:$I$88,5,0)</f>
        <v>-3.3992364478763198E-14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212.1966338656834</v>
      </c>
      <c r="AO137" s="62">
        <f t="shared" si="144"/>
        <v>194.52809733694494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49.523321620560552</v>
      </c>
      <c r="AV137" s="23">
        <f>EXP(-LN(2)/25)*AV136+(1-EXP(-LN(2)/25))/(LN(2)/25)*Calculateur!AQ137*Calculateur!AS137*VLOOKUP('Données projet'!$B$10,Paramètres!$A$1:$I$88,3,0)*0.475*44/12</f>
        <v>7.4182960621125904</v>
      </c>
      <c r="AW137" s="23">
        <f>EXP(-LN(2)/2)*AW136+(1-EXP(-LN(2)/2))/(LN(2)/2)*AQ137*AT137*VLOOKUP('Données projet'!$B$10,Paramètres!$A$1:$I$88,3,0)*0.475*44/12</f>
        <v>7.3085794980387476E-9</v>
      </c>
      <c r="AX137" s="23">
        <f t="shared" si="114"/>
        <v>56.941617689981719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1.4210854715202004E-13</v>
      </c>
      <c r="BE137" s="14">
        <f>BD137*VLOOKUP('Données projet'!$B$11,Paramètres!$A$1:$I$88,3,0)*VLOOKUP('Données projet'!$B$11,Paramètres!$A$1:$I$88,5,0)</f>
        <v>1.3744738680543379E-13</v>
      </c>
      <c r="BF137" s="14">
        <f t="shared" si="145"/>
        <v>1.9898001765172164E-12</v>
      </c>
      <c r="BG137" s="22">
        <f t="shared" si="115"/>
        <v>3.7049561727869492E-12</v>
      </c>
      <c r="BH137" s="62">
        <f t="shared" si="116"/>
        <v>293.33333333333701</v>
      </c>
      <c r="BI137" s="62">
        <f ca="1">AVERAGE(OFFSET($BH$3,0,0,'Données projet'!$E$11+1,1))-AVERAGE(OFFSET($H$3,0,0,'Données projet'!$E$11+1,1))</f>
        <v>84.664683404322943</v>
      </c>
      <c r="BJ137" s="62">
        <f t="shared" si="146"/>
        <v>79.209234837679901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15.599486898210282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15.599486898210282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-8.5265128291212022E-14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182.76154982630777</v>
      </c>
      <c r="T138" s="62">
        <f t="shared" si="142"/>
        <v>119.92190922866632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97.381557954384846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97.381557954384846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projet'!$B$10,Paramètres!$A$1:$I$88,3,0)*VLOOKUP('Données projet'!$B$10,Paramètres!$A$1:$I$88,5,0)</f>
        <v>-3.3992364478763198E-14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212.1966338656834</v>
      </c>
      <c r="AO138" s="62">
        <f t="shared" si="144"/>
        <v>194.52809733694494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48.552199489824929</v>
      </c>
      <c r="AV138" s="23">
        <f>EXP(-LN(2)/25)*AV137+(1-EXP(-LN(2)/25))/(LN(2)/25)*Calculateur!AQ138*Calculateur!AS138*VLOOKUP('Données projet'!$B$10,Paramètres!$A$1:$I$88,3,0)*0.475*44/12</f>
        <v>7.2154423661828861</v>
      </c>
      <c r="AW138" s="23">
        <f>EXP(-LN(2)/2)*AW137+(1-EXP(-LN(2)/2))/(LN(2)/2)*AQ138*AT138*VLOOKUP('Données projet'!$B$10,Paramètres!$A$1:$I$88,3,0)*0.475*44/12</f>
        <v>5.1679461239041728E-9</v>
      </c>
      <c r="AX138" s="23">
        <f t="shared" si="114"/>
        <v>55.767641861175761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1.4210854715202004E-13</v>
      </c>
      <c r="BE138" s="14">
        <f>BD138*VLOOKUP('Données projet'!$B$11,Paramètres!$A$1:$I$88,3,0)*VLOOKUP('Données projet'!$B$11,Paramètres!$A$1:$I$88,5,0)</f>
        <v>1.3744738680543379E-13</v>
      </c>
      <c r="BF138" s="14">
        <f t="shared" si="145"/>
        <v>1.9898001765172164E-12</v>
      </c>
      <c r="BG138" s="22">
        <f t="shared" si="115"/>
        <v>3.7049561727869492E-12</v>
      </c>
      <c r="BH138" s="62">
        <f t="shared" si="116"/>
        <v>293.33333333333701</v>
      </c>
      <c r="BI138" s="62">
        <f ca="1">AVERAGE(OFFSET($BH$3,0,0,'Données projet'!$E$11+1,1))-AVERAGE(OFFSET($H$3,0,0,'Données projet'!$E$11+1,1))</f>
        <v>84.664683404322943</v>
      </c>
      <c r="BJ138" s="62">
        <f t="shared" si="146"/>
        <v>79.209234837679901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15.293590474883883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15.293590474883883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-8.5265128291212022E-14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182.76154982630777</v>
      </c>
      <c r="T139" s="62">
        <f t="shared" si="142"/>
        <v>119.92190922866632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95.47196499978476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95.47196499978476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projet'!$B$10,Paramètres!$A$1:$I$88,3,0)*VLOOKUP('Données projet'!$B$10,Paramètres!$A$1:$I$88,5,0)</f>
        <v>-3.3992364478763198E-14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212.1966338656834</v>
      </c>
      <c r="AO139" s="62">
        <f t="shared" si="144"/>
        <v>194.52809733694494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47.600120471747019</v>
      </c>
      <c r="AV139" s="23">
        <f>EXP(-LN(2)/25)*AV138+(1-EXP(-LN(2)/25))/(LN(2)/25)*Calculateur!AQ139*Calculateur!AS139*VLOOKUP('Données projet'!$B$10,Paramètres!$A$1:$I$88,3,0)*0.475*44/12</f>
        <v>7.0181357152359922</v>
      </c>
      <c r="AW139" s="23">
        <f>EXP(-LN(2)/2)*AW138+(1-EXP(-LN(2)/2))/(LN(2)/2)*AQ139*AT139*VLOOKUP('Données projet'!$B$10,Paramètres!$A$1:$I$88,3,0)*0.475*44/12</f>
        <v>3.6542897490193746E-9</v>
      </c>
      <c r="AX139" s="23">
        <f t="shared" si="114"/>
        <v>54.618256190637304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1.4210854715202004E-13</v>
      </c>
      <c r="BE139" s="14">
        <f>BD139*VLOOKUP('Données projet'!$B$11,Paramètres!$A$1:$I$88,3,0)*VLOOKUP('Données projet'!$B$11,Paramètres!$A$1:$I$88,5,0)</f>
        <v>1.3744738680543379E-13</v>
      </c>
      <c r="BF139" s="14">
        <f t="shared" si="145"/>
        <v>1.9898001765172164E-12</v>
      </c>
      <c r="BG139" s="22">
        <f t="shared" si="115"/>
        <v>3.7049561727869492E-12</v>
      </c>
      <c r="BH139" s="62">
        <f t="shared" si="116"/>
        <v>293.33333333333701</v>
      </c>
      <c r="BI139" s="62">
        <f ca="1">AVERAGE(OFFSET($BH$3,0,0,'Données projet'!$E$11+1,1))-AVERAGE(OFFSET($H$3,0,0,'Données projet'!$E$11+1,1))</f>
        <v>84.664683404322943</v>
      </c>
      <c r="BJ139" s="62">
        <f t="shared" si="146"/>
        <v>79.209234837679901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14.99369249384052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14.99369249384052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-8.5265128291212022E-14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182.76154982630777</v>
      </c>
      <c r="T140" s="62">
        <f t="shared" si="142"/>
        <v>119.92190922866632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93.599817998287676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93.599817998287676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projet'!$B$10,Paramètres!$A$1:$I$88,3,0)*VLOOKUP('Données projet'!$B$10,Paramètres!$A$1:$I$88,5,0)</f>
        <v>-3.3992364478763198E-14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212.1966338656834</v>
      </c>
      <c r="AO140" s="62">
        <f t="shared" si="144"/>
        <v>194.52809733694494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46.666711142502756</v>
      </c>
      <c r="AV140" s="23">
        <f>EXP(-LN(2)/25)*AV139+(1-EXP(-LN(2)/25))/(LN(2)/25)*Calculateur!AQ140*Calculateur!AS140*VLOOKUP('Données projet'!$B$10,Paramètres!$A$1:$I$88,3,0)*0.475*44/12</f>
        <v>6.8262244250351465</v>
      </c>
      <c r="AW140" s="23">
        <f>EXP(-LN(2)/2)*AW139+(1-EXP(-LN(2)/2))/(LN(2)/2)*AQ140*AT140*VLOOKUP('Données projet'!$B$10,Paramètres!$A$1:$I$88,3,0)*0.475*44/12</f>
        <v>2.5839730619520868E-9</v>
      </c>
      <c r="AX140" s="23">
        <f t="shared" si="114"/>
        <v>53.492935570121873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1.4210854715202004E-13</v>
      </c>
      <c r="BE140" s="14">
        <f>BD140*VLOOKUP('Données projet'!$B$11,Paramètres!$A$1:$I$88,3,0)*VLOOKUP('Données projet'!$B$11,Paramètres!$A$1:$I$88,5,0)</f>
        <v>1.3744738680543379E-13</v>
      </c>
      <c r="BF140" s="14">
        <f t="shared" si="145"/>
        <v>1.9898001765172164E-12</v>
      </c>
      <c r="BG140" s="22">
        <f t="shared" si="115"/>
        <v>3.7049561727869492E-12</v>
      </c>
      <c r="BH140" s="62">
        <f t="shared" si="116"/>
        <v>293.33333333333701</v>
      </c>
      <c r="BI140" s="62">
        <f ca="1">AVERAGE(OFFSET($BH$3,0,0,'Données projet'!$E$11+1,1))-AVERAGE(OFFSET($H$3,0,0,'Données projet'!$E$11+1,1))</f>
        <v>84.664683404322943</v>
      </c>
      <c r="BJ140" s="62">
        <f t="shared" si="146"/>
        <v>79.209234837679901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14.699675329285711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14.699675329285711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-8.5265128291212022E-14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182.76154982630777</v>
      </c>
      <c r="T141" s="62">
        <f t="shared" si="142"/>
        <v>119.92190922866632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91.764382657593046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91.764382657593046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projet'!$B$10,Paramètres!$A$1:$I$88,3,0)*VLOOKUP('Données projet'!$B$10,Paramètres!$A$1:$I$88,5,0)</f>
        <v>-3.3992364478763198E-14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212.1966338656834</v>
      </c>
      <c r="AO141" s="62">
        <f t="shared" si="144"/>
        <v>194.52809733694494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45.751605400881502</v>
      </c>
      <c r="AV141" s="23">
        <f>EXP(-LN(2)/25)*AV140+(1-EXP(-LN(2)/25))/(LN(2)/25)*Calculateur!AQ141*Calculateur!AS141*VLOOKUP('Données projet'!$B$10,Paramètres!$A$1:$I$88,3,0)*0.475*44/12</f>
        <v>6.639560959157019</v>
      </c>
      <c r="AW141" s="23">
        <f>EXP(-LN(2)/2)*AW140+(1-EXP(-LN(2)/2))/(LN(2)/2)*AQ141*AT141*VLOOKUP('Données projet'!$B$10,Paramètres!$A$1:$I$88,3,0)*0.475*44/12</f>
        <v>1.8271448745096875E-9</v>
      </c>
      <c r="AX141" s="23">
        <f t="shared" si="114"/>
        <v>52.391166361865665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1.4210854715202004E-13</v>
      </c>
      <c r="BE141" s="14">
        <f>BD141*VLOOKUP('Données projet'!$B$11,Paramètres!$A$1:$I$88,3,0)*VLOOKUP('Données projet'!$B$11,Paramètres!$A$1:$I$88,5,0)</f>
        <v>1.3744738680543379E-13</v>
      </c>
      <c r="BF141" s="14">
        <f t="shared" si="145"/>
        <v>1.9898001765172164E-12</v>
      </c>
      <c r="BG141" s="22">
        <f t="shared" si="115"/>
        <v>3.7049561727869492E-12</v>
      </c>
      <c r="BH141" s="62">
        <f t="shared" si="116"/>
        <v>293.33333333333701</v>
      </c>
      <c r="BI141" s="62">
        <f ca="1">AVERAGE(OFFSET($BH$3,0,0,'Données projet'!$E$11+1,1))-AVERAGE(OFFSET($H$3,0,0,'Données projet'!$E$11+1,1))</f>
        <v>84.664683404322943</v>
      </c>
      <c r="BJ141" s="62">
        <f t="shared" si="146"/>
        <v>79.209234837679901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14.411423661995059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14.411423661995059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-8.5265128291212022E-14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182.76154982630777</v>
      </c>
      <c r="T142" s="62">
        <f t="shared" si="142"/>
        <v>119.92190922866632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89.964939084424415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89.964939084424415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projet'!$B$10,Paramètres!$A$1:$I$88,3,0)*VLOOKUP('Données projet'!$B$10,Paramètres!$A$1:$I$88,5,0)</f>
        <v>-3.3992364478763198E-14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212.1966338656834</v>
      </c>
      <c r="AO142" s="62">
        <f t="shared" si="144"/>
        <v>194.52809733694494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44.85444432469405</v>
      </c>
      <c r="AV142" s="23">
        <f>EXP(-LN(2)/25)*AV141+(1-EXP(-LN(2)/25))/(LN(2)/25)*Calculateur!AQ142*Calculateur!AS142*VLOOKUP('Données projet'!$B$10,Paramètres!$A$1:$I$88,3,0)*0.475*44/12</f>
        <v>6.458001815569534</v>
      </c>
      <c r="AW142" s="23">
        <f>EXP(-LN(2)/2)*AW141+(1-EXP(-LN(2)/2))/(LN(2)/2)*AQ142*AT142*VLOOKUP('Données projet'!$B$10,Paramètres!$A$1:$I$88,3,0)*0.475*44/12</f>
        <v>1.2919865309760436E-9</v>
      </c>
      <c r="AX142" s="23">
        <f t="shared" si="114"/>
        <v>51.312446141555569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1.4210854715202004E-13</v>
      </c>
      <c r="BE142" s="14">
        <f>BD142*VLOOKUP('Données projet'!$B$11,Paramètres!$A$1:$I$88,3,0)*VLOOKUP('Données projet'!$B$11,Paramètres!$A$1:$I$88,5,0)</f>
        <v>1.3744738680543379E-13</v>
      </c>
      <c r="BF142" s="14">
        <f t="shared" si="145"/>
        <v>1.9898001765172164E-12</v>
      </c>
      <c r="BG142" s="22">
        <f t="shared" si="115"/>
        <v>3.7049561727869492E-12</v>
      </c>
      <c r="BH142" s="62">
        <f t="shared" si="116"/>
        <v>293.33333333333701</v>
      </c>
      <c r="BI142" s="62">
        <f ca="1">AVERAGE(OFFSET($BH$3,0,0,'Données projet'!$E$11+1,1))-AVERAGE(OFFSET($H$3,0,0,'Données projet'!$E$11+1,1))</f>
        <v>84.664683404322943</v>
      </c>
      <c r="BJ142" s="62">
        <f t="shared" si="146"/>
        <v>79.209234837679901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14.128824434083819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14.128824434083819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-8.5265128291212022E-14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182.76154982630777</v>
      </c>
      <c r="T143" s="62">
        <f t="shared" si="142"/>
        <v>119.92190922866632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88.200781502173413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88.200781502173413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projet'!$B$10,Paramètres!$A$1:$I$88,3,0)*VLOOKUP('Données projet'!$B$10,Paramètres!$A$1:$I$88,5,0)</f>
        <v>-3.3992364478763198E-14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212.1966338656834</v>
      </c>
      <c r="AO143" s="62">
        <f t="shared" si="144"/>
        <v>194.52809733694494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43.974876029996409</v>
      </c>
      <c r="AV143" s="23">
        <f>EXP(-LN(2)/25)*AV142+(1-EXP(-LN(2)/25))/(LN(2)/25)*Calculateur!AQ143*Calculateur!AS143*VLOOKUP('Données projet'!$B$10,Paramètres!$A$1:$I$88,3,0)*0.475*44/12</f>
        <v>6.2814074163112297</v>
      </c>
      <c r="AW143" s="23">
        <f>EXP(-LN(2)/2)*AW142+(1-EXP(-LN(2)/2))/(LN(2)/2)*AQ143*AT143*VLOOKUP('Données projet'!$B$10,Paramètres!$A$1:$I$88,3,0)*0.475*44/12</f>
        <v>9.1357243725484396E-10</v>
      </c>
      <c r="AX143" s="23">
        <f t="shared" si="114"/>
        <v>50.256283447221215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1.4210854715202004E-13</v>
      </c>
      <c r="BE143" s="14">
        <f>BD143*VLOOKUP('Données projet'!$B$11,Paramètres!$A$1:$I$88,3,0)*VLOOKUP('Données projet'!$B$11,Paramètres!$A$1:$I$88,5,0)</f>
        <v>1.3744738680543379E-13</v>
      </c>
      <c r="BF143" s="14">
        <f t="shared" si="145"/>
        <v>1.9898001765172164E-12</v>
      </c>
      <c r="BG143" s="22">
        <f t="shared" si="115"/>
        <v>3.7049561727869492E-12</v>
      </c>
      <c r="BH143" s="62">
        <f t="shared" si="116"/>
        <v>293.33333333333701</v>
      </c>
      <c r="BI143" s="62">
        <f ca="1">AVERAGE(OFFSET($BH$3,0,0,'Données projet'!$E$11+1,1))-AVERAGE(OFFSET($H$3,0,0,'Données projet'!$E$11+1,1))</f>
        <v>84.664683404322943</v>
      </c>
      <c r="BJ143" s="62">
        <f t="shared" si="146"/>
        <v>79.209234837679901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13.851766804663409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13.851766804663409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-8.5265128291212022E-14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182.76154982630777</v>
      </c>
      <c r="T144" s="62">
        <f t="shared" si="142"/>
        <v>119.92190922866632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86.471217974080474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86.471217974080474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projet'!$B$10,Paramètres!$A$1:$I$88,3,0)*VLOOKUP('Données projet'!$B$10,Paramètres!$A$1:$I$88,5,0)</f>
        <v>-3.3992364478763198E-14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212.1966338656834</v>
      </c>
      <c r="AO144" s="62">
        <f t="shared" si="144"/>
        <v>194.52809733694494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43.112555533074101</v>
      </c>
      <c r="AV144" s="23">
        <f>EXP(-LN(2)/25)*AV143+(1-EXP(-LN(2)/25))/(LN(2)/25)*Calculateur!AQ144*Calculateur!AS144*VLOOKUP('Données projet'!$B$10,Paramètres!$A$1:$I$88,3,0)*0.475*44/12</f>
        <v>6.1096420001873391</v>
      </c>
      <c r="AW144" s="23">
        <f>EXP(-LN(2)/2)*AW143+(1-EXP(-LN(2)/2))/(LN(2)/2)*AQ144*AT144*VLOOKUP('Données projet'!$B$10,Paramètres!$A$1:$I$88,3,0)*0.475*44/12</f>
        <v>6.4599326548802191E-10</v>
      </c>
      <c r="AX144" s="23">
        <f t="shared" si="114"/>
        <v>49.222197533907426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1.4210854715202004E-13</v>
      </c>
      <c r="BE144" s="14">
        <f>BD144*VLOOKUP('Données projet'!$B$11,Paramètres!$A$1:$I$88,3,0)*VLOOKUP('Données projet'!$B$11,Paramètres!$A$1:$I$88,5,0)</f>
        <v>1.3744738680543379E-13</v>
      </c>
      <c r="BF144" s="14">
        <f t="shared" si="145"/>
        <v>1.9898001765172164E-12</v>
      </c>
      <c r="BG144" s="22">
        <f t="shared" si="115"/>
        <v>3.7049561727869492E-12</v>
      </c>
      <c r="BH144" s="62">
        <f t="shared" si="116"/>
        <v>293.33333333333701</v>
      </c>
      <c r="BI144" s="62">
        <f ca="1">AVERAGE(OFFSET($BH$3,0,0,'Données projet'!$E$11+1,1))-AVERAGE(OFFSET($H$3,0,0,'Données projet'!$E$11+1,1))</f>
        <v>84.664683404322943</v>
      </c>
      <c r="BJ144" s="62">
        <f t="shared" si="146"/>
        <v>79.209234837679901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13.580142106367466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13.580142106367466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-8.5265128291212022E-14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182.76154982630777</v>
      </c>
      <c r="T145" s="62">
        <f t="shared" si="142"/>
        <v>119.92190922866632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84.775570131843864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84.775570131843864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projet'!$B$10,Paramètres!$A$1:$I$88,3,0)*VLOOKUP('Données projet'!$B$10,Paramètres!$A$1:$I$88,5,0)</f>
        <v>-3.3992364478763198E-14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212.1966338656834</v>
      </c>
      <c r="AO145" s="62">
        <f t="shared" si="144"/>
        <v>194.52809733694494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42.267144615132871</v>
      </c>
      <c r="AV145" s="23">
        <f>EXP(-LN(2)/25)*AV144+(1-EXP(-LN(2)/25))/(LN(2)/25)*Calculateur!AQ145*Calculateur!AS145*VLOOKUP('Données projet'!$B$10,Paramètres!$A$1:$I$88,3,0)*0.475*44/12</f>
        <v>5.9425735184001072</v>
      </c>
      <c r="AW145" s="23">
        <f>EXP(-LN(2)/2)*AW144+(1-EXP(-LN(2)/2))/(LN(2)/2)*AQ145*AT145*VLOOKUP('Données projet'!$B$10,Paramètres!$A$1:$I$88,3,0)*0.475*44/12</f>
        <v>4.5678621862742203E-10</v>
      </c>
      <c r="AX145" s="23">
        <f t="shared" si="114"/>
        <v>48.209718133989767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1.4210854715202004E-13</v>
      </c>
      <c r="BE145" s="14">
        <f>BD145*VLOOKUP('Données projet'!$B$11,Paramètres!$A$1:$I$88,3,0)*VLOOKUP('Données projet'!$B$11,Paramètres!$A$1:$I$88,5,0)</f>
        <v>1.3744738680543379E-13</v>
      </c>
      <c r="BF145" s="14">
        <f t="shared" si="145"/>
        <v>1.9898001765172164E-12</v>
      </c>
      <c r="BG145" s="22">
        <f t="shared" si="115"/>
        <v>3.7049561727869492E-12</v>
      </c>
      <c r="BH145" s="62">
        <f t="shared" si="116"/>
        <v>293.33333333333701</v>
      </c>
      <c r="BI145" s="62">
        <f ca="1">AVERAGE(OFFSET($BH$3,0,0,'Données projet'!$E$11+1,1))-AVERAGE(OFFSET($H$3,0,0,'Données projet'!$E$11+1,1))</f>
        <v>84.664683404322943</v>
      </c>
      <c r="BJ145" s="62">
        <f t="shared" si="146"/>
        <v>79.209234837679901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13.3138438027304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13.3138438027304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-8.5265128291212022E-14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182.76154982630777</v>
      </c>
      <c r="T146" s="62">
        <f t="shared" si="142"/>
        <v>119.92190922866632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83.113172909550443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83.113172909550443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projet'!$B$10,Paramètres!$A$1:$I$88,3,0)*VLOOKUP('Données projet'!$B$10,Paramètres!$A$1:$I$88,5,0)</f>
        <v>-3.3992364478763198E-14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212.1966338656834</v>
      </c>
      <c r="AO146" s="62">
        <f t="shared" si="144"/>
        <v>194.52809733694494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41.438311689642724</v>
      </c>
      <c r="AV146" s="23">
        <f>EXP(-LN(2)/25)*AV145+(1-EXP(-LN(2)/25))/(LN(2)/25)*Calculateur!AQ146*Calculateur!AS146*VLOOKUP('Données projet'!$B$10,Paramètres!$A$1:$I$88,3,0)*0.475*44/12</f>
        <v>5.7800735330330966</v>
      </c>
      <c r="AW146" s="23">
        <f>EXP(-LN(2)/2)*AW145+(1-EXP(-LN(2)/2))/(LN(2)/2)*AQ146*AT146*VLOOKUP('Données projet'!$B$10,Paramètres!$A$1:$I$88,3,0)*0.475*44/12</f>
        <v>3.22996632744011E-10</v>
      </c>
      <c r="AX146" s="23">
        <f t="shared" si="114"/>
        <v>47.218385222998819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1.4210854715202004E-13</v>
      </c>
      <c r="BE146" s="14">
        <f>BD146*VLOOKUP('Données projet'!$B$11,Paramètres!$A$1:$I$88,3,0)*VLOOKUP('Données projet'!$B$11,Paramètres!$A$1:$I$88,5,0)</f>
        <v>1.3744738680543379E-13</v>
      </c>
      <c r="BF146" s="14">
        <f t="shared" si="145"/>
        <v>1.9898001765172164E-12</v>
      </c>
      <c r="BG146" s="22">
        <f t="shared" si="115"/>
        <v>3.7049561727869492E-12</v>
      </c>
      <c r="BH146" s="62">
        <f t="shared" si="116"/>
        <v>293.33333333333701</v>
      </c>
      <c r="BI146" s="62">
        <f ca="1">AVERAGE(OFFSET($BH$3,0,0,'Données projet'!$E$11+1,1))-AVERAGE(OFFSET($H$3,0,0,'Données projet'!$E$11+1,1))</f>
        <v>84.664683404322943</v>
      </c>
      <c r="BJ146" s="62">
        <f t="shared" si="146"/>
        <v>79.209234837679901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13.052767446401729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13.052767446401729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-8.5265128291212022E-14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182.76154982630777</v>
      </c>
      <c r="T147" s="62">
        <f t="shared" si="142"/>
        <v>119.92190922866632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81.483374282824016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81.483374282824016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projet'!$B$10,Paramètres!$A$1:$I$88,3,0)*VLOOKUP('Données projet'!$B$10,Paramètres!$A$1:$I$88,5,0)</f>
        <v>-3.3992364478763198E-14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212.1966338656834</v>
      </c>
      <c r="AO147" s="62">
        <f t="shared" si="144"/>
        <v>194.52809733694494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40.625731672283273</v>
      </c>
      <c r="AV147" s="23">
        <f>EXP(-LN(2)/25)*AV146+(1-EXP(-LN(2)/25))/(LN(2)/25)*Calculateur!AQ147*Calculateur!AS147*VLOOKUP('Données projet'!$B$10,Paramètres!$A$1:$I$88,3,0)*0.475*44/12</f>
        <v>5.62201711831145</v>
      </c>
      <c r="AW147" s="23">
        <f>EXP(-LN(2)/2)*AW146+(1-EXP(-LN(2)/2))/(LN(2)/2)*AQ147*AT147*VLOOKUP('Données projet'!$B$10,Paramètres!$A$1:$I$88,3,0)*0.475*44/12</f>
        <v>2.2839310931371107E-10</v>
      </c>
      <c r="AX147" s="23">
        <f t="shared" si="114"/>
        <v>46.24774879082311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1.4210854715202004E-13</v>
      </c>
      <c r="BE147" s="14">
        <f>BD147*VLOOKUP('Données projet'!$B$11,Paramètres!$A$1:$I$88,3,0)*VLOOKUP('Données projet'!$B$11,Paramètres!$A$1:$I$88,5,0)</f>
        <v>1.3744738680543379E-13</v>
      </c>
      <c r="BF147" s="14">
        <f t="shared" si="145"/>
        <v>1.9898001765172164E-12</v>
      </c>
      <c r="BG147" s="22">
        <f t="shared" si="115"/>
        <v>3.7049561727869492E-12</v>
      </c>
      <c r="BH147" s="62">
        <f t="shared" si="116"/>
        <v>293.33333333333701</v>
      </c>
      <c r="BI147" s="62">
        <f ca="1">AVERAGE(OFFSET($BH$3,0,0,'Données projet'!$E$11+1,1))-AVERAGE(OFFSET($H$3,0,0,'Données projet'!$E$11+1,1))</f>
        <v>84.664683404322943</v>
      </c>
      <c r="BJ147" s="62">
        <f t="shared" si="146"/>
        <v>79.209234837679901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12.79681063817981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12.79681063817981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-8.5265128291212022E-14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182.76154982630777</v>
      </c>
      <c r="T148" s="62">
        <f t="shared" si="142"/>
        <v>119.92190922866632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79.885535013088685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79.885535013088685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projet'!$B$10,Paramètres!$A$1:$I$88,3,0)*VLOOKUP('Données projet'!$B$10,Paramètres!$A$1:$I$88,5,0)</f>
        <v>-3.3992364478763198E-14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212.1966338656834</v>
      </c>
      <c r="AO148" s="62">
        <f t="shared" si="144"/>
        <v>194.52809733694494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39.829085853439373</v>
      </c>
      <c r="AV148" s="23">
        <f>EXP(-LN(2)/25)*AV147+(1-EXP(-LN(2)/25))/(LN(2)/25)*Calculateur!AQ148*Calculateur!AS148*VLOOKUP('Données projet'!$B$10,Paramètres!$A$1:$I$88,3,0)*0.475*44/12</f>
        <v>5.4682827645621925</v>
      </c>
      <c r="AW148" s="23">
        <f>EXP(-LN(2)/2)*AW147+(1-EXP(-LN(2)/2))/(LN(2)/2)*AQ148*AT148*VLOOKUP('Données projet'!$B$10,Paramètres!$A$1:$I$88,3,0)*0.475*44/12</f>
        <v>1.6149831637200553E-10</v>
      </c>
      <c r="AX148" s="23">
        <f t="shared" si="114"/>
        <v>45.297368618163063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1.4210854715202004E-13</v>
      </c>
      <c r="BE148" s="14">
        <f>BD148*VLOOKUP('Données projet'!$B$11,Paramètres!$A$1:$I$88,3,0)*VLOOKUP('Données projet'!$B$11,Paramètres!$A$1:$I$88,5,0)</f>
        <v>1.3744738680543379E-13</v>
      </c>
      <c r="BF148" s="14">
        <f t="shared" si="145"/>
        <v>1.9898001765172164E-12</v>
      </c>
      <c r="BG148" s="22">
        <f t="shared" si="115"/>
        <v>3.7049561727869492E-12</v>
      </c>
      <c r="BH148" s="62">
        <f t="shared" si="116"/>
        <v>293.33333333333701</v>
      </c>
      <c r="BI148" s="62">
        <f ca="1">AVERAGE(OFFSET($BH$3,0,0,'Données projet'!$E$11+1,1))-AVERAGE(OFFSET($H$3,0,0,'Données projet'!$E$11+1,1))</f>
        <v>84.664683404322943</v>
      </c>
      <c r="BJ148" s="62">
        <f t="shared" si="146"/>
        <v>79.209234837679901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12.545872986848886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12.545872986848886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-8.5265128291212022E-14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182.76154982630777</v>
      </c>
      <c r="T149" s="62">
        <f t="shared" si="142"/>
        <v>119.92190922866632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78.319028396847145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78.319028396847145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projet'!$B$10,Paramètres!$A$1:$I$88,3,0)*VLOOKUP('Données projet'!$B$10,Paramètres!$A$1:$I$88,5,0)</f>
        <v>-3.3992364478763198E-14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212.1966338656834</v>
      </c>
      <c r="AO149" s="62">
        <f t="shared" si="144"/>
        <v>194.52809733694494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39.048061773197027</v>
      </c>
      <c r="AV149" s="23">
        <f>EXP(-LN(2)/25)*AV148+(1-EXP(-LN(2)/25))/(LN(2)/25)*Calculateur!AQ149*Calculateur!AS149*VLOOKUP('Données projet'!$B$10,Paramètres!$A$1:$I$88,3,0)*0.475*44/12</f>
        <v>5.3187522848007465</v>
      </c>
      <c r="AW149" s="23">
        <f>EXP(-LN(2)/2)*AW148+(1-EXP(-LN(2)/2))/(LN(2)/2)*AQ149*AT149*VLOOKUP('Données projet'!$B$10,Paramètres!$A$1:$I$88,3,0)*0.475*44/12</f>
        <v>1.1419655465685555E-10</v>
      </c>
      <c r="AX149" s="23">
        <f t="shared" si="114"/>
        <v>44.36681405811197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1.4210854715202004E-13</v>
      </c>
      <c r="BE149" s="14">
        <f>BD149*VLOOKUP('Données projet'!$B$11,Paramètres!$A$1:$I$88,3,0)*VLOOKUP('Données projet'!$B$11,Paramètres!$A$1:$I$88,5,0)</f>
        <v>1.3744738680543379E-13</v>
      </c>
      <c r="BF149" s="14">
        <f t="shared" si="145"/>
        <v>1.9898001765172164E-12</v>
      </c>
      <c r="BG149" s="22">
        <f t="shared" si="115"/>
        <v>3.7049561727869492E-12</v>
      </c>
      <c r="BH149" s="62">
        <f t="shared" si="116"/>
        <v>293.33333333333701</v>
      </c>
      <c r="BI149" s="62">
        <f ca="1">AVERAGE(OFFSET($BH$3,0,0,'Données projet'!$E$11+1,1))-AVERAGE(OFFSET($H$3,0,0,'Données projet'!$E$11+1,1))</f>
        <v>84.664683404322943</v>
      </c>
      <c r="BJ149" s="62">
        <f t="shared" si="146"/>
        <v>79.209234837679901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12.299856069803708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12.299856069803708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-8.5265128291212022E-14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182.76154982630777</v>
      </c>
      <c r="T150" s="62">
        <f t="shared" si="142"/>
        <v>119.92190922866632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76.783240019875407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76.783240019875407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projet'!$B$10,Paramètres!$A$1:$I$88,3,0)*VLOOKUP('Données projet'!$B$10,Paramètres!$A$1:$I$88,5,0)</f>
        <v>-3.3992364478763198E-14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212.1966338656834</v>
      </c>
      <c r="AO150" s="62">
        <f t="shared" si="144"/>
        <v>194.52809733694494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38.282353098790587</v>
      </c>
      <c r="AV150" s="23">
        <f>EXP(-LN(2)/25)*AV149+(1-EXP(-LN(2)/25))/(LN(2)/25)*Calculateur!AQ150*Calculateur!AS150*VLOOKUP('Données projet'!$B$10,Paramètres!$A$1:$I$88,3,0)*0.475*44/12</f>
        <v>5.1733107238718432</v>
      </c>
      <c r="AW150" s="23">
        <f>EXP(-LN(2)/2)*AW149+(1-EXP(-LN(2)/2))/(LN(2)/2)*AQ150*AT150*VLOOKUP('Données projet'!$B$10,Paramètres!$A$1:$I$88,3,0)*0.475*44/12</f>
        <v>8.0749158186002777E-11</v>
      </c>
      <c r="AX150" s="23">
        <f t="shared" si="114"/>
        <v>43.455663822743176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1.4210854715202004E-13</v>
      </c>
      <c r="BE150" s="14">
        <f>BD150*VLOOKUP('Données projet'!$B$11,Paramètres!$A$1:$I$88,3,0)*VLOOKUP('Données projet'!$B$11,Paramètres!$A$1:$I$88,5,0)</f>
        <v>1.3744738680543379E-13</v>
      </c>
      <c r="BF150" s="14">
        <f t="shared" si="145"/>
        <v>1.9898001765172164E-12</v>
      </c>
      <c r="BG150" s="22">
        <f t="shared" si="115"/>
        <v>3.7049561727869492E-12</v>
      </c>
      <c r="BH150" s="62">
        <f t="shared" si="116"/>
        <v>293.33333333333701</v>
      </c>
      <c r="BI150" s="62">
        <f ca="1">AVERAGE(OFFSET($BH$3,0,0,'Données projet'!$E$11+1,1))-AVERAGE(OFFSET($H$3,0,0,'Données projet'!$E$11+1,1))</f>
        <v>84.664683404322943</v>
      </c>
      <c r="BJ150" s="62">
        <f t="shared" si="146"/>
        <v>79.209234837679901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12.058663394446281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12.058663394446281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-8.5265128291212022E-14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182.76154982630777</v>
      </c>
      <c r="T151" s="62">
        <f t="shared" si="142"/>
        <v>119.92190922866632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75.277567516237667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75.277567516237667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projet'!$B$10,Paramètres!$A$1:$I$88,3,0)*VLOOKUP('Données projet'!$B$10,Paramètres!$A$1:$I$88,5,0)</f>
        <v>-3.3992364478763198E-14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212.1966338656834</v>
      </c>
      <c r="AO151" s="62">
        <f t="shared" si="144"/>
        <v>194.52809733694494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37.531659504453081</v>
      </c>
      <c r="AV151" s="23">
        <f>EXP(-LN(2)/25)*AV150+(1-EXP(-LN(2)/25))/(LN(2)/25)*Calculateur!AQ151*Calculateur!AS151*VLOOKUP('Données projet'!$B$10,Paramètres!$A$1:$I$88,3,0)*0.475*44/12</f>
        <v>5.0318462700749809</v>
      </c>
      <c r="AW151" s="23">
        <f>EXP(-LN(2)/2)*AW150+(1-EXP(-LN(2)/2))/(LN(2)/2)*AQ151*AT151*VLOOKUP('Données projet'!$B$10,Paramètres!$A$1:$I$88,3,0)*0.475*44/12</f>
        <v>5.709827732842778E-11</v>
      </c>
      <c r="AX151" s="23">
        <f t="shared" si="114"/>
        <v>42.56350577458516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1.4210854715202004E-13</v>
      </c>
      <c r="BE151" s="14">
        <f>BD151*VLOOKUP('Données projet'!$B$11,Paramètres!$A$1:$I$88,3,0)*VLOOKUP('Données projet'!$B$11,Paramètres!$A$1:$I$88,5,0)</f>
        <v>1.3744738680543379E-13</v>
      </c>
      <c r="BF151" s="14">
        <f t="shared" si="145"/>
        <v>1.9898001765172164E-12</v>
      </c>
      <c r="BG151" s="22">
        <f t="shared" si="115"/>
        <v>3.7049561727869492E-12</v>
      </c>
      <c r="BH151" s="62">
        <f t="shared" si="116"/>
        <v>293.33333333333701</v>
      </c>
      <c r="BI151" s="62">
        <f ca="1">AVERAGE(OFFSET($BH$3,0,0,'Données projet'!$E$11+1,1))-AVERAGE(OFFSET($H$3,0,0,'Données projet'!$E$11+1,1))</f>
        <v>84.664683404322943</v>
      </c>
      <c r="BJ151" s="62">
        <f t="shared" si="146"/>
        <v>79.209234837679901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11.822200360339609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11.822200360339609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-8.5265128291212022E-14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182.76154982630777</v>
      </c>
      <c r="T152" s="62">
        <f t="shared" si="142"/>
        <v>119.92190922866632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73.801420332026723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73.801420332026723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projet'!$B$10,Paramètres!$A$1:$I$88,3,0)*VLOOKUP('Données projet'!$B$10,Paramètres!$A$1:$I$88,5,0)</f>
        <v>-3.3992364478763198E-14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212.1966338656834</v>
      </c>
      <c r="AO152" s="62">
        <f t="shared" si="144"/>
        <v>194.52809733694494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36.795686553622652</v>
      </c>
      <c r="AV152" s="23">
        <f>EXP(-LN(2)/25)*AV151+(1-EXP(-LN(2)/25))/(LN(2)/25)*Calculateur!AQ152*Calculateur!AS152*VLOOKUP('Données projet'!$B$10,Paramètres!$A$1:$I$88,3,0)*0.475*44/12</f>
        <v>4.8942501692064857</v>
      </c>
      <c r="AW152" s="23">
        <f>EXP(-LN(2)/2)*AW151+(1-EXP(-LN(2)/2))/(LN(2)/2)*AQ152*AT152*VLOOKUP('Données projet'!$B$10,Paramètres!$A$1:$I$88,3,0)*0.475*44/12</f>
        <v>4.0374579093001395E-11</v>
      </c>
      <c r="AX152" s="23">
        <f t="shared" si="114"/>
        <v>41.689936722869511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1.4210854715202004E-13</v>
      </c>
      <c r="BE152" s="14">
        <f>BD152*VLOOKUP('Données projet'!$B$11,Paramètres!$A$1:$I$88,3,0)*VLOOKUP('Données projet'!$B$11,Paramètres!$A$1:$I$88,5,0)</f>
        <v>1.3744738680543379E-13</v>
      </c>
      <c r="BF152" s="14">
        <f t="shared" si="145"/>
        <v>1.9898001765172164E-12</v>
      </c>
      <c r="BG152" s="22">
        <f t="shared" si="115"/>
        <v>3.7049561727869492E-12</v>
      </c>
      <c r="BH152" s="62">
        <f t="shared" si="116"/>
        <v>293.33333333333701</v>
      </c>
      <c r="BI152" s="62">
        <f ca="1">AVERAGE(OFFSET($BH$3,0,0,'Données projet'!$E$11+1,1))-AVERAGE(OFFSET($H$3,0,0,'Données projet'!$E$11+1,1))</f>
        <v>84.664683404322943</v>
      </c>
      <c r="BJ152" s="62">
        <f t="shared" si="146"/>
        <v>79.209234837679901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11.590374222103559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11.590374222103559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-8.5265128291212022E-14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182.76154982630777</v>
      </c>
      <c r="T153" s="62">
        <f t="shared" si="142"/>
        <v>119.92190922866632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72.354219493737276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72.354219493737276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projet'!$B$10,Paramètres!$A$1:$I$88,3,0)*VLOOKUP('Données projet'!$B$10,Paramètres!$A$1:$I$88,5,0)</f>
        <v>-3.3992364478763198E-14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212.1966338656834</v>
      </c>
      <c r="AO153" s="62">
        <f t="shared" si="144"/>
        <v>194.52809733694494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36.074145583458829</v>
      </c>
      <c r="AV153" s="23">
        <f>EXP(-LN(2)/25)*AV152+(1-EXP(-LN(2)/25))/(LN(2)/25)*Calculateur!AQ153*Calculateur!AS153*VLOOKUP('Données projet'!$B$10,Paramètres!$A$1:$I$88,3,0)*0.475*44/12</f>
        <v>4.760416640952104</v>
      </c>
      <c r="AW153" s="23">
        <f>EXP(-LN(2)/2)*AW152+(1-EXP(-LN(2)/2))/(LN(2)/2)*AQ153*AT153*VLOOKUP('Données projet'!$B$10,Paramètres!$A$1:$I$88,3,0)*0.475*44/12</f>
        <v>2.8549138664213897E-11</v>
      </c>
      <c r="AX153" s="23">
        <f t="shared" si="114"/>
        <v>40.83456222443948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1.4210854715202004E-13</v>
      </c>
      <c r="BE153" s="14">
        <f>BD153*VLOOKUP('Données projet'!$B$11,Paramètres!$A$1:$I$88,3,0)*VLOOKUP('Données projet'!$B$11,Paramètres!$A$1:$I$88,5,0)</f>
        <v>1.3744738680543379E-13</v>
      </c>
      <c r="BF153" s="14">
        <f t="shared" si="145"/>
        <v>1.9898001765172164E-12</v>
      </c>
      <c r="BG153" s="22">
        <f t="shared" si="115"/>
        <v>3.7049561727869492E-12</v>
      </c>
      <c r="BH153" s="62">
        <f t="shared" si="116"/>
        <v>293.33333333333701</v>
      </c>
      <c r="BI153" s="62">
        <f ca="1">AVERAGE(OFFSET($BH$3,0,0,'Données projet'!$E$11+1,1))-AVERAGE(OFFSET($H$3,0,0,'Données projet'!$E$11+1,1))</f>
        <v>84.664683404322943</v>
      </c>
      <c r="BJ153" s="62">
        <f t="shared" si="146"/>
        <v>79.209234837679901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11.363094053038335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11.363094053038335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-8.5265128291212022E-14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182.76154982630777</v>
      </c>
      <c r="T154" s="62">
        <f t="shared" si="142"/>
        <v>119.92190922866632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70.935397381181332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70.935397381181332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projet'!$B$10,Paramètres!$A$1:$I$88,3,0)*VLOOKUP('Données projet'!$B$10,Paramètres!$A$1:$I$88,5,0)</f>
        <v>-3.3992364478763198E-14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212.1966338656834</v>
      </c>
      <c r="AO154" s="62">
        <f t="shared" si="144"/>
        <v>194.52809733694494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35.366753591623386</v>
      </c>
      <c r="AV154" s="23">
        <f>EXP(-LN(2)/25)*AV153+(1-EXP(-LN(2)/25))/(LN(2)/25)*Calculateur!AQ154*Calculateur!AS154*VLOOKUP('Données projet'!$B$10,Paramètres!$A$1:$I$88,3,0)*0.475*44/12</f>
        <v>4.6302427975658373</v>
      </c>
      <c r="AW154" s="23">
        <f>EXP(-LN(2)/2)*AW153+(1-EXP(-LN(2)/2))/(LN(2)/2)*AQ154*AT154*VLOOKUP('Données projet'!$B$10,Paramètres!$A$1:$I$88,3,0)*0.475*44/12</f>
        <v>2.0187289546500701E-11</v>
      </c>
      <c r="AX154" s="23">
        <f t="shared" ref="AX154:AX203" si="166">SUM(AU154:AW154)</f>
        <v>39.996996389209407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1.4210854715202004E-13</v>
      </c>
      <c r="BE154" s="14">
        <f>BD154*VLOOKUP('Données projet'!$B$11,Paramètres!$A$1:$I$88,3,0)*VLOOKUP('Données projet'!$B$11,Paramètres!$A$1:$I$88,5,0)</f>
        <v>1.3744738680543379E-13</v>
      </c>
      <c r="BF154" s="14">
        <f t="shared" ref="BF154:BF203" si="167">EXP(-1.0587+0.8836*LN(BE154)+0.284)</f>
        <v>1.9898001765172164E-12</v>
      </c>
      <c r="BG154" s="22">
        <f t="shared" ref="BG154:BG203" si="168">(BE154+BF154)*0.475*44/12</f>
        <v>3.7049561727869492E-12</v>
      </c>
      <c r="BH154" s="62">
        <f t="shared" si="116"/>
        <v>293.33333333333701</v>
      </c>
      <c r="BI154" s="62">
        <f ca="1">AVERAGE(OFFSET($BH$3,0,0,'Données projet'!$E$11+1,1))-AVERAGE(OFFSET($H$3,0,0,'Données projet'!$E$11+1,1))</f>
        <v>84.664683404322943</v>
      </c>
      <c r="BJ154" s="62">
        <f t="shared" si="146"/>
        <v>79.209234837679901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11.140270709461266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11.140270709461266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-8.5265128291212022E-14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182.76154982630777</v>
      </c>
      <c r="T155" s="62">
        <f t="shared" si="142"/>
        <v>119.92190922866632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69.544397504856576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69.544397504856576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projet'!$B$10,Paramètres!$A$1:$I$88,3,0)*VLOOKUP('Données projet'!$B$10,Paramètres!$A$1:$I$88,5,0)</f>
        <v>-3.3992364478763198E-14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212.1966338656834</v>
      </c>
      <c r="AO155" s="62">
        <f t="shared" si="144"/>
        <v>194.52809733694494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34.673233125281328</v>
      </c>
      <c r="AV155" s="23">
        <f>EXP(-LN(2)/25)*AV154+(1-EXP(-LN(2)/25))/(LN(2)/25)*Calculateur!AQ155*Calculateur!AS155*VLOOKUP('Données projet'!$B$10,Paramètres!$A$1:$I$88,3,0)*0.475*44/12</f>
        <v>4.5036285647725132</v>
      </c>
      <c r="AW155" s="23">
        <f>EXP(-LN(2)/2)*AW154+(1-EXP(-LN(2)/2))/(LN(2)/2)*AQ155*AT155*VLOOKUP('Données projet'!$B$10,Paramètres!$A$1:$I$88,3,0)*0.475*44/12</f>
        <v>1.427456933210695E-11</v>
      </c>
      <c r="AX155" s="23">
        <f t="shared" si="166"/>
        <v>39.176861690068115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1.4210854715202004E-13</v>
      </c>
      <c r="BE155" s="14">
        <f>BD155*VLOOKUP('Données projet'!$B$11,Paramètres!$A$1:$I$88,3,0)*VLOOKUP('Données projet'!$B$11,Paramètres!$A$1:$I$88,5,0)</f>
        <v>1.3744738680543379E-13</v>
      </c>
      <c r="BF155" s="14">
        <f t="shared" si="167"/>
        <v>1.9898001765172164E-12</v>
      </c>
      <c r="BG155" s="22">
        <f t="shared" si="168"/>
        <v>3.7049561727869492E-12</v>
      </c>
      <c r="BH155" s="62">
        <f t="shared" si="116"/>
        <v>293.33333333333701</v>
      </c>
      <c r="BI155" s="62">
        <f ca="1">AVERAGE(OFFSET($BH$3,0,0,'Données projet'!$E$11+1,1))-AVERAGE(OFFSET($H$3,0,0,'Données projet'!$E$11+1,1))</f>
        <v>84.664683404322943</v>
      </c>
      <c r="BJ155" s="62">
        <f t="shared" si="146"/>
        <v>79.209234837679901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10.921816795742924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10.921816795742924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-8.5265128291212022E-14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182.76154982630777</v>
      </c>
      <c r="T156" s="62">
        <f t="shared" si="142"/>
        <v>119.92190922866632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68.180674287680404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68.180674287680404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projet'!$B$10,Paramètres!$A$1:$I$88,3,0)*VLOOKUP('Données projet'!$B$10,Paramètres!$A$1:$I$88,5,0)</f>
        <v>-3.3992364478763198E-14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212.1966338656834</v>
      </c>
      <c r="AO156" s="62">
        <f t="shared" si="144"/>
        <v>194.52809733694494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33.993312172278522</v>
      </c>
      <c r="AV156" s="23">
        <f>EXP(-LN(2)/25)*AV155+(1-EXP(-LN(2)/25))/(LN(2)/25)*Calculateur!AQ156*Calculateur!AS156*VLOOKUP('Données projet'!$B$10,Paramètres!$A$1:$I$88,3,0)*0.475*44/12</f>
        <v>4.3804766048332757</v>
      </c>
      <c r="AW156" s="23">
        <f>EXP(-LN(2)/2)*AW155+(1-EXP(-LN(2)/2))/(LN(2)/2)*AQ156*AT156*VLOOKUP('Données projet'!$B$10,Paramètres!$A$1:$I$88,3,0)*0.475*44/12</f>
        <v>1.0093644773250352E-11</v>
      </c>
      <c r="AX156" s="23">
        <f t="shared" si="166"/>
        <v>38.373788777121895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1.4210854715202004E-13</v>
      </c>
      <c r="BE156" s="14">
        <f>BD156*VLOOKUP('Données projet'!$B$11,Paramètres!$A$1:$I$88,3,0)*VLOOKUP('Données projet'!$B$11,Paramètres!$A$1:$I$88,5,0)</f>
        <v>1.3744738680543379E-13</v>
      </c>
      <c r="BF156" s="14">
        <f t="shared" si="167"/>
        <v>1.9898001765172164E-12</v>
      </c>
      <c r="BG156" s="22">
        <f t="shared" si="168"/>
        <v>3.7049561727869492E-12</v>
      </c>
      <c r="BH156" s="62">
        <f t="shared" si="116"/>
        <v>293.33333333333701</v>
      </c>
      <c r="BI156" s="62">
        <f ca="1">AVERAGE(OFFSET($BH$3,0,0,'Données projet'!$E$11+1,1))-AVERAGE(OFFSET($H$3,0,0,'Données projet'!$E$11+1,1))</f>
        <v>84.664683404322943</v>
      </c>
      <c r="BJ156" s="62">
        <f t="shared" si="146"/>
        <v>79.209234837679901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10.707646630028867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10.707646630028867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-8.5265128291212022E-14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182.76154982630777</v>
      </c>
      <c r="T157" s="62">
        <f t="shared" si="142"/>
        <v>119.92190922866632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66.843692851004022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66.843692851004022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projet'!$B$10,Paramètres!$A$1:$I$88,3,0)*VLOOKUP('Données projet'!$B$10,Paramètres!$A$1:$I$88,5,0)</f>
        <v>-3.3992364478763198E-14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212.1966338656834</v>
      </c>
      <c r="AO157" s="62">
        <f t="shared" si="144"/>
        <v>194.52809733694494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33.326724054453265</v>
      </c>
      <c r="AV157" s="23">
        <f>EXP(-LN(2)/25)*AV156+(1-EXP(-LN(2)/25))/(LN(2)/25)*Calculateur!AQ157*Calculateur!AS157*VLOOKUP('Données projet'!$B$10,Paramètres!$A$1:$I$88,3,0)*0.475*44/12</f>
        <v>4.2606922417148567</v>
      </c>
      <c r="AW157" s="23">
        <f>EXP(-LN(2)/2)*AW156+(1-EXP(-LN(2)/2))/(LN(2)/2)*AQ157*AT157*VLOOKUP('Données projet'!$B$10,Paramètres!$A$1:$I$88,3,0)*0.475*44/12</f>
        <v>7.1372846660534766E-12</v>
      </c>
      <c r="AX157" s="23">
        <f t="shared" si="166"/>
        <v>37.587416296175256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1.4210854715202004E-13</v>
      </c>
      <c r="BE157" s="14">
        <f>BD157*VLOOKUP('Données projet'!$B$11,Paramètres!$A$1:$I$88,3,0)*VLOOKUP('Données projet'!$B$11,Paramètres!$A$1:$I$88,5,0)</f>
        <v>1.3744738680543379E-13</v>
      </c>
      <c r="BF157" s="14">
        <f t="shared" si="167"/>
        <v>1.9898001765172164E-12</v>
      </c>
      <c r="BG157" s="22">
        <f t="shared" si="168"/>
        <v>3.7049561727869492E-12</v>
      </c>
      <c r="BH157" s="62">
        <f t="shared" si="116"/>
        <v>293.33333333333701</v>
      </c>
      <c r="BI157" s="62">
        <f ca="1">AVERAGE(OFFSET($BH$3,0,0,'Données projet'!$E$11+1,1))-AVERAGE(OFFSET($H$3,0,0,'Données projet'!$E$11+1,1))</f>
        <v>84.664683404322943</v>
      </c>
      <c r="BJ157" s="62">
        <f t="shared" si="146"/>
        <v>79.209234837679901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10.497676210633561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10.497676210633561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-8.5265128291212022E-14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182.76154982630777</v>
      </c>
      <c r="T158" s="62">
        <f t="shared" si="142"/>
        <v>119.92190922866632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65.532928804822703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65.532928804822703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projet'!$B$10,Paramètres!$A$1:$I$88,3,0)*VLOOKUP('Données projet'!$B$10,Paramètres!$A$1:$I$88,5,0)</f>
        <v>-3.3992364478763198E-14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212.1966338656834</v>
      </c>
      <c r="AO158" s="62">
        <f t="shared" si="144"/>
        <v>194.52809733694494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32.673207323039954</v>
      </c>
      <c r="AV158" s="23">
        <f>EXP(-LN(2)/25)*AV157+(1-EXP(-LN(2)/25))/(LN(2)/25)*Calculateur!AQ158*Calculateur!AS158*VLOOKUP('Données projet'!$B$10,Paramètres!$A$1:$I$88,3,0)*0.475*44/12</f>
        <v>4.1441833883050974</v>
      </c>
      <c r="AW158" s="23">
        <f>EXP(-LN(2)/2)*AW157+(1-EXP(-LN(2)/2))/(LN(2)/2)*AQ158*AT158*VLOOKUP('Données projet'!$B$10,Paramètres!$A$1:$I$88,3,0)*0.475*44/12</f>
        <v>5.0468223866251768E-12</v>
      </c>
      <c r="AX158" s="23">
        <f t="shared" si="166"/>
        <v>36.817390711350093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1.4210854715202004E-13</v>
      </c>
      <c r="BE158" s="14">
        <f>BD158*VLOOKUP('Données projet'!$B$11,Paramètres!$A$1:$I$88,3,0)*VLOOKUP('Données projet'!$B$11,Paramètres!$A$1:$I$88,5,0)</f>
        <v>1.3744738680543379E-13</v>
      </c>
      <c r="BF158" s="14">
        <f t="shared" si="167"/>
        <v>1.9898001765172164E-12</v>
      </c>
      <c r="BG158" s="22">
        <f t="shared" si="168"/>
        <v>3.7049561727869492E-12</v>
      </c>
      <c r="BH158" s="62">
        <f t="shared" si="116"/>
        <v>293.33333333333701</v>
      </c>
      <c r="BI158" s="62">
        <f ca="1">AVERAGE(OFFSET($BH$3,0,0,'Données projet'!$E$11+1,1))-AVERAGE(OFFSET($H$3,0,0,'Données projet'!$E$11+1,1))</f>
        <v>84.664683404322943</v>
      </c>
      <c r="BJ158" s="62">
        <f t="shared" si="146"/>
        <v>79.209234837679901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10.291823183093285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10.291823183093285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-8.5265128291212022E-14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182.76154982630777</v>
      </c>
      <c r="T159" s="62">
        <f t="shared" si="142"/>
        <v>119.92190922866632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64.247868042099881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64.247868042099881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projet'!$B$10,Paramètres!$A$1:$I$88,3,0)*VLOOKUP('Données projet'!$B$10,Paramètres!$A$1:$I$88,5,0)</f>
        <v>-3.3992364478763198E-14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212.1966338656834</v>
      </c>
      <c r="AO159" s="62">
        <f t="shared" si="144"/>
        <v>194.52809733694494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32.03250565612381</v>
      </c>
      <c r="AV159" s="23">
        <f>EXP(-LN(2)/25)*AV158+(1-EXP(-LN(2)/25))/(LN(2)/25)*Calculateur!AQ159*Calculateur!AS159*VLOOKUP('Données projet'!$B$10,Paramètres!$A$1:$I$88,3,0)*0.475*44/12</f>
        <v>4.0308604756187618</v>
      </c>
      <c r="AW159" s="23">
        <f>EXP(-LN(2)/2)*AW158+(1-EXP(-LN(2)/2))/(LN(2)/2)*AQ159*AT159*VLOOKUP('Données projet'!$B$10,Paramètres!$A$1:$I$88,3,0)*0.475*44/12</f>
        <v>3.5686423330267387E-12</v>
      </c>
      <c r="AX159" s="23">
        <f t="shared" si="166"/>
        <v>36.063366131746136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1.4210854715202004E-13</v>
      </c>
      <c r="BE159" s="14">
        <f>BD159*VLOOKUP('Données projet'!$B$11,Paramètres!$A$1:$I$88,3,0)*VLOOKUP('Données projet'!$B$11,Paramètres!$A$1:$I$88,5,0)</f>
        <v>1.3744738680543379E-13</v>
      </c>
      <c r="BF159" s="14">
        <f t="shared" si="167"/>
        <v>1.9898001765172164E-12</v>
      </c>
      <c r="BG159" s="22">
        <f t="shared" si="168"/>
        <v>3.7049561727869492E-12</v>
      </c>
      <c r="BH159" s="62">
        <f t="shared" si="116"/>
        <v>293.33333333333701</v>
      </c>
      <c r="BI159" s="62">
        <f ca="1">AVERAGE(OFFSET($BH$3,0,0,'Données projet'!$E$11+1,1))-AVERAGE(OFFSET($H$3,0,0,'Données projet'!$E$11+1,1))</f>
        <v>84.664683404322943</v>
      </c>
      <c r="BJ159" s="62">
        <f t="shared" si="146"/>
        <v>79.209234837679901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10.090006807865127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10.090006807865127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-8.5265128291212022E-14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182.76154982630777</v>
      </c>
      <c r="T160" s="62">
        <f t="shared" si="142"/>
        <v>119.92190922866632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62.988006537124377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62.988006537124377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projet'!$B$10,Paramètres!$A$1:$I$88,3,0)*VLOOKUP('Données projet'!$B$10,Paramètres!$A$1:$I$88,5,0)</f>
        <v>-3.3992364478763198E-14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212.1966338656834</v>
      </c>
      <c r="AO160" s="62">
        <f t="shared" si="144"/>
        <v>194.52809733694494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31.404367758106464</v>
      </c>
      <c r="AV160" s="23">
        <f>EXP(-LN(2)/25)*AV159+(1-EXP(-LN(2)/25))/(LN(2)/25)*Calculateur!AQ160*Calculateur!AS160*VLOOKUP('Données projet'!$B$10,Paramètres!$A$1:$I$88,3,0)*0.475*44/12</f>
        <v>3.9206363839392271</v>
      </c>
      <c r="AW160" s="23">
        <f>EXP(-LN(2)/2)*AW159+(1-EXP(-LN(2)/2))/(LN(2)/2)*AQ160*AT160*VLOOKUP('Données projet'!$B$10,Paramètres!$A$1:$I$88,3,0)*0.475*44/12</f>
        <v>2.5234111933125888E-12</v>
      </c>
      <c r="AX160" s="23">
        <f t="shared" si="166"/>
        <v>35.325004142048215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1.4210854715202004E-13</v>
      </c>
      <c r="BE160" s="14">
        <f>BD160*VLOOKUP('Données projet'!$B$11,Paramètres!$A$1:$I$88,3,0)*VLOOKUP('Données projet'!$B$11,Paramètres!$A$1:$I$88,5,0)</f>
        <v>1.3744738680543379E-13</v>
      </c>
      <c r="BF160" s="14">
        <f t="shared" si="167"/>
        <v>1.9898001765172164E-12</v>
      </c>
      <c r="BG160" s="22">
        <f t="shared" si="168"/>
        <v>3.7049561727869492E-12</v>
      </c>
      <c r="BH160" s="62">
        <f t="shared" si="116"/>
        <v>293.33333333333701</v>
      </c>
      <c r="BI160" s="62">
        <f ca="1">AVERAGE(OFFSET($BH$3,0,0,'Données projet'!$E$11+1,1))-AVERAGE(OFFSET($H$3,0,0,'Données projet'!$E$11+1,1))</f>
        <v>84.664683404322943</v>
      </c>
      <c r="BJ160" s="62">
        <f t="shared" si="146"/>
        <v>79.209234837679901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9.8921479286593588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9.8921479286593588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-8.5265128291212022E-14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182.76154982630777</v>
      </c>
      <c r="T161" s="62">
        <f t="shared" si="142"/>
        <v>119.92190922866632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61.752850147821803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61.752850147821803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projet'!$B$10,Paramètres!$A$1:$I$88,3,0)*VLOOKUP('Données projet'!$B$10,Paramètres!$A$1:$I$88,5,0)</f>
        <v>-3.3992364478763198E-14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212.1966338656834</v>
      </c>
      <c r="AO161" s="62">
        <f t="shared" si="144"/>
        <v>194.52809733694494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30.788547261142952</v>
      </c>
      <c r="AV161" s="23">
        <f>EXP(-LN(2)/25)*AV160+(1-EXP(-LN(2)/25))/(LN(2)/25)*Calculateur!AQ161*Calculateur!AS161*VLOOKUP('Données projet'!$B$10,Paramètres!$A$1:$I$88,3,0)*0.475*44/12</f>
        <v>3.8134263758431022</v>
      </c>
      <c r="AW161" s="23">
        <f>EXP(-LN(2)/2)*AW160+(1-EXP(-LN(2)/2))/(LN(2)/2)*AQ161*AT161*VLOOKUP('Données projet'!$B$10,Paramètres!$A$1:$I$88,3,0)*0.475*44/12</f>
        <v>1.7843211665133695E-12</v>
      </c>
      <c r="AX161" s="23">
        <f t="shared" si="166"/>
        <v>34.601973636987836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1.4210854715202004E-13</v>
      </c>
      <c r="BE161" s="14">
        <f>BD161*VLOOKUP('Données projet'!$B$11,Paramètres!$A$1:$I$88,3,0)*VLOOKUP('Données projet'!$B$11,Paramètres!$A$1:$I$88,5,0)</f>
        <v>1.3744738680543379E-13</v>
      </c>
      <c r="BF161" s="14">
        <f t="shared" si="167"/>
        <v>1.9898001765172164E-12</v>
      </c>
      <c r="BG161" s="22">
        <f t="shared" si="168"/>
        <v>3.7049561727869492E-12</v>
      </c>
      <c r="BH161" s="62">
        <f t="shared" si="116"/>
        <v>293.33333333333701</v>
      </c>
      <c r="BI161" s="62">
        <f ca="1">AVERAGE(OFFSET($BH$3,0,0,'Données projet'!$E$11+1,1))-AVERAGE(OFFSET($H$3,0,0,'Données projet'!$E$11+1,1))</f>
        <v>84.664683404322943</v>
      </c>
      <c r="BJ161" s="62">
        <f t="shared" si="146"/>
        <v>79.209234837679901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9.6981689413928152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9.6981689413928152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-8.5265128291212022E-14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182.76154982630777</v>
      </c>
      <c r="T162" s="62">
        <f t="shared" si="142"/>
        <v>119.92190922866632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60.541914421942444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60.541914421942444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projet'!$B$10,Paramètres!$A$1:$I$88,3,0)*VLOOKUP('Données projet'!$B$10,Paramètres!$A$1:$I$88,5,0)</f>
        <v>-3.3992364478763198E-14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212.1966338656834</v>
      </c>
      <c r="AO162" s="62">
        <f t="shared" si="144"/>
        <v>194.52809733694494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30.184802628511481</v>
      </c>
      <c r="AV162" s="23">
        <f>EXP(-LN(2)/25)*AV161+(1-EXP(-LN(2)/25))/(LN(2)/25)*Calculateur!AQ162*Calculateur!AS162*VLOOKUP('Données projet'!$B$10,Paramètres!$A$1:$I$88,3,0)*0.475*44/12</f>
        <v>3.7091480310562952</v>
      </c>
      <c r="AW162" s="23">
        <f>EXP(-LN(2)/2)*AW161+(1-EXP(-LN(2)/2))/(LN(2)/2)*AQ162*AT162*VLOOKUP('Données projet'!$B$10,Paramètres!$A$1:$I$88,3,0)*0.475*44/12</f>
        <v>1.2617055966562946E-12</v>
      </c>
      <c r="AX162" s="23">
        <f t="shared" si="166"/>
        <v>33.893950659569043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1.4210854715202004E-13</v>
      </c>
      <c r="BE162" s="14">
        <f>BD162*VLOOKUP('Données projet'!$B$11,Paramètres!$A$1:$I$88,3,0)*VLOOKUP('Données projet'!$B$11,Paramètres!$A$1:$I$88,5,0)</f>
        <v>1.3744738680543379E-13</v>
      </c>
      <c r="BF162" s="14">
        <f t="shared" si="167"/>
        <v>1.9898001765172164E-12</v>
      </c>
      <c r="BG162" s="22">
        <f t="shared" si="168"/>
        <v>3.7049561727869492E-12</v>
      </c>
      <c r="BH162" s="62">
        <f t="shared" si="116"/>
        <v>293.33333333333701</v>
      </c>
      <c r="BI162" s="62">
        <f ca="1">AVERAGE(OFFSET($BH$3,0,0,'Données projet'!$E$11+1,1))-AVERAGE(OFFSET($H$3,0,0,'Données projet'!$E$11+1,1))</f>
        <v>84.664683404322943</v>
      </c>
      <c r="BJ162" s="62">
        <f t="shared" si="146"/>
        <v>79.209234837679901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9.5079937637510685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9.5079937637510685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-8.5265128291212022E-14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182.76154982630777</v>
      </c>
      <c r="T163" s="62">
        <f t="shared" si="142"/>
        <v>119.92190922866632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59.354724407049716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59.354724407049716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projet'!$B$10,Paramètres!$A$1:$I$88,3,0)*VLOOKUP('Données projet'!$B$10,Paramètres!$A$1:$I$88,5,0)</f>
        <v>-3.3992364478763198E-14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212.1966338656834</v>
      </c>
      <c r="AO163" s="62">
        <f t="shared" si="144"/>
        <v>194.52809733694494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29.592897059878048</v>
      </c>
      <c r="AV163" s="23">
        <f>EXP(-LN(2)/25)*AV162+(1-EXP(-LN(2)/25))/(LN(2)/25)*Calculateur!AQ163*Calculateur!AS163*VLOOKUP('Données projet'!$B$10,Paramètres!$A$1:$I$88,3,0)*0.475*44/12</f>
        <v>3.6077211830914431</v>
      </c>
      <c r="AW163" s="23">
        <f>EXP(-LN(2)/2)*AW162+(1-EXP(-LN(2)/2))/(LN(2)/2)*AQ163*AT163*VLOOKUP('Données projet'!$B$10,Paramètres!$A$1:$I$88,3,0)*0.475*44/12</f>
        <v>8.9216058325668497E-13</v>
      </c>
      <c r="AX163" s="23">
        <f t="shared" si="166"/>
        <v>33.200618242970386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1.4210854715202004E-13</v>
      </c>
      <c r="BE163" s="14">
        <f>BD163*VLOOKUP('Données projet'!$B$11,Paramètres!$A$1:$I$88,3,0)*VLOOKUP('Données projet'!$B$11,Paramètres!$A$1:$I$88,5,0)</f>
        <v>1.3744738680543379E-13</v>
      </c>
      <c r="BF163" s="14">
        <f t="shared" si="167"/>
        <v>1.9898001765172164E-12</v>
      </c>
      <c r="BG163" s="22">
        <f t="shared" si="168"/>
        <v>3.7049561727869492E-12</v>
      </c>
      <c r="BH163" s="62">
        <f t="shared" si="116"/>
        <v>293.33333333333701</v>
      </c>
      <c r="BI163" s="62">
        <f ca="1">AVERAGE(OFFSET($BH$3,0,0,'Données projet'!$E$11+1,1))-AVERAGE(OFFSET($H$3,0,0,'Données projet'!$E$11+1,1))</f>
        <v>84.664683404322943</v>
      </c>
      <c r="BJ163" s="62">
        <f t="shared" si="146"/>
        <v>79.209234837679901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9.321547805347473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9.321547805347473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-8.5265128291212022E-14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182.76154982630777</v>
      </c>
      <c r="T164" s="62">
        <f t="shared" si="142"/>
        <v>119.92190922866632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58.190814464234627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58.190814464234627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projet'!$B$10,Paramètres!$A$1:$I$88,3,0)*VLOOKUP('Données projet'!$B$10,Paramètres!$A$1:$I$88,5,0)</f>
        <v>-3.3992364478763198E-14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212.1966338656834</v>
      </c>
      <c r="AO164" s="62">
        <f t="shared" si="144"/>
        <v>194.52809733694494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29.012598398418767</v>
      </c>
      <c r="AV164" s="23">
        <f>EXP(-LN(2)/25)*AV163+(1-EXP(-LN(2)/25))/(LN(2)/25)*Calculateur!AQ164*Calculateur!AS164*VLOOKUP('Données projet'!$B$10,Paramètres!$A$1:$I$88,3,0)*0.475*44/12</f>
        <v>3.5090678576179961</v>
      </c>
      <c r="AW164" s="23">
        <f>EXP(-LN(2)/2)*AW163+(1-EXP(-LN(2)/2))/(LN(2)/2)*AQ164*AT164*VLOOKUP('Données projet'!$B$10,Paramètres!$A$1:$I$88,3,0)*0.475*44/12</f>
        <v>6.308527983281474E-13</v>
      </c>
      <c r="AX164" s="23">
        <f t="shared" si="166"/>
        <v>32.521666256037399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1.4210854715202004E-13</v>
      </c>
      <c r="BE164" s="14">
        <f>BD164*VLOOKUP('Données projet'!$B$11,Paramètres!$A$1:$I$88,3,0)*VLOOKUP('Données projet'!$B$11,Paramètres!$A$1:$I$88,5,0)</f>
        <v>1.3744738680543379E-13</v>
      </c>
      <c r="BF164" s="14">
        <f t="shared" si="167"/>
        <v>1.9898001765172164E-12</v>
      </c>
      <c r="BG164" s="22">
        <f t="shared" si="168"/>
        <v>3.7049561727869492E-12</v>
      </c>
      <c r="BH164" s="62">
        <f t="shared" si="116"/>
        <v>293.33333333333701</v>
      </c>
      <c r="BI164" s="62">
        <f ca="1">AVERAGE(OFFSET($BH$3,0,0,'Données projet'!$E$11+1,1))-AVERAGE(OFFSET($H$3,0,0,'Données projet'!$E$11+1,1))</f>
        <v>84.664683404322943</v>
      </c>
      <c r="BJ164" s="62">
        <f t="shared" si="146"/>
        <v>79.209234837679901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9.1387579384673661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9.1387579384673661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-8.5265128291212022E-14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182.76154982630777</v>
      </c>
      <c r="T165" s="62">
        <f t="shared" si="142"/>
        <v>119.92190922866632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57.049728085483174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57.049728085483174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projet'!$B$10,Paramètres!$A$1:$I$88,3,0)*VLOOKUP('Données projet'!$B$10,Paramètres!$A$1:$I$88,5,0)</f>
        <v>-3.3992364478763198E-14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212.1966338656834</v>
      </c>
      <c r="AO165" s="62">
        <f t="shared" si="144"/>
        <v>194.52809733694494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28.44367903976347</v>
      </c>
      <c r="AV165" s="23">
        <f>EXP(-LN(2)/25)*AV164+(1-EXP(-LN(2)/25))/(LN(2)/25)*Calculateur!AQ165*Calculateur!AS165*VLOOKUP('Données projet'!$B$10,Paramètres!$A$1:$I$88,3,0)*0.475*44/12</f>
        <v>3.4131122125175732</v>
      </c>
      <c r="AW165" s="23">
        <f>EXP(-LN(2)/2)*AW164+(1-EXP(-LN(2)/2))/(LN(2)/2)*AQ165*AT165*VLOOKUP('Données projet'!$B$10,Paramètres!$A$1:$I$88,3,0)*0.475*44/12</f>
        <v>4.4608029162834254E-13</v>
      </c>
      <c r="AX165" s="23">
        <f t="shared" si="166"/>
        <v>31.856791252281489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1.4210854715202004E-13</v>
      </c>
      <c r="BE165" s="14">
        <f>BD165*VLOOKUP('Données projet'!$B$11,Paramètres!$A$1:$I$88,3,0)*VLOOKUP('Données projet'!$B$11,Paramètres!$A$1:$I$88,5,0)</f>
        <v>1.3744738680543379E-13</v>
      </c>
      <c r="BF165" s="14">
        <f t="shared" si="167"/>
        <v>1.9898001765172164E-12</v>
      </c>
      <c r="BG165" s="22">
        <f t="shared" si="168"/>
        <v>3.7049561727869492E-12</v>
      </c>
      <c r="BH165" s="62">
        <f t="shared" si="116"/>
        <v>293.33333333333701</v>
      </c>
      <c r="BI165" s="62">
        <f ca="1">AVERAGE(OFFSET($BH$3,0,0,'Données projet'!$E$11+1,1))-AVERAGE(OFFSET($H$3,0,0,'Données projet'!$E$11+1,1))</f>
        <v>84.664683404322943</v>
      </c>
      <c r="BJ165" s="62">
        <f t="shared" si="146"/>
        <v>79.209234837679901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8.9595524693859669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8.9595524693859669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-8.5265128291212022E-14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182.76154982630777</v>
      </c>
      <c r="T166" s="62">
        <f t="shared" si="142"/>
        <v>119.92190922866632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55.931017714625071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55.931017714625071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projet'!$B$10,Paramètres!$A$1:$I$88,3,0)*VLOOKUP('Données projet'!$B$10,Paramètres!$A$1:$I$88,5,0)</f>
        <v>-3.3992364478763198E-14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212.1966338656834</v>
      </c>
      <c r="AO166" s="62">
        <f t="shared" si="144"/>
        <v>194.52809733694494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27.885915842724859</v>
      </c>
      <c r="AV166" s="23">
        <f>EXP(-LN(2)/25)*AV165+(1-EXP(-LN(2)/25))/(LN(2)/25)*Calculateur!AQ166*Calculateur!AS166*VLOOKUP('Données projet'!$B$10,Paramètres!$A$1:$I$88,3,0)*0.475*44/12</f>
        <v>3.3197804795785095</v>
      </c>
      <c r="AW166" s="23">
        <f>EXP(-LN(2)/2)*AW165+(1-EXP(-LN(2)/2))/(LN(2)/2)*AQ166*AT166*VLOOKUP('Données projet'!$B$10,Paramètres!$A$1:$I$88,3,0)*0.475*44/12</f>
        <v>3.1542639916407375E-13</v>
      </c>
      <c r="AX166" s="23">
        <f t="shared" si="166"/>
        <v>31.205696322303684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1.4210854715202004E-13</v>
      </c>
      <c r="BE166" s="14">
        <f>BD166*VLOOKUP('Données projet'!$B$11,Paramètres!$A$1:$I$88,3,0)*VLOOKUP('Données projet'!$B$11,Paramètres!$A$1:$I$88,5,0)</f>
        <v>1.3744738680543379E-13</v>
      </c>
      <c r="BF166" s="14">
        <f t="shared" si="167"/>
        <v>1.9898001765172164E-12</v>
      </c>
      <c r="BG166" s="22">
        <f t="shared" si="168"/>
        <v>3.7049561727869492E-12</v>
      </c>
      <c r="BH166" s="62">
        <f t="shared" si="116"/>
        <v>293.33333333333701</v>
      </c>
      <c r="BI166" s="62">
        <f ca="1">AVERAGE(OFFSET($BH$3,0,0,'Données projet'!$E$11+1,1))-AVERAGE(OFFSET($H$3,0,0,'Données projet'!$E$11+1,1))</f>
        <v>84.664683404322943</v>
      </c>
      <c r="BJ166" s="62">
        <f t="shared" si="146"/>
        <v>79.209234837679901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8.7838611102487114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8.7838611102487114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-8.5265128291212022E-14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182.76154982630777</v>
      </c>
      <c r="T167" s="62">
        <f t="shared" si="142"/>
        <v>119.92190922866632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54.834244571793548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54.834244571793548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projet'!$B$10,Paramètres!$A$1:$I$88,3,0)*VLOOKUP('Données projet'!$B$10,Paramètres!$A$1:$I$88,5,0)</f>
        <v>-3.3992364478763198E-14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212.1966338656834</v>
      </c>
      <c r="AO167" s="62">
        <f t="shared" si="144"/>
        <v>194.52809733694494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27.339090041778217</v>
      </c>
      <c r="AV167" s="23">
        <f>EXP(-LN(2)/25)*AV166+(1-EXP(-LN(2)/25))/(LN(2)/25)*Calculateur!AQ167*Calculateur!AS167*VLOOKUP('Données projet'!$B$10,Paramètres!$A$1:$I$88,3,0)*0.475*44/12</f>
        <v>3.229000907784767</v>
      </c>
      <c r="AW167" s="23">
        <f>EXP(-LN(2)/2)*AW166+(1-EXP(-LN(2)/2))/(LN(2)/2)*AQ167*AT167*VLOOKUP('Données projet'!$B$10,Paramètres!$A$1:$I$88,3,0)*0.475*44/12</f>
        <v>2.2304014581417132E-13</v>
      </c>
      <c r="AX167" s="23">
        <f t="shared" si="166"/>
        <v>30.568090949563206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1.4210854715202004E-13</v>
      </c>
      <c r="BE167" s="14">
        <f>BD167*VLOOKUP('Données projet'!$B$11,Paramètres!$A$1:$I$88,3,0)*VLOOKUP('Données projet'!$B$11,Paramètres!$A$1:$I$88,5,0)</f>
        <v>1.3744738680543379E-13</v>
      </c>
      <c r="BF167" s="14">
        <f t="shared" si="167"/>
        <v>1.9898001765172164E-12</v>
      </c>
      <c r="BG167" s="22">
        <f t="shared" si="168"/>
        <v>3.7049561727869492E-12</v>
      </c>
      <c r="BH167" s="62">
        <f t="shared" si="116"/>
        <v>293.33333333333701</v>
      </c>
      <c r="BI167" s="62">
        <f ca="1">AVERAGE(OFFSET($BH$3,0,0,'Données projet'!$E$11+1,1))-AVERAGE(OFFSET($H$3,0,0,'Données projet'!$E$11+1,1))</f>
        <v>84.664683404322943</v>
      </c>
      <c r="BJ167" s="62">
        <f t="shared" si="146"/>
        <v>79.209234837679901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8.6116149515029896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8.6116149515029896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-8.5265128291212022E-14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182.76154982630777</v>
      </c>
      <c r="T168" s="62">
        <f t="shared" si="142"/>
        <v>119.92190922866632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53.758978481327389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53.758978481327389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projet'!$B$10,Paramètres!$A$1:$I$88,3,0)*VLOOKUP('Données projet'!$B$10,Paramètres!$A$1:$I$88,5,0)</f>
        <v>-3.3992364478763198E-14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212.1966338656834</v>
      </c>
      <c r="AO168" s="62">
        <f t="shared" si="144"/>
        <v>194.52809733694494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26.802987161257331</v>
      </c>
      <c r="AV168" s="23">
        <f>EXP(-LN(2)/25)*AV167+(1-EXP(-LN(2)/25))/(LN(2)/25)*Calculateur!AQ168*Calculateur!AS168*VLOOKUP('Données projet'!$B$10,Paramètres!$A$1:$I$88,3,0)*0.475*44/12</f>
        <v>3.1407037081556148</v>
      </c>
      <c r="AW168" s="23">
        <f>EXP(-LN(2)/2)*AW167+(1-EXP(-LN(2)/2))/(LN(2)/2)*AQ168*AT168*VLOOKUP('Données projet'!$B$10,Paramètres!$A$1:$I$88,3,0)*0.475*44/12</f>
        <v>1.577131995820369E-13</v>
      </c>
      <c r="AX168" s="23">
        <f t="shared" si="166"/>
        <v>29.943690869413103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1.4210854715202004E-13</v>
      </c>
      <c r="BE168" s="14">
        <f>BD168*VLOOKUP('Données projet'!$B$11,Paramètres!$A$1:$I$88,3,0)*VLOOKUP('Données projet'!$B$11,Paramètres!$A$1:$I$88,5,0)</f>
        <v>1.3744738680543379E-13</v>
      </c>
      <c r="BF168" s="14">
        <f t="shared" si="167"/>
        <v>1.9898001765172164E-12</v>
      </c>
      <c r="BG168" s="22">
        <f t="shared" si="168"/>
        <v>3.7049561727869492E-12</v>
      </c>
      <c r="BH168" s="62">
        <f t="shared" si="116"/>
        <v>293.33333333333701</v>
      </c>
      <c r="BI168" s="62">
        <f ca="1">AVERAGE(OFFSET($BH$3,0,0,'Données projet'!$E$11+1,1))-AVERAGE(OFFSET($H$3,0,0,'Données projet'!$E$11+1,1))</f>
        <v>84.664683404322943</v>
      </c>
      <c r="BJ168" s="62">
        <f t="shared" si="146"/>
        <v>79.209234837679901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8.4427464348704877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8.4427464348704877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-8.5265128291212022E-14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182.76154982630777</v>
      </c>
      <c r="T169" s="62">
        <f t="shared" si="142"/>
        <v>119.92190922866632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52.704797703047717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52.704797703047717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projet'!$B$10,Paramètres!$A$1:$I$88,3,0)*VLOOKUP('Données projet'!$B$10,Paramètres!$A$1:$I$88,5,0)</f>
        <v>-3.3992364478763198E-14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212.1966338656834</v>
      </c>
      <c r="AO169" s="62">
        <f t="shared" si="144"/>
        <v>194.52809733694494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26.277396931232992</v>
      </c>
      <c r="AV169" s="23">
        <f>EXP(-LN(2)/25)*AV168+(1-EXP(-LN(2)/25))/(LN(2)/25)*Calculateur!AQ169*Calculateur!AS169*VLOOKUP('Données projet'!$B$10,Paramètres!$A$1:$I$88,3,0)*0.475*44/12</f>
        <v>3.0548210000936695</v>
      </c>
      <c r="AW169" s="23">
        <f>EXP(-LN(2)/2)*AW168+(1-EXP(-LN(2)/2))/(LN(2)/2)*AQ169*AT169*VLOOKUP('Données projet'!$B$10,Paramètres!$A$1:$I$88,3,0)*0.475*44/12</f>
        <v>1.1152007290708567E-13</v>
      </c>
      <c r="AX169" s="23">
        <f t="shared" si="166"/>
        <v>29.33221793132677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1.4210854715202004E-13</v>
      </c>
      <c r="BE169" s="14">
        <f>BD169*VLOOKUP('Données projet'!$B$11,Paramètres!$A$1:$I$88,3,0)*VLOOKUP('Données projet'!$B$11,Paramètres!$A$1:$I$88,5,0)</f>
        <v>1.3744738680543379E-13</v>
      </c>
      <c r="BF169" s="14">
        <f t="shared" si="167"/>
        <v>1.9898001765172164E-12</v>
      </c>
      <c r="BG169" s="22">
        <f t="shared" si="168"/>
        <v>3.7049561727869492E-12</v>
      </c>
      <c r="BH169" s="62">
        <f t="shared" si="116"/>
        <v>293.33333333333701</v>
      </c>
      <c r="BI169" s="62">
        <f ca="1">AVERAGE(OFFSET($BH$3,0,0,'Données projet'!$E$11+1,1))-AVERAGE(OFFSET($H$3,0,0,'Données projet'!$E$11+1,1))</f>
        <v>84.664683404322943</v>
      </c>
      <c r="BJ169" s="62">
        <f t="shared" si="146"/>
        <v>79.209234837679901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8.2771893268495251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8.2771893268495251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-8.5265128291212022E-14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182.76154982630777</v>
      </c>
      <c r="T170" s="62">
        <f t="shared" si="142"/>
        <v>119.92190922866632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51.671288766843325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51.671288766843325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projet'!$B$10,Paramètres!$A$1:$I$88,3,0)*VLOOKUP('Données projet'!$B$10,Paramètres!$A$1:$I$88,5,0)</f>
        <v>-3.3992364478763198E-14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212.1966338656834</v>
      </c>
      <c r="AO170" s="62">
        <f t="shared" si="144"/>
        <v>194.52809733694494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25.762113205041043</v>
      </c>
      <c r="AV170" s="23">
        <f>EXP(-LN(2)/25)*AV169+(1-EXP(-LN(2)/25))/(LN(2)/25)*Calculateur!AQ170*Calculateur!AS170*VLOOKUP('Données projet'!$B$10,Paramètres!$A$1:$I$88,3,0)*0.475*44/12</f>
        <v>2.9712867592000536</v>
      </c>
      <c r="AW170" s="23">
        <f>EXP(-LN(2)/2)*AW169+(1-EXP(-LN(2)/2))/(LN(2)/2)*AQ170*AT170*VLOOKUP('Données projet'!$B$10,Paramètres!$A$1:$I$88,3,0)*0.475*44/12</f>
        <v>7.8856599791018463E-14</v>
      </c>
      <c r="AX170" s="23">
        <f t="shared" si="166"/>
        <v>28.733399964241176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1.4210854715202004E-13</v>
      </c>
      <c r="BE170" s="14">
        <f>BD170*VLOOKUP('Données projet'!$B$11,Paramètres!$A$1:$I$88,3,0)*VLOOKUP('Données projet'!$B$11,Paramètres!$A$1:$I$88,5,0)</f>
        <v>1.3744738680543379E-13</v>
      </c>
      <c r="BF170" s="14">
        <f t="shared" si="167"/>
        <v>1.9898001765172164E-12</v>
      </c>
      <c r="BG170" s="22">
        <f t="shared" si="168"/>
        <v>3.7049561727869492E-12</v>
      </c>
      <c r="BH170" s="62">
        <f t="shared" si="116"/>
        <v>293.33333333333701</v>
      </c>
      <c r="BI170" s="62">
        <f ca="1">AVERAGE(OFFSET($BH$3,0,0,'Données projet'!$E$11+1,1))-AVERAGE(OFFSET($H$3,0,0,'Données projet'!$E$11+1,1))</f>
        <v>84.664683404322943</v>
      </c>
      <c r="BJ170" s="62">
        <f t="shared" si="146"/>
        <v>79.209234837679901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8.1148786927369887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8.1148786927369887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-8.5265128291212022E-14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182.76154982630777</v>
      </c>
      <c r="T171" s="62">
        <f t="shared" si="142"/>
        <v>119.92190922866632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50.658046310499692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50.658046310499692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projet'!$B$10,Paramètres!$A$1:$I$88,3,0)*VLOOKUP('Données projet'!$B$10,Paramètres!$A$1:$I$88,5,0)</f>
        <v>-3.3992364478763198E-14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212.1966338656834</v>
      </c>
      <c r="AO171" s="62">
        <f t="shared" si="144"/>
        <v>194.52809733694494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25.256933878427681</v>
      </c>
      <c r="AV171" s="23">
        <f>EXP(-LN(2)/25)*AV170+(1-EXP(-LN(2)/25))/(LN(2)/25)*Calculateur!AQ171*Calculateur!AS171*VLOOKUP('Données projet'!$B$10,Paramètres!$A$1:$I$88,3,0)*0.475*44/12</f>
        <v>2.8900367665165483</v>
      </c>
      <c r="AW171" s="23">
        <f>EXP(-LN(2)/2)*AW170+(1-EXP(-LN(2)/2))/(LN(2)/2)*AQ171*AT171*VLOOKUP('Données projet'!$B$10,Paramètres!$A$1:$I$88,3,0)*0.475*44/12</f>
        <v>5.5760036453542842E-14</v>
      </c>
      <c r="AX171" s="23">
        <f t="shared" si="166"/>
        <v>28.146970644944286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1.4210854715202004E-13</v>
      </c>
      <c r="BE171" s="14">
        <f>BD171*VLOOKUP('Données projet'!$B$11,Paramètres!$A$1:$I$88,3,0)*VLOOKUP('Données projet'!$B$11,Paramètres!$A$1:$I$88,5,0)</f>
        <v>1.3744738680543379E-13</v>
      </c>
      <c r="BF171" s="14">
        <f t="shared" si="167"/>
        <v>1.9898001765172164E-12</v>
      </c>
      <c r="BG171" s="22">
        <f t="shared" si="168"/>
        <v>3.7049561727869492E-12</v>
      </c>
      <c r="BH171" s="62">
        <f t="shared" si="116"/>
        <v>293.33333333333701</v>
      </c>
      <c r="BI171" s="62">
        <f ca="1">AVERAGE(OFFSET($BH$3,0,0,'Données projet'!$E$11+1,1))-AVERAGE(OFFSET($H$3,0,0,'Données projet'!$E$11+1,1))</f>
        <v>84.664683404322943</v>
      </c>
      <c r="BJ171" s="62">
        <f t="shared" si="146"/>
        <v>79.209234837679901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7.9557508711596876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7.9557508711596876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-8.5265128291212022E-14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182.76154982630777</v>
      </c>
      <c r="T172" s="62">
        <f t="shared" si="142"/>
        <v>119.92190922866632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49.664672920708085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49.664672920708085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projet'!$B$10,Paramètres!$A$1:$I$88,3,0)*VLOOKUP('Données projet'!$B$10,Paramètres!$A$1:$I$88,5,0)</f>
        <v>-3.3992364478763198E-14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212.1966338656834</v>
      </c>
      <c r="AO172" s="62">
        <f t="shared" si="144"/>
        <v>194.52809733694494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24.76166081028024</v>
      </c>
      <c r="AV172" s="23">
        <f>EXP(-LN(2)/25)*AV171+(1-EXP(-LN(2)/25))/(LN(2)/25)*Calculateur!AQ172*Calculateur!AS172*VLOOKUP('Données projet'!$B$10,Paramètres!$A$1:$I$88,3,0)*0.475*44/12</f>
        <v>2.811008559155725</v>
      </c>
      <c r="AW172" s="23">
        <f>EXP(-LN(2)/2)*AW171+(1-EXP(-LN(2)/2))/(LN(2)/2)*AQ172*AT172*VLOOKUP('Données projet'!$B$10,Paramètres!$A$1:$I$88,3,0)*0.475*44/12</f>
        <v>3.9428299895509238E-14</v>
      </c>
      <c r="AX172" s="23">
        <f t="shared" si="166"/>
        <v>27.572669369436003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1.4210854715202004E-13</v>
      </c>
      <c r="BE172" s="14">
        <f>BD172*VLOOKUP('Données projet'!$B$11,Paramètres!$A$1:$I$88,3,0)*VLOOKUP('Données projet'!$B$11,Paramètres!$A$1:$I$88,5,0)</f>
        <v>1.3744738680543379E-13</v>
      </c>
      <c r="BF172" s="14">
        <f t="shared" si="167"/>
        <v>1.9898001765172164E-12</v>
      </c>
      <c r="BG172" s="22">
        <f t="shared" si="168"/>
        <v>3.7049561727869492E-12</v>
      </c>
      <c r="BH172" s="62">
        <f t="shared" si="116"/>
        <v>293.33333333333701</v>
      </c>
      <c r="BI172" s="62">
        <f ca="1">AVERAGE(OFFSET($BH$3,0,0,'Données projet'!$E$11+1,1))-AVERAGE(OFFSET($H$3,0,0,'Données projet'!$E$11+1,1))</f>
        <v>84.664683404322943</v>
      </c>
      <c r="BJ172" s="62">
        <f t="shared" si="146"/>
        <v>79.209234837679901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7.7997434491051303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7.7997434491051303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-8.5265128291212022E-14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182.76154982630777</v>
      </c>
      <c r="T173" s="62">
        <f t="shared" si="142"/>
        <v>119.92190922866632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48.690778977192352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48.690778977192352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projet'!$B$10,Paramètres!$A$1:$I$88,3,0)*VLOOKUP('Données projet'!$B$10,Paramètres!$A$1:$I$88,5,0)</f>
        <v>-3.3992364478763198E-14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212.1966338656834</v>
      </c>
      <c r="AO173" s="62">
        <f t="shared" si="144"/>
        <v>194.52809733694494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24.276099744912429</v>
      </c>
      <c r="AV173" s="23">
        <f>EXP(-LN(2)/25)*AV172+(1-EXP(-LN(2)/25))/(LN(2)/25)*Calculateur!AQ173*Calculateur!AS173*VLOOKUP('Données projet'!$B$10,Paramètres!$A$1:$I$88,3,0)*0.475*44/12</f>
        <v>2.7341413822810963</v>
      </c>
      <c r="AW173" s="23">
        <f>EXP(-LN(2)/2)*AW172+(1-EXP(-LN(2)/2))/(LN(2)/2)*AQ173*AT173*VLOOKUP('Données projet'!$B$10,Paramètres!$A$1:$I$88,3,0)*0.475*44/12</f>
        <v>2.7880018226771427E-14</v>
      </c>
      <c r="AX173" s="23">
        <f t="shared" si="166"/>
        <v>27.010241127193552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1.4210854715202004E-13</v>
      </c>
      <c r="BE173" s="14">
        <f>BD173*VLOOKUP('Données projet'!$B$11,Paramètres!$A$1:$I$88,3,0)*VLOOKUP('Données projet'!$B$11,Paramètres!$A$1:$I$88,5,0)</f>
        <v>1.3744738680543379E-13</v>
      </c>
      <c r="BF173" s="14">
        <f t="shared" si="167"/>
        <v>1.9898001765172164E-12</v>
      </c>
      <c r="BG173" s="22">
        <f t="shared" si="168"/>
        <v>3.7049561727869492E-12</v>
      </c>
      <c r="BH173" s="62">
        <f t="shared" si="116"/>
        <v>293.33333333333701</v>
      </c>
      <c r="BI173" s="62">
        <f ca="1">AVERAGE(OFFSET($BH$3,0,0,'Données projet'!$E$11+1,1))-AVERAGE(OFFSET($H$3,0,0,'Données projet'!$E$11+1,1))</f>
        <v>84.664683404322943</v>
      </c>
      <c r="BJ173" s="62">
        <f t="shared" si="146"/>
        <v>79.209234837679901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7.646795237441931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7.646795237441931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-8.5265128291212022E-14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182.76154982630777</v>
      </c>
      <c r="T174" s="62">
        <f t="shared" si="142"/>
        <v>119.92190922866632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47.735982499892309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47.735982499892309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projet'!$B$10,Paramètres!$A$1:$I$88,3,0)*VLOOKUP('Données projet'!$B$10,Paramètres!$A$1:$I$88,5,0)</f>
        <v>-3.3992364478763198E-14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212.1966338656834</v>
      </c>
      <c r="AO174" s="62">
        <f t="shared" si="144"/>
        <v>194.52809733694494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23.800060235873474</v>
      </c>
      <c r="AV174" s="23">
        <f>EXP(-LN(2)/25)*AV173+(1-EXP(-LN(2)/25))/(LN(2)/25)*Calculateur!AQ174*Calculateur!AS174*VLOOKUP('Données projet'!$B$10,Paramètres!$A$1:$I$88,3,0)*0.475*44/12</f>
        <v>2.6593761424003732</v>
      </c>
      <c r="AW174" s="23">
        <f>EXP(-LN(2)/2)*AW173+(1-EXP(-LN(2)/2))/(LN(2)/2)*AQ174*AT174*VLOOKUP('Données projet'!$B$10,Paramètres!$A$1:$I$88,3,0)*0.475*44/12</f>
        <v>1.9714149947754622E-14</v>
      </c>
      <c r="AX174" s="23">
        <f t="shared" si="166"/>
        <v>26.459436378273868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1.4210854715202004E-13</v>
      </c>
      <c r="BE174" s="14">
        <f>BD174*VLOOKUP('Données projet'!$B$11,Paramètres!$A$1:$I$88,3,0)*VLOOKUP('Données projet'!$B$11,Paramètres!$A$1:$I$88,5,0)</f>
        <v>1.3744738680543379E-13</v>
      </c>
      <c r="BF174" s="14">
        <f t="shared" si="167"/>
        <v>1.9898001765172164E-12</v>
      </c>
      <c r="BG174" s="22">
        <f t="shared" si="168"/>
        <v>3.7049561727869492E-12</v>
      </c>
      <c r="BH174" s="62">
        <f t="shared" si="116"/>
        <v>293.33333333333701</v>
      </c>
      <c r="BI174" s="62">
        <f ca="1">AVERAGE(OFFSET($BH$3,0,0,'Données projet'!$E$11+1,1))-AVERAGE(OFFSET($H$3,0,0,'Données projet'!$E$11+1,1))</f>
        <v>84.664683404322943</v>
      </c>
      <c r="BJ174" s="62">
        <f t="shared" si="146"/>
        <v>79.209234837679901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7.4968462469202493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7.4968462469202493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-8.5265128291212022E-14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182.76154982630777</v>
      </c>
      <c r="T175" s="62">
        <f t="shared" si="142"/>
        <v>119.92190922866632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46.799908999143774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46.799908999143774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projet'!$B$10,Paramètres!$A$1:$I$88,3,0)*VLOOKUP('Données projet'!$B$10,Paramètres!$A$1:$I$88,5,0)</f>
        <v>-3.3992364478763198E-14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212.1966338656834</v>
      </c>
      <c r="AO175" s="62">
        <f t="shared" si="144"/>
        <v>194.52809733694494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23.333355571251342</v>
      </c>
      <c r="AV175" s="23">
        <f>EXP(-LN(2)/25)*AV174+(1-EXP(-LN(2)/25))/(LN(2)/25)*Calculateur!AQ175*Calculateur!AS175*VLOOKUP('Données projet'!$B$10,Paramètres!$A$1:$I$88,3,0)*0.475*44/12</f>
        <v>2.5866553619359216</v>
      </c>
      <c r="AW175" s="23">
        <f>EXP(-LN(2)/2)*AW174+(1-EXP(-LN(2)/2))/(LN(2)/2)*AQ175*AT175*VLOOKUP('Données projet'!$B$10,Paramètres!$A$1:$I$88,3,0)*0.475*44/12</f>
        <v>1.3940009113385715E-14</v>
      </c>
      <c r="AX175" s="23">
        <f t="shared" si="166"/>
        <v>25.920010933187278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1.4210854715202004E-13</v>
      </c>
      <c r="BE175" s="14">
        <f>BD175*VLOOKUP('Données projet'!$B$11,Paramètres!$A$1:$I$88,3,0)*VLOOKUP('Données projet'!$B$11,Paramètres!$A$1:$I$88,5,0)</f>
        <v>1.3744738680543379E-13</v>
      </c>
      <c r="BF175" s="14">
        <f t="shared" si="167"/>
        <v>1.9898001765172164E-12</v>
      </c>
      <c r="BG175" s="22">
        <f t="shared" si="168"/>
        <v>3.7049561727869492E-12</v>
      </c>
      <c r="BH175" s="62">
        <f t="shared" si="116"/>
        <v>293.33333333333701</v>
      </c>
      <c r="BI175" s="62">
        <f ca="1">AVERAGE(OFFSET($BH$3,0,0,'Données projet'!$E$11+1,1))-AVERAGE(OFFSET($H$3,0,0,'Données projet'!$E$11+1,1))</f>
        <v>84.664683404322943</v>
      </c>
      <c r="BJ175" s="62">
        <f t="shared" si="146"/>
        <v>79.209234837679901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7.3498376646428447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7.3498376646428447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-8.5265128291212022E-14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182.76154982630777</v>
      </c>
      <c r="T176" s="62">
        <f t="shared" si="142"/>
        <v>119.92190922866632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45.882191328796459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45.882191328796459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projet'!$B$10,Paramètres!$A$1:$I$88,3,0)*VLOOKUP('Données projet'!$B$10,Paramètres!$A$1:$I$88,5,0)</f>
        <v>-3.3992364478763198E-14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212.1966338656834</v>
      </c>
      <c r="AO176" s="62">
        <f t="shared" si="144"/>
        <v>194.52809733694494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22.875802700440715</v>
      </c>
      <c r="AV176" s="23">
        <f>EXP(-LN(2)/25)*AV175+(1-EXP(-LN(2)/25))/(LN(2)/25)*Calculateur!AQ176*Calculateur!AS176*VLOOKUP('Données projet'!$B$10,Paramètres!$A$1:$I$88,3,0)*0.475*44/12</f>
        <v>2.5159231350374904</v>
      </c>
      <c r="AW176" s="23">
        <f>EXP(-LN(2)/2)*AW175+(1-EXP(-LN(2)/2))/(LN(2)/2)*AQ176*AT176*VLOOKUP('Données projet'!$B$10,Paramètres!$A$1:$I$88,3,0)*0.475*44/12</f>
        <v>9.8570749738773126E-15</v>
      </c>
      <c r="AX176" s="23">
        <f t="shared" si="166"/>
        <v>25.391725835478216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1.4210854715202004E-13</v>
      </c>
      <c r="BE176" s="14">
        <f>BD176*VLOOKUP('Données projet'!$B$11,Paramètres!$A$1:$I$88,3,0)*VLOOKUP('Données projet'!$B$11,Paramètres!$A$1:$I$88,5,0)</f>
        <v>1.3744738680543379E-13</v>
      </c>
      <c r="BF176" s="14">
        <f t="shared" si="167"/>
        <v>1.9898001765172164E-12</v>
      </c>
      <c r="BG176" s="22">
        <f t="shared" si="168"/>
        <v>3.7049561727869492E-12</v>
      </c>
      <c r="BH176" s="62">
        <f t="shared" si="116"/>
        <v>293.33333333333701</v>
      </c>
      <c r="BI176" s="62">
        <f ca="1">AVERAGE(OFFSET($BH$3,0,0,'Données projet'!$E$11+1,1))-AVERAGE(OFFSET($H$3,0,0,'Données projet'!$E$11+1,1))</f>
        <v>84.664683404322943</v>
      </c>
      <c r="BJ176" s="62">
        <f t="shared" si="146"/>
        <v>79.209234837679901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7.2057118309975188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7.2057118309975188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-8.5265128291212022E-14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182.76154982630777</v>
      </c>
      <c r="T177" s="62">
        <f t="shared" si="142"/>
        <v>119.92190922866632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44.982469542212144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44.982469542212144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projet'!$B$10,Paramètres!$A$1:$I$88,3,0)*VLOOKUP('Données projet'!$B$10,Paramètres!$A$1:$I$88,5,0)</f>
        <v>-3.3992364478763198E-14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212.1966338656834</v>
      </c>
      <c r="AO177" s="62">
        <f t="shared" si="144"/>
        <v>194.52809733694494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22.42722216234699</v>
      </c>
      <c r="AV177" s="23">
        <f>EXP(-LN(2)/25)*AV176+(1-EXP(-LN(2)/25))/(LN(2)/25)*Calculateur!AQ177*Calculateur!AS177*VLOOKUP('Données projet'!$B$10,Paramètres!$A$1:$I$88,3,0)*0.475*44/12</f>
        <v>2.4471250846032429</v>
      </c>
      <c r="AW177" s="23">
        <f>EXP(-LN(2)/2)*AW176+(1-EXP(-LN(2)/2))/(LN(2)/2)*AQ177*AT177*VLOOKUP('Données projet'!$B$10,Paramètres!$A$1:$I$88,3,0)*0.475*44/12</f>
        <v>6.9700045566928592E-15</v>
      </c>
      <c r="AX177" s="23">
        <f t="shared" si="166"/>
        <v>24.87434724695024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1.4210854715202004E-13</v>
      </c>
      <c r="BE177" s="14">
        <f>BD177*VLOOKUP('Données projet'!$B$11,Paramètres!$A$1:$I$88,3,0)*VLOOKUP('Données projet'!$B$11,Paramètres!$A$1:$I$88,5,0)</f>
        <v>1.3744738680543379E-13</v>
      </c>
      <c r="BF177" s="14">
        <f t="shared" si="167"/>
        <v>1.9898001765172164E-12</v>
      </c>
      <c r="BG177" s="22">
        <f t="shared" si="168"/>
        <v>3.7049561727869492E-12</v>
      </c>
      <c r="BH177" s="62">
        <f t="shared" si="116"/>
        <v>293.33333333333701</v>
      </c>
      <c r="BI177" s="62">
        <f ca="1">AVERAGE(OFFSET($BH$3,0,0,'Données projet'!$E$11+1,1))-AVERAGE(OFFSET($H$3,0,0,'Données projet'!$E$11+1,1))</f>
        <v>84.664683404322943</v>
      </c>
      <c r="BJ177" s="62">
        <f t="shared" si="146"/>
        <v>79.209234837679901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7.064412217041899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7.064412217041899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-8.5265128291212022E-14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182.76154982630777</v>
      </c>
      <c r="T178" s="62">
        <f t="shared" si="142"/>
        <v>119.92190922866632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44.100390751086643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44.100390751086643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projet'!$B$10,Paramètres!$A$1:$I$88,3,0)*VLOOKUP('Données projet'!$B$10,Paramètres!$A$1:$I$88,5,0)</f>
        <v>-3.3992364478763198E-14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212.1966338656834</v>
      </c>
      <c r="AO178" s="62">
        <f t="shared" si="144"/>
        <v>194.52809733694494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21.987438014998169</v>
      </c>
      <c r="AV178" s="23">
        <f>EXP(-LN(2)/25)*AV177+(1-EXP(-LN(2)/25))/(LN(2)/25)*Calculateur!AQ178*Calculateur!AS178*VLOOKUP('Données projet'!$B$10,Paramètres!$A$1:$I$88,3,0)*0.475*44/12</f>
        <v>2.380208320476052</v>
      </c>
      <c r="AW178" s="23">
        <f>EXP(-LN(2)/2)*AW177+(1-EXP(-LN(2)/2))/(LN(2)/2)*AQ178*AT178*VLOOKUP('Données projet'!$B$10,Paramètres!$A$1:$I$88,3,0)*0.475*44/12</f>
        <v>4.9285374869386571E-15</v>
      </c>
      <c r="AX178" s="23">
        <f t="shared" si="166"/>
        <v>24.367646335474223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1.4210854715202004E-13</v>
      </c>
      <c r="BE178" s="14">
        <f>BD178*VLOOKUP('Données projet'!$B$11,Paramètres!$A$1:$I$88,3,0)*VLOOKUP('Données projet'!$B$11,Paramètres!$A$1:$I$88,5,0)</f>
        <v>1.3744738680543379E-13</v>
      </c>
      <c r="BF178" s="14">
        <f t="shared" si="167"/>
        <v>1.9898001765172164E-12</v>
      </c>
      <c r="BG178" s="22">
        <f t="shared" si="168"/>
        <v>3.7049561727869492E-12</v>
      </c>
      <c r="BH178" s="62">
        <f t="shared" si="116"/>
        <v>293.33333333333701</v>
      </c>
      <c r="BI178" s="62">
        <f ca="1">AVERAGE(OFFSET($BH$3,0,0,'Données projet'!$E$11+1,1))-AVERAGE(OFFSET($H$3,0,0,'Données projet'!$E$11+1,1))</f>
        <v>84.664683404322943</v>
      </c>
      <c r="BJ178" s="62">
        <f t="shared" si="146"/>
        <v>79.209234837679901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6.9258834023316949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6.9258834023316949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-8.5265128291212022E-14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182.76154982630777</v>
      </c>
      <c r="T179" s="62">
        <f t="shared" si="142"/>
        <v>119.92190922866632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43.23560898704018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43.23560898704018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projet'!$B$10,Paramètres!$A$1:$I$88,3,0)*VLOOKUP('Données projet'!$B$10,Paramètres!$A$1:$I$88,5,0)</f>
        <v>-3.3992364478763198E-14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212.1966338656834</v>
      </c>
      <c r="AO179" s="62">
        <f t="shared" si="144"/>
        <v>194.52809733694494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21.556277766537015</v>
      </c>
      <c r="AV179" s="23">
        <f>EXP(-LN(2)/25)*AV178+(1-EXP(-LN(2)/25))/(LN(2)/25)*Calculateur!AQ179*Calculateur!AS179*VLOOKUP('Données projet'!$B$10,Paramètres!$A$1:$I$88,3,0)*0.475*44/12</f>
        <v>2.3151213987829187</v>
      </c>
      <c r="AW179" s="23">
        <f>EXP(-LN(2)/2)*AW178+(1-EXP(-LN(2)/2))/(LN(2)/2)*AQ179*AT179*VLOOKUP('Données projet'!$B$10,Paramètres!$A$1:$I$88,3,0)*0.475*44/12</f>
        <v>3.48500227834643E-15</v>
      </c>
      <c r="AX179" s="23">
        <f t="shared" si="166"/>
        <v>23.871399165319936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1.4210854715202004E-13</v>
      </c>
      <c r="BE179" s="14">
        <f>BD179*VLOOKUP('Données projet'!$B$11,Paramètres!$A$1:$I$88,3,0)*VLOOKUP('Données projet'!$B$11,Paramètres!$A$1:$I$88,5,0)</f>
        <v>1.3744738680543379E-13</v>
      </c>
      <c r="BF179" s="14">
        <f t="shared" si="167"/>
        <v>1.9898001765172164E-12</v>
      </c>
      <c r="BG179" s="22">
        <f t="shared" si="168"/>
        <v>3.7049561727869492E-12</v>
      </c>
      <c r="BH179" s="62">
        <f t="shared" si="116"/>
        <v>293.33333333333701</v>
      </c>
      <c r="BI179" s="62">
        <f ca="1">AVERAGE(OFFSET($BH$3,0,0,'Données projet'!$E$11+1,1))-AVERAGE(OFFSET($H$3,0,0,'Données projet'!$E$11+1,1))</f>
        <v>84.664683404322943</v>
      </c>
      <c r="BJ179" s="62">
        <f t="shared" si="146"/>
        <v>79.209234837679901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6.7900710531837234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6.7900710531837234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-8.5265128291212022E-14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182.76154982630777</v>
      </c>
      <c r="T180" s="62">
        <f t="shared" si="142"/>
        <v>119.92190922866632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42.387785065921875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42.387785065921875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projet'!$B$10,Paramètres!$A$1:$I$88,3,0)*VLOOKUP('Données projet'!$B$10,Paramètres!$A$1:$I$88,5,0)</f>
        <v>-3.3992364478763198E-14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212.1966338656834</v>
      </c>
      <c r="AO180" s="62">
        <f t="shared" si="144"/>
        <v>194.52809733694494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21.1335723075664</v>
      </c>
      <c r="AV180" s="23">
        <f>EXP(-LN(2)/25)*AV179+(1-EXP(-LN(2)/25))/(LN(2)/25)*Calculateur!AQ180*Calculateur!AS180*VLOOKUP('Données projet'!$B$10,Paramètres!$A$1:$I$88,3,0)*0.475*44/12</f>
        <v>2.2518142823862566</v>
      </c>
      <c r="AW180" s="23">
        <f>EXP(-LN(2)/2)*AW179+(1-EXP(-LN(2)/2))/(LN(2)/2)*AQ180*AT180*VLOOKUP('Données projet'!$B$10,Paramètres!$A$1:$I$88,3,0)*0.475*44/12</f>
        <v>2.4642687434693289E-15</v>
      </c>
      <c r="AX180" s="23">
        <f t="shared" si="166"/>
        <v>23.38538658995266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1.4210854715202004E-13</v>
      </c>
      <c r="BE180" s="14">
        <f>BD180*VLOOKUP('Données projet'!$B$11,Paramètres!$A$1:$I$88,3,0)*VLOOKUP('Données projet'!$B$11,Paramètres!$A$1:$I$88,5,0)</f>
        <v>1.3744738680543379E-13</v>
      </c>
      <c r="BF180" s="14">
        <f t="shared" si="167"/>
        <v>1.9898001765172164E-12</v>
      </c>
      <c r="BG180" s="22">
        <f t="shared" si="168"/>
        <v>3.7049561727869492E-12</v>
      </c>
      <c r="BH180" s="62">
        <f t="shared" si="116"/>
        <v>293.33333333333701</v>
      </c>
      <c r="BI180" s="62">
        <f ca="1">AVERAGE(OFFSET($BH$3,0,0,'Données projet'!$E$11+1,1))-AVERAGE(OFFSET($H$3,0,0,'Données projet'!$E$11+1,1))</f>
        <v>84.664683404322943</v>
      </c>
      <c r="BJ180" s="62">
        <f t="shared" si="146"/>
        <v>79.209234837679901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6.6569219013651901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6.6569219013651901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-8.5265128291212022E-14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182.76154982630777</v>
      </c>
      <c r="T181" s="62">
        <f t="shared" si="142"/>
        <v>119.92190922866632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41.556586454775164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41.556586454775164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projet'!$B$10,Paramètres!$A$1:$I$88,3,0)*VLOOKUP('Données projet'!$B$10,Paramètres!$A$1:$I$88,5,0)</f>
        <v>-3.3992364478763198E-14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212.1966338656834</v>
      </c>
      <c r="AO181" s="62">
        <f t="shared" si="144"/>
        <v>194.52809733694494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20.71915584482133</v>
      </c>
      <c r="AV181" s="23">
        <f>EXP(-LN(2)/25)*AV180+(1-EXP(-LN(2)/25))/(LN(2)/25)*Calculateur!AQ181*Calculateur!AS181*VLOOKUP('Données projet'!$B$10,Paramètres!$A$1:$I$88,3,0)*0.475*44/12</f>
        <v>2.1902383024166379</v>
      </c>
      <c r="AW181" s="23">
        <f>EXP(-LN(2)/2)*AW180+(1-EXP(-LN(2)/2))/(LN(2)/2)*AQ181*AT181*VLOOKUP('Données projet'!$B$10,Paramètres!$A$1:$I$88,3,0)*0.475*44/12</f>
        <v>1.7425011391732154E-15</v>
      </c>
      <c r="AX181" s="23">
        <f t="shared" si="166"/>
        <v>22.909394147237968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1.4210854715202004E-13</v>
      </c>
      <c r="BE181" s="14">
        <f>BD181*VLOOKUP('Données projet'!$B$11,Paramètres!$A$1:$I$88,3,0)*VLOOKUP('Données projet'!$B$11,Paramètres!$A$1:$I$88,5,0)</f>
        <v>1.3744738680543379E-13</v>
      </c>
      <c r="BF181" s="14">
        <f t="shared" si="167"/>
        <v>1.9898001765172164E-12</v>
      </c>
      <c r="BG181" s="22">
        <f t="shared" si="168"/>
        <v>3.7049561727869492E-12</v>
      </c>
      <c r="BH181" s="62">
        <f t="shared" si="116"/>
        <v>293.33333333333701</v>
      </c>
      <c r="BI181" s="62">
        <f ca="1">AVERAGE(OFFSET($BH$3,0,0,'Données projet'!$E$11+1,1))-AVERAGE(OFFSET($H$3,0,0,'Données projet'!$E$11+1,1))</f>
        <v>84.664683404322943</v>
      </c>
      <c r="BJ181" s="62">
        <f t="shared" si="146"/>
        <v>79.209234837679901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6.5263837232008548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6.5263837232008548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-8.5265128291212022E-14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182.76154982630777</v>
      </c>
      <c r="T182" s="62">
        <f t="shared" si="142"/>
        <v>119.92190922866632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40.741687141411951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40.741687141411951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projet'!$B$10,Paramètres!$A$1:$I$88,3,0)*VLOOKUP('Données projet'!$B$10,Paramètres!$A$1:$I$88,5,0)</f>
        <v>-3.3992364478763198E-14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212.1966338656834</v>
      </c>
      <c r="AO182" s="62">
        <f t="shared" si="144"/>
        <v>194.52809733694494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20.312865836141604</v>
      </c>
      <c r="AV182" s="23">
        <f>EXP(-LN(2)/25)*AV181+(1-EXP(-LN(2)/25))/(LN(2)/25)*Calculateur!AQ182*Calculateur!AS182*VLOOKUP('Données projet'!$B$10,Paramètres!$A$1:$I$88,3,0)*0.475*44/12</f>
        <v>2.1303461208574284</v>
      </c>
      <c r="AW182" s="23">
        <f>EXP(-LN(2)/2)*AW181+(1-EXP(-LN(2)/2))/(LN(2)/2)*AQ182*AT182*VLOOKUP('Données projet'!$B$10,Paramètres!$A$1:$I$88,3,0)*0.475*44/12</f>
        <v>1.2321343717346647E-15</v>
      </c>
      <c r="AX182" s="23">
        <f t="shared" si="166"/>
        <v>22.443211956999033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1.4210854715202004E-13</v>
      </c>
      <c r="BE182" s="14">
        <f>BD182*VLOOKUP('Données projet'!$B$11,Paramètres!$A$1:$I$88,3,0)*VLOOKUP('Données projet'!$B$11,Paramètres!$A$1:$I$88,5,0)</f>
        <v>1.3744738680543379E-13</v>
      </c>
      <c r="BF182" s="14">
        <f t="shared" si="167"/>
        <v>1.9898001765172164E-12</v>
      </c>
      <c r="BG182" s="22">
        <f t="shared" si="168"/>
        <v>3.7049561727869492E-12</v>
      </c>
      <c r="BH182" s="62">
        <f t="shared" si="116"/>
        <v>293.33333333333701</v>
      </c>
      <c r="BI182" s="62">
        <f ca="1">AVERAGE(OFFSET($BH$3,0,0,'Données projet'!$E$11+1,1))-AVERAGE(OFFSET($H$3,0,0,'Données projet'!$E$11+1,1))</f>
        <v>84.664683404322943</v>
      </c>
      <c r="BJ182" s="62">
        <f t="shared" si="146"/>
        <v>79.209234837679901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6.3984053190898953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6.3984053190898953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-8.5265128291212022E-14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182.76154982630777</v>
      </c>
      <c r="T183" s="62">
        <f t="shared" si="142"/>
        <v>119.92190922866632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39.942767506544286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39.942767506544286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projet'!$B$10,Paramètres!$A$1:$I$88,3,0)*VLOOKUP('Données projet'!$B$10,Paramètres!$A$1:$I$88,5,0)</f>
        <v>-3.3992364478763198E-14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212.1966338656834</v>
      </c>
      <c r="AO183" s="62">
        <f t="shared" si="144"/>
        <v>194.52809733694494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19.914542926719655</v>
      </c>
      <c r="AV183" s="23">
        <f>EXP(-LN(2)/25)*AV182+(1-EXP(-LN(2)/25))/(LN(2)/25)*Calculateur!AQ183*Calculateur!AS183*VLOOKUP('Données projet'!$B$10,Paramètres!$A$1:$I$88,3,0)*0.475*44/12</f>
        <v>2.0720916941525487</v>
      </c>
      <c r="AW183" s="23">
        <f>EXP(-LN(2)/2)*AW182+(1-EXP(-LN(2)/2))/(LN(2)/2)*AQ183*AT183*VLOOKUP('Données projet'!$B$10,Paramètres!$A$1:$I$88,3,0)*0.475*44/12</f>
        <v>8.712505695866078E-16</v>
      </c>
      <c r="AX183" s="23">
        <f t="shared" si="166"/>
        <v>21.986634620872202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1.4210854715202004E-13</v>
      </c>
      <c r="BE183" s="14">
        <f>BD183*VLOOKUP('Données projet'!$B$11,Paramètres!$A$1:$I$88,3,0)*VLOOKUP('Données projet'!$B$11,Paramètres!$A$1:$I$88,5,0)</f>
        <v>1.3744738680543379E-13</v>
      </c>
      <c r="BF183" s="14">
        <f t="shared" si="167"/>
        <v>1.9898001765172164E-12</v>
      </c>
      <c r="BG183" s="22">
        <f t="shared" si="168"/>
        <v>3.7049561727869492E-12</v>
      </c>
      <c r="BH183" s="62">
        <f t="shared" si="116"/>
        <v>293.33333333333701</v>
      </c>
      <c r="BI183" s="62">
        <f ca="1">AVERAGE(OFFSET($BH$3,0,0,'Données projet'!$E$11+1,1))-AVERAGE(OFFSET($H$3,0,0,'Données projet'!$E$11+1,1))</f>
        <v>84.664683404322943</v>
      </c>
      <c r="BJ183" s="62">
        <f t="shared" si="146"/>
        <v>79.209234837679901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6.2729364934244334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6.2729364934244334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-8.5265128291212022E-14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182.76154982630777</v>
      </c>
      <c r="T184" s="62">
        <f t="shared" si="142"/>
        <v>119.92190922866632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39.159514198423516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39.159514198423516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projet'!$B$10,Paramètres!$A$1:$I$88,3,0)*VLOOKUP('Données projet'!$B$10,Paramètres!$A$1:$I$88,5,0)</f>
        <v>-3.3992364478763198E-14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212.1966338656834</v>
      </c>
      <c r="AO184" s="62">
        <f t="shared" si="144"/>
        <v>194.52809733694494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19.524030886598485</v>
      </c>
      <c r="AV184" s="23">
        <f>EXP(-LN(2)/25)*AV183+(1-EXP(-LN(2)/25))/(LN(2)/25)*Calculateur!AQ184*Calculateur!AS184*VLOOKUP('Données projet'!$B$10,Paramètres!$A$1:$I$88,3,0)*0.475*44/12</f>
        <v>2.0154302378093809</v>
      </c>
      <c r="AW184" s="23">
        <f>EXP(-LN(2)/2)*AW183+(1-EXP(-LN(2)/2))/(LN(2)/2)*AQ184*AT184*VLOOKUP('Données projet'!$B$10,Paramètres!$A$1:$I$88,3,0)*0.475*44/12</f>
        <v>6.1606718586733243E-16</v>
      </c>
      <c r="AX184" s="23">
        <f t="shared" si="166"/>
        <v>21.539461124407865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1.4210854715202004E-13</v>
      </c>
      <c r="BE184" s="14">
        <f>BD184*VLOOKUP('Données projet'!$B$11,Paramètres!$A$1:$I$88,3,0)*VLOOKUP('Données projet'!$B$11,Paramètres!$A$1:$I$88,5,0)</f>
        <v>1.3744738680543379E-13</v>
      </c>
      <c r="BF184" s="14">
        <f t="shared" si="167"/>
        <v>1.9898001765172164E-12</v>
      </c>
      <c r="BG184" s="22">
        <f t="shared" si="168"/>
        <v>3.7049561727869492E-12</v>
      </c>
      <c r="BH184" s="62">
        <f t="shared" si="116"/>
        <v>293.33333333333701</v>
      </c>
      <c r="BI184" s="62">
        <f ca="1">AVERAGE(OFFSET($BH$3,0,0,'Données projet'!$E$11+1,1))-AVERAGE(OFFSET($H$3,0,0,'Données projet'!$E$11+1,1))</f>
        <v>84.664683404322943</v>
      </c>
      <c r="BJ184" s="62">
        <f t="shared" si="146"/>
        <v>79.209234837679901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6.1499280349018441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6.1499280349018441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-8.5265128291212022E-14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182.76154982630777</v>
      </c>
      <c r="T185" s="62">
        <f t="shared" si="142"/>
        <v>119.92190922866632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38.391620009937647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38.391620009937647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projet'!$B$10,Paramètres!$A$1:$I$88,3,0)*VLOOKUP('Données projet'!$B$10,Paramètres!$A$1:$I$88,5,0)</f>
        <v>-3.3992364478763198E-14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212.1966338656834</v>
      </c>
      <c r="AO185" s="62">
        <f t="shared" si="144"/>
        <v>194.52809733694494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19.141176549395265</v>
      </c>
      <c r="AV185" s="23">
        <f>EXP(-LN(2)/25)*AV184+(1-EXP(-LN(2)/25))/(LN(2)/25)*Calculateur!AQ185*Calculateur!AS185*VLOOKUP('Données projet'!$B$10,Paramètres!$A$1:$I$88,3,0)*0.475*44/12</f>
        <v>1.9603181919696135</v>
      </c>
      <c r="AW185" s="23">
        <f>EXP(-LN(2)/2)*AW184+(1-EXP(-LN(2)/2))/(LN(2)/2)*AQ185*AT185*VLOOKUP('Données projet'!$B$10,Paramètres!$A$1:$I$88,3,0)*0.475*44/12</f>
        <v>4.3562528479330395E-16</v>
      </c>
      <c r="AX185" s="23">
        <f t="shared" si="166"/>
        <v>21.101494741364878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1.4210854715202004E-13</v>
      </c>
      <c r="BE185" s="14">
        <f>BD185*VLOOKUP('Données projet'!$B$11,Paramètres!$A$1:$I$88,3,0)*VLOOKUP('Données projet'!$B$11,Paramètres!$A$1:$I$88,5,0)</f>
        <v>1.3744738680543379E-13</v>
      </c>
      <c r="BF185" s="14">
        <f t="shared" si="167"/>
        <v>1.9898001765172164E-12</v>
      </c>
      <c r="BG185" s="22">
        <f t="shared" si="168"/>
        <v>3.7049561727869492E-12</v>
      </c>
      <c r="BH185" s="62">
        <f t="shared" si="116"/>
        <v>293.33333333333701</v>
      </c>
      <c r="BI185" s="62">
        <f ca="1">AVERAGE(OFFSET($BH$3,0,0,'Données projet'!$E$11+1,1))-AVERAGE(OFFSET($H$3,0,0,'Données projet'!$E$11+1,1))</f>
        <v>84.664683404322943</v>
      </c>
      <c r="BJ185" s="62">
        <f t="shared" si="146"/>
        <v>79.209234837679901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6.0293316972231317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6.0293316972231317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-8.5265128291212022E-14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182.76154982630777</v>
      </c>
      <c r="T186" s="62">
        <f t="shared" si="142"/>
        <v>119.92190922866632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37.638783758118784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37.638783758118784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projet'!$B$10,Paramètres!$A$1:$I$88,3,0)*VLOOKUP('Données projet'!$B$10,Paramètres!$A$1:$I$88,5,0)</f>
        <v>-3.3992364478763198E-14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212.1966338656834</v>
      </c>
      <c r="AO186" s="62">
        <f t="shared" si="144"/>
        <v>194.52809733694494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18.765829752226512</v>
      </c>
      <c r="AV186" s="23">
        <f>EXP(-LN(2)/25)*AV185+(1-EXP(-LN(2)/25))/(LN(2)/25)*Calculateur!AQ186*Calculateur!AS186*VLOOKUP('Données projet'!$B$10,Paramètres!$A$1:$I$88,3,0)*0.475*44/12</f>
        <v>1.9067131879215511</v>
      </c>
      <c r="AW186" s="23">
        <f>EXP(-LN(2)/2)*AW185+(1-EXP(-LN(2)/2))/(LN(2)/2)*AQ186*AT186*VLOOKUP('Données projet'!$B$10,Paramètres!$A$1:$I$88,3,0)*0.475*44/12</f>
        <v>3.0803359293366627E-16</v>
      </c>
      <c r="AX186" s="23">
        <f t="shared" si="166"/>
        <v>20.672542940148062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1.4210854715202004E-13</v>
      </c>
      <c r="BE186" s="14">
        <f>BD186*VLOOKUP('Données projet'!$B$11,Paramètres!$A$1:$I$88,3,0)*VLOOKUP('Données projet'!$B$11,Paramètres!$A$1:$I$88,5,0)</f>
        <v>1.3744738680543379E-13</v>
      </c>
      <c r="BF186" s="14">
        <f t="shared" si="167"/>
        <v>1.9898001765172164E-12</v>
      </c>
      <c r="BG186" s="22">
        <f t="shared" si="168"/>
        <v>3.7049561727869492E-12</v>
      </c>
      <c r="BH186" s="62">
        <f t="shared" si="116"/>
        <v>293.33333333333701</v>
      </c>
      <c r="BI186" s="62">
        <f ca="1">AVERAGE(OFFSET($BH$3,0,0,'Données projet'!$E$11+1,1))-AVERAGE(OFFSET($H$3,0,0,'Données projet'!$E$11+1,1))</f>
        <v>84.664683404322943</v>
      </c>
      <c r="BJ186" s="62">
        <f t="shared" si="146"/>
        <v>79.209234837679901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5.9111001801697958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5.9111001801697958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-8.5265128291212022E-14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182.76154982630777</v>
      </c>
      <c r="T187" s="62">
        <f t="shared" si="142"/>
        <v>119.92190922866632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36.900710166013312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36.900710166013312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projet'!$B$10,Paramètres!$A$1:$I$88,3,0)*VLOOKUP('Données projet'!$B$10,Paramètres!$A$1:$I$88,5,0)</f>
        <v>-3.3992364478763198E-14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212.1966338656834</v>
      </c>
      <c r="AO187" s="62">
        <f t="shared" si="144"/>
        <v>194.52809733694494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18.397843276811297</v>
      </c>
      <c r="AV187" s="23">
        <f>EXP(-LN(2)/25)*AV186+(1-EXP(-LN(2)/25))/(LN(2)/25)*Calculateur!AQ187*Calculateur!AS187*VLOOKUP('Données projet'!$B$10,Paramètres!$A$1:$I$88,3,0)*0.475*44/12</f>
        <v>1.8545740155281476</v>
      </c>
      <c r="AW187" s="23">
        <f>EXP(-LN(2)/2)*AW186+(1-EXP(-LN(2)/2))/(LN(2)/2)*AQ187*AT187*VLOOKUP('Données projet'!$B$10,Paramètres!$A$1:$I$88,3,0)*0.475*44/12</f>
        <v>2.1781264239665202E-16</v>
      </c>
      <c r="AX187" s="23">
        <f t="shared" si="166"/>
        <v>20.252417292339445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1.4210854715202004E-13</v>
      </c>
      <c r="BE187" s="14">
        <f>BD187*VLOOKUP('Données projet'!$B$11,Paramètres!$A$1:$I$88,3,0)*VLOOKUP('Données projet'!$B$11,Paramètres!$A$1:$I$88,5,0)</f>
        <v>1.3744738680543379E-13</v>
      </c>
      <c r="BF187" s="14">
        <f t="shared" si="167"/>
        <v>1.9898001765172164E-12</v>
      </c>
      <c r="BG187" s="22">
        <f t="shared" si="168"/>
        <v>3.7049561727869492E-12</v>
      </c>
      <c r="BH187" s="62">
        <f t="shared" si="116"/>
        <v>293.33333333333701</v>
      </c>
      <c r="BI187" s="62">
        <f ca="1">AVERAGE(OFFSET($BH$3,0,0,'Données projet'!$E$11+1,1))-AVERAGE(OFFSET($H$3,0,0,'Données projet'!$E$11+1,1))</f>
        <v>84.664683404322943</v>
      </c>
      <c r="BJ187" s="62">
        <f t="shared" si="146"/>
        <v>79.209234837679901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5.7951871110517708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5.7951871110517708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-8.5265128291212022E-14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182.76154982630777</v>
      </c>
      <c r="T188" s="62">
        <f t="shared" si="142"/>
        <v>119.92190922866632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36.177109746868588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36.177109746868588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projet'!$B$10,Paramètres!$A$1:$I$88,3,0)*VLOOKUP('Données projet'!$B$10,Paramètres!$A$1:$I$88,5,0)</f>
        <v>-3.3992364478763198E-14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212.1966338656834</v>
      </c>
      <c r="AO188" s="62">
        <f t="shared" si="144"/>
        <v>194.52809733694494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18.03707279172939</v>
      </c>
      <c r="AV188" s="23">
        <f>EXP(-LN(2)/25)*AV187+(1-EXP(-LN(2)/25))/(LN(2)/25)*Calculateur!AQ188*Calculateur!AS188*VLOOKUP('Données projet'!$B$10,Paramètres!$A$1:$I$88,3,0)*0.475*44/12</f>
        <v>1.8038605915457215</v>
      </c>
      <c r="AW188" s="23">
        <f>EXP(-LN(2)/2)*AW187+(1-EXP(-LN(2)/2))/(LN(2)/2)*AQ188*AT188*VLOOKUP('Données projet'!$B$10,Paramètres!$A$1:$I$88,3,0)*0.475*44/12</f>
        <v>1.5401679646683316E-16</v>
      </c>
      <c r="AX188" s="23">
        <f t="shared" si="166"/>
        <v>19.840933383275111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1.4210854715202004E-13</v>
      </c>
      <c r="BE188" s="14">
        <f>BD188*VLOOKUP('Données projet'!$B$11,Paramètres!$A$1:$I$88,3,0)*VLOOKUP('Données projet'!$B$11,Paramètres!$A$1:$I$88,5,0)</f>
        <v>1.3744738680543379E-13</v>
      </c>
      <c r="BF188" s="14">
        <f t="shared" si="167"/>
        <v>1.9898001765172164E-12</v>
      </c>
      <c r="BG188" s="22">
        <f t="shared" si="168"/>
        <v>3.7049561727869492E-12</v>
      </c>
      <c r="BH188" s="62">
        <f t="shared" si="116"/>
        <v>293.33333333333701</v>
      </c>
      <c r="BI188" s="62">
        <f ca="1">AVERAGE(OFFSET($BH$3,0,0,'Données projet'!$E$11+1,1))-AVERAGE(OFFSET($H$3,0,0,'Données projet'!$E$11+1,1))</f>
        <v>84.664683404322943</v>
      </c>
      <c r="BJ188" s="62">
        <f t="shared" si="146"/>
        <v>79.209234837679901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5.6815470265191594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5.6815470265191594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-8.5265128291212022E-14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182.76154982630777</v>
      </c>
      <c r="T189" s="62">
        <f t="shared" si="142"/>
        <v>119.92190922866632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35.467698690590616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35.467698690590616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projet'!$B$10,Paramètres!$A$1:$I$88,3,0)*VLOOKUP('Données projet'!$B$10,Paramètres!$A$1:$I$88,5,0)</f>
        <v>-3.3992364478763198E-14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212.1966338656834</v>
      </c>
      <c r="AO189" s="62">
        <f t="shared" si="144"/>
        <v>194.52809733694494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17.683376795811668</v>
      </c>
      <c r="AV189" s="23">
        <f>EXP(-LN(2)/25)*AV188+(1-EXP(-LN(2)/25))/(LN(2)/25)*Calculateur!AQ189*Calculateur!AS189*VLOOKUP('Données projet'!$B$10,Paramètres!$A$1:$I$88,3,0)*0.475*44/12</f>
        <v>1.7545339288089981</v>
      </c>
      <c r="AW189" s="23">
        <f>EXP(-LN(2)/2)*AW188+(1-EXP(-LN(2)/2))/(LN(2)/2)*AQ189*AT189*VLOOKUP('Données projet'!$B$10,Paramètres!$A$1:$I$88,3,0)*0.475*44/12</f>
        <v>1.0890632119832602E-16</v>
      </c>
      <c r="AX189" s="23">
        <f t="shared" si="166"/>
        <v>19.437910724620664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1.4210854715202004E-13</v>
      </c>
      <c r="BE189" s="14">
        <f>BD189*VLOOKUP('Données projet'!$B$11,Paramètres!$A$1:$I$88,3,0)*VLOOKUP('Données projet'!$B$11,Paramètres!$A$1:$I$88,5,0)</f>
        <v>1.3744738680543379E-13</v>
      </c>
      <c r="BF189" s="14">
        <f t="shared" si="167"/>
        <v>1.9898001765172164E-12</v>
      </c>
      <c r="BG189" s="22">
        <f t="shared" si="168"/>
        <v>3.7049561727869492E-12</v>
      </c>
      <c r="BH189" s="62">
        <f t="shared" si="116"/>
        <v>293.33333333333701</v>
      </c>
      <c r="BI189" s="62">
        <f ca="1">AVERAGE(OFFSET($BH$3,0,0,'Données projet'!$E$11+1,1))-AVERAGE(OFFSET($H$3,0,0,'Données projet'!$E$11+1,1))</f>
        <v>84.664683404322943</v>
      </c>
      <c r="BJ189" s="62">
        <f t="shared" si="146"/>
        <v>79.209234837679901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5.5701353547306249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5.5701353547306249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-8.5265128291212022E-14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182.76154982630777</v>
      </c>
      <c r="T190" s="62">
        <f t="shared" si="142"/>
        <v>119.92190922866632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34.772198752428238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34.772198752428238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projet'!$B$10,Paramètres!$A$1:$I$88,3,0)*VLOOKUP('Données projet'!$B$10,Paramètres!$A$1:$I$88,5,0)</f>
        <v>-3.3992364478763198E-14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212.1966338656834</v>
      </c>
      <c r="AO190" s="62">
        <f t="shared" si="144"/>
        <v>194.52809733694494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17.336616562640639</v>
      </c>
      <c r="AV190" s="23">
        <f>EXP(-LN(2)/25)*AV189+(1-EXP(-LN(2)/25))/(LN(2)/25)*Calculateur!AQ190*Calculateur!AS190*VLOOKUP('Données projet'!$B$10,Paramètres!$A$1:$I$88,3,0)*0.475*44/12</f>
        <v>1.7065561062587866</v>
      </c>
      <c r="AW190" s="23">
        <f>EXP(-LN(2)/2)*AW189+(1-EXP(-LN(2)/2))/(LN(2)/2)*AQ190*AT190*VLOOKUP('Données projet'!$B$10,Paramètres!$A$1:$I$88,3,0)*0.475*44/12</f>
        <v>7.7008398233416591E-17</v>
      </c>
      <c r="AX190" s="23">
        <f t="shared" si="166"/>
        <v>19.043172668899427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1.4210854715202004E-13</v>
      </c>
      <c r="BE190" s="14">
        <f>BD190*VLOOKUP('Données projet'!$B$11,Paramètres!$A$1:$I$88,3,0)*VLOOKUP('Données projet'!$B$11,Paramètres!$A$1:$I$88,5,0)</f>
        <v>1.3744738680543379E-13</v>
      </c>
      <c r="BF190" s="14">
        <f t="shared" si="167"/>
        <v>1.9898001765172164E-12</v>
      </c>
      <c r="BG190" s="22">
        <f t="shared" si="168"/>
        <v>3.7049561727869492E-12</v>
      </c>
      <c r="BH190" s="62">
        <f t="shared" si="116"/>
        <v>293.33333333333701</v>
      </c>
      <c r="BI190" s="62">
        <f ca="1">AVERAGE(OFFSET($BH$3,0,0,'Données projet'!$E$11+1,1))-AVERAGE(OFFSET($H$3,0,0,'Données projet'!$E$11+1,1))</f>
        <v>84.664683404322943</v>
      </c>
      <c r="BJ190" s="62">
        <f t="shared" si="146"/>
        <v>79.209234837679901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5.4609083978714539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5.4609083978714539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-8.5265128291212022E-14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182.76154982630777</v>
      </c>
      <c r="T191" s="62">
        <f t="shared" si="142"/>
        <v>119.92190922866632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34.090337143840152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34.090337143840152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projet'!$B$10,Paramètres!$A$1:$I$88,3,0)*VLOOKUP('Données projet'!$B$10,Paramètres!$A$1:$I$88,5,0)</f>
        <v>-3.3992364478763198E-14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212.1966338656834</v>
      </c>
      <c r="AO191" s="62">
        <f t="shared" si="144"/>
        <v>194.52809733694494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16.996656086139236</v>
      </c>
      <c r="AV191" s="23">
        <f>EXP(-LN(2)/25)*AV190+(1-EXP(-LN(2)/25))/(LN(2)/25)*Calculateur!AQ191*Calculateur!AS191*VLOOKUP('Données projet'!$B$10,Paramètres!$A$1:$I$88,3,0)*0.475*44/12</f>
        <v>1.6598902397892548</v>
      </c>
      <c r="AW191" s="23">
        <f>EXP(-LN(2)/2)*AW190+(1-EXP(-LN(2)/2))/(LN(2)/2)*AQ191*AT191*VLOOKUP('Données projet'!$B$10,Paramètres!$A$1:$I$88,3,0)*0.475*44/12</f>
        <v>5.4453160599163024E-17</v>
      </c>
      <c r="AX191" s="23">
        <f t="shared" si="166"/>
        <v>18.656546325928492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1.4210854715202004E-13</v>
      </c>
      <c r="BE191" s="14">
        <f>BD191*VLOOKUP('Données projet'!$B$11,Paramètres!$A$1:$I$88,3,0)*VLOOKUP('Données projet'!$B$11,Paramètres!$A$1:$I$88,5,0)</f>
        <v>1.3744738680543379E-13</v>
      </c>
      <c r="BF191" s="14">
        <f t="shared" si="167"/>
        <v>1.9898001765172164E-12</v>
      </c>
      <c r="BG191" s="22">
        <f t="shared" si="168"/>
        <v>3.7049561727869492E-12</v>
      </c>
      <c r="BH191" s="62">
        <f t="shared" si="116"/>
        <v>293.33333333333701</v>
      </c>
      <c r="BI191" s="62">
        <f ca="1">AVERAGE(OFFSET($BH$3,0,0,'Données projet'!$E$11+1,1))-AVERAGE(OFFSET($H$3,0,0,'Données projet'!$E$11+1,1))</f>
        <v>84.664683404322943</v>
      </c>
      <c r="BJ191" s="62">
        <f t="shared" si="146"/>
        <v>79.209234837679901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5.3538233150144254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5.3538233150144254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-8.5265128291212022E-14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182.76154982630777</v>
      </c>
      <c r="T192" s="62">
        <f t="shared" si="142"/>
        <v>119.92190922866632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33.421846425501961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33.421846425501961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projet'!$B$10,Paramètres!$A$1:$I$88,3,0)*VLOOKUP('Données projet'!$B$10,Paramètres!$A$1:$I$88,5,0)</f>
        <v>-3.3992364478763198E-14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212.1966338656834</v>
      </c>
      <c r="AO192" s="62">
        <f t="shared" si="144"/>
        <v>194.52809733694494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16.663362027226608</v>
      </c>
      <c r="AV192" s="23">
        <f>EXP(-LN(2)/25)*AV191+(1-EXP(-LN(2)/25))/(LN(2)/25)*Calculateur!AQ192*Calculateur!AS192*VLOOKUP('Données projet'!$B$10,Paramètres!$A$1:$I$88,3,0)*0.475*44/12</f>
        <v>1.6145004538923835</v>
      </c>
      <c r="AW192" s="23">
        <f>EXP(-LN(2)/2)*AW191+(1-EXP(-LN(2)/2))/(LN(2)/2)*AQ192*AT192*VLOOKUP('Données projet'!$B$10,Paramètres!$A$1:$I$88,3,0)*0.475*44/12</f>
        <v>3.8504199116708302E-17</v>
      </c>
      <c r="AX192" s="23">
        <f t="shared" si="166"/>
        <v>18.277862481118991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1.4210854715202004E-13</v>
      </c>
      <c r="BE192" s="14">
        <f>BD192*VLOOKUP('Données projet'!$B$11,Paramètres!$A$1:$I$88,3,0)*VLOOKUP('Données projet'!$B$11,Paramètres!$A$1:$I$88,5,0)</f>
        <v>1.3744738680543379E-13</v>
      </c>
      <c r="BF192" s="14">
        <f t="shared" si="167"/>
        <v>1.9898001765172164E-12</v>
      </c>
      <c r="BG192" s="22">
        <f t="shared" si="168"/>
        <v>3.7049561727869492E-12</v>
      </c>
      <c r="BH192" s="62">
        <f t="shared" si="116"/>
        <v>293.33333333333701</v>
      </c>
      <c r="BI192" s="62">
        <f ca="1">AVERAGE(OFFSET($BH$3,0,0,'Données projet'!$E$11+1,1))-AVERAGE(OFFSET($H$3,0,0,'Données projet'!$E$11+1,1))</f>
        <v>84.664683404322943</v>
      </c>
      <c r="BJ192" s="62">
        <f t="shared" si="146"/>
        <v>79.209234837679901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5.2488381053167723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5.2488381053167723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-8.5265128291212022E-14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182.76154982630777</v>
      </c>
      <c r="T193" s="62">
        <f t="shared" si="142"/>
        <v>119.92190922866632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32.766464402411302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32.766464402411302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projet'!$B$10,Paramètres!$A$1:$I$88,3,0)*VLOOKUP('Données projet'!$B$10,Paramètres!$A$1:$I$88,5,0)</f>
        <v>-3.3992364478763198E-14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212.1966338656834</v>
      </c>
      <c r="AO193" s="62">
        <f t="shared" si="144"/>
        <v>194.52809733694494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16.336603661519955</v>
      </c>
      <c r="AV193" s="23">
        <f>EXP(-LN(2)/25)*AV192+(1-EXP(-LN(2)/25))/(LN(2)/25)*Calculateur!AQ193*Calculateur!AS193*VLOOKUP('Données projet'!$B$10,Paramètres!$A$1:$I$88,3,0)*0.475*44/12</f>
        <v>1.5703518540778074</v>
      </c>
      <c r="AW193" s="23">
        <f>EXP(-LN(2)/2)*AW192+(1-EXP(-LN(2)/2))/(LN(2)/2)*AQ193*AT193*VLOOKUP('Données projet'!$B$10,Paramètres!$A$1:$I$88,3,0)*0.475*44/12</f>
        <v>2.7226580299581515E-17</v>
      </c>
      <c r="AX193" s="23">
        <f t="shared" si="166"/>
        <v>17.906955515597762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1.4210854715202004E-13</v>
      </c>
      <c r="BE193" s="14">
        <f>BD193*VLOOKUP('Données projet'!$B$11,Paramètres!$A$1:$I$88,3,0)*VLOOKUP('Données projet'!$B$11,Paramètres!$A$1:$I$88,5,0)</f>
        <v>1.3744738680543379E-13</v>
      </c>
      <c r="BF193" s="14">
        <f t="shared" si="167"/>
        <v>1.9898001765172164E-12</v>
      </c>
      <c r="BG193" s="22">
        <f t="shared" si="168"/>
        <v>3.7049561727869492E-12</v>
      </c>
      <c r="BH193" s="62">
        <f t="shared" si="116"/>
        <v>293.33333333333701</v>
      </c>
      <c r="BI193" s="62">
        <f ca="1">AVERAGE(OFFSET($BH$3,0,0,'Données projet'!$E$11+1,1))-AVERAGE(OFFSET($H$3,0,0,'Données projet'!$E$11+1,1))</f>
        <v>84.664683404322943</v>
      </c>
      <c r="BJ193" s="62">
        <f t="shared" si="146"/>
        <v>79.209234837679901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5.1459115915466356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5.1459115915466356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-8.5265128291212022E-14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182.76154982630777</v>
      </c>
      <c r="T194" s="62">
        <f t="shared" si="142"/>
        <v>119.92190922866632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32.123934021049891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32.123934021049891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projet'!$B$10,Paramètres!$A$1:$I$88,3,0)*VLOOKUP('Données projet'!$B$10,Paramètres!$A$1:$I$88,5,0)</f>
        <v>-3.3992364478763198E-14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212.1966338656834</v>
      </c>
      <c r="AO194" s="62">
        <f t="shared" si="144"/>
        <v>194.52809733694494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16.016252828061884</v>
      </c>
      <c r="AV194" s="23">
        <f>EXP(-LN(2)/25)*AV193+(1-EXP(-LN(2)/25))/(LN(2)/25)*Calculateur!AQ194*Calculateur!AS194*VLOOKUP('Données projet'!$B$10,Paramètres!$A$1:$I$88,3,0)*0.475*44/12</f>
        <v>1.5274105000468348</v>
      </c>
      <c r="AW194" s="23">
        <f>EXP(-LN(2)/2)*AW193+(1-EXP(-LN(2)/2))/(LN(2)/2)*AQ194*AT194*VLOOKUP('Données projet'!$B$10,Paramètres!$A$1:$I$88,3,0)*0.475*44/12</f>
        <v>1.9252099558354154E-17</v>
      </c>
      <c r="AX194" s="23">
        <f t="shared" si="166"/>
        <v>17.543663328108718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1.4210854715202004E-13</v>
      </c>
      <c r="BE194" s="14">
        <f>BD194*VLOOKUP('Données projet'!$B$11,Paramètres!$A$1:$I$88,3,0)*VLOOKUP('Données projet'!$B$11,Paramètres!$A$1:$I$88,5,0)</f>
        <v>1.3744738680543379E-13</v>
      </c>
      <c r="BF194" s="14">
        <f t="shared" si="167"/>
        <v>1.9898001765172164E-12</v>
      </c>
      <c r="BG194" s="22">
        <f t="shared" si="168"/>
        <v>3.7049561727869492E-12</v>
      </c>
      <c r="BH194" s="62">
        <f t="shared" si="116"/>
        <v>293.33333333333701</v>
      </c>
      <c r="BI194" s="62">
        <f ca="1">AVERAGE(OFFSET($BH$3,0,0,'Données projet'!$E$11+1,1))-AVERAGE(OFFSET($H$3,0,0,'Données projet'!$E$11+1,1))</f>
        <v>84.664683404322943</v>
      </c>
      <c r="BJ194" s="62">
        <f t="shared" si="146"/>
        <v>79.209234837679901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5.0450034039325562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5.0450034039325562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-8.5265128291212022E-14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182.76154982630777</v>
      </c>
      <c r="T195" s="62">
        <f t="shared" si="142"/>
        <v>119.92190922866632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31.494003268562142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31.494003268562142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projet'!$B$10,Paramètres!$A$1:$I$88,3,0)*VLOOKUP('Données projet'!$B$10,Paramètres!$A$1:$I$88,5,0)</f>
        <v>-3.3992364478763198E-14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212.1966338656834</v>
      </c>
      <c r="AO195" s="62">
        <f t="shared" si="144"/>
        <v>194.52809733694494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15.702183879053212</v>
      </c>
      <c r="AV195" s="23">
        <f>EXP(-LN(2)/25)*AV194+(1-EXP(-LN(2)/25))/(LN(2)/25)*Calculateur!AQ195*Calculateur!AS195*VLOOKUP('Données projet'!$B$10,Paramètres!$A$1:$I$88,3,0)*0.475*44/12</f>
        <v>1.4856433796000268</v>
      </c>
      <c r="AW195" s="23">
        <f>EXP(-LN(2)/2)*AW194+(1-EXP(-LN(2)/2))/(LN(2)/2)*AQ195*AT195*VLOOKUP('Données projet'!$B$10,Paramètres!$A$1:$I$88,3,0)*0.475*44/12</f>
        <v>1.3613290149790759E-17</v>
      </c>
      <c r="AX195" s="23">
        <f t="shared" si="166"/>
        <v>17.18782725865324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1.4210854715202004E-13</v>
      </c>
      <c r="BE195" s="14">
        <f>BD195*VLOOKUP('Données projet'!$B$11,Paramètres!$A$1:$I$88,3,0)*VLOOKUP('Données projet'!$B$11,Paramètres!$A$1:$I$88,5,0)</f>
        <v>1.3744738680543379E-13</v>
      </c>
      <c r="BF195" s="14">
        <f t="shared" si="167"/>
        <v>1.9898001765172164E-12</v>
      </c>
      <c r="BG195" s="22">
        <f t="shared" si="168"/>
        <v>3.7049561727869492E-12</v>
      </c>
      <c r="BH195" s="62">
        <f t="shared" si="116"/>
        <v>293.33333333333701</v>
      </c>
      <c r="BI195" s="62">
        <f ca="1">AVERAGE(OFFSET($BH$3,0,0,'Données projet'!$E$11+1,1))-AVERAGE(OFFSET($H$3,0,0,'Données projet'!$E$11+1,1))</f>
        <v>84.664683404322943</v>
      </c>
      <c r="BJ195" s="62">
        <f t="shared" si="146"/>
        <v>79.209234837679901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4.9460739643296723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4.9460739643296723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-8.5265128291212022E-14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182.76154982630777</v>
      </c>
      <c r="T196" s="62">
        <f t="shared" si="142"/>
        <v>119.92190922866632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30.876425073910859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30.876425073910859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projet'!$B$10,Paramètres!$A$1:$I$88,3,0)*VLOOKUP('Données projet'!$B$10,Paramètres!$A$1:$I$88,5,0)</f>
        <v>-3.3992364478763198E-14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212.1966338656834</v>
      </c>
      <c r="AO196" s="62">
        <f t="shared" si="144"/>
        <v>194.52809733694494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15.394273630571456</v>
      </c>
      <c r="AV196" s="23">
        <f>EXP(-LN(2)/25)*AV195+(1-EXP(-LN(2)/25))/(LN(2)/25)*Calculateur!AQ196*Calculateur!AS196*VLOOKUP('Données projet'!$B$10,Paramètres!$A$1:$I$88,3,0)*0.475*44/12</f>
        <v>1.4450183832582741</v>
      </c>
      <c r="AW196" s="23">
        <f>EXP(-LN(2)/2)*AW195+(1-EXP(-LN(2)/2))/(LN(2)/2)*AQ196*AT196*VLOOKUP('Données projet'!$B$10,Paramètres!$A$1:$I$88,3,0)*0.475*44/12</f>
        <v>9.6260497791770785E-18</v>
      </c>
      <c r="AX196" s="23">
        <f t="shared" si="166"/>
        <v>16.839292013829731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1.4210854715202004E-13</v>
      </c>
      <c r="BE196" s="14">
        <f>BD196*VLOOKUP('Données projet'!$B$11,Paramètres!$A$1:$I$88,3,0)*VLOOKUP('Données projet'!$B$11,Paramètres!$A$1:$I$88,5,0)</f>
        <v>1.3744738680543379E-13</v>
      </c>
      <c r="BF196" s="14">
        <f t="shared" si="167"/>
        <v>1.9898001765172164E-12</v>
      </c>
      <c r="BG196" s="22">
        <f t="shared" si="168"/>
        <v>3.7049561727869492E-12</v>
      </c>
      <c r="BH196" s="62">
        <f t="shared" ref="BH196:BH203" si="194">BG196+(AY196+AZ196)*44/12</f>
        <v>293.33333333333701</v>
      </c>
      <c r="BI196" s="62">
        <f ca="1">AVERAGE(OFFSET($BH$3,0,0,'Données projet'!$E$11+1,1))-AVERAGE(OFFSET($H$3,0,0,'Données projet'!$E$11+1,1))</f>
        <v>84.664683404322943</v>
      </c>
      <c r="BJ196" s="62">
        <f t="shared" si="146"/>
        <v>79.209234837679901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4.8490844706964005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4.8490844706964005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-8.5265128291212022E-14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182.76154982630777</v>
      </c>
      <c r="T197" s="62">
        <f t="shared" ref="T197:T203" si="204">$T$3</f>
        <v>119.92190922866632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30.270957210971183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30.270957210971183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projet'!$B$10,Paramètres!$A$1:$I$88,3,0)*VLOOKUP('Données projet'!$B$10,Paramètres!$A$1:$I$88,5,0)</f>
        <v>-3.3992364478763198E-14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212.1966338656834</v>
      </c>
      <c r="AO197" s="62">
        <f t="shared" ref="AO197:AO203" si="205">$AO$3</f>
        <v>194.52809733694494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15.092401314255721</v>
      </c>
      <c r="AV197" s="23">
        <f>EXP(-LN(2)/25)*AV196+(1-EXP(-LN(2)/25))/(LN(2)/25)*Calculateur!AQ197*Calculateur!AS197*VLOOKUP('Données projet'!$B$10,Paramètres!$A$1:$I$88,3,0)*0.475*44/12</f>
        <v>1.4055042795778625</v>
      </c>
      <c r="AW197" s="23">
        <f>EXP(-LN(2)/2)*AW196+(1-EXP(-LN(2)/2))/(LN(2)/2)*AQ197*AT197*VLOOKUP('Données projet'!$B$10,Paramètres!$A$1:$I$88,3,0)*0.475*44/12</f>
        <v>6.8066450748953811E-18</v>
      </c>
      <c r="AX197" s="23">
        <f t="shared" si="166"/>
        <v>16.497905593833583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1.4210854715202004E-13</v>
      </c>
      <c r="BE197" s="14">
        <f>BD197*VLOOKUP('Données projet'!$B$11,Paramètres!$A$1:$I$88,3,0)*VLOOKUP('Données projet'!$B$11,Paramètres!$A$1:$I$88,5,0)</f>
        <v>1.3744738680543379E-13</v>
      </c>
      <c r="BF197" s="14">
        <f t="shared" si="167"/>
        <v>1.9898001765172164E-12</v>
      </c>
      <c r="BG197" s="22">
        <f t="shared" si="168"/>
        <v>3.7049561727869492E-12</v>
      </c>
      <c r="BH197" s="62">
        <f t="shared" si="194"/>
        <v>293.33333333333701</v>
      </c>
      <c r="BI197" s="62">
        <f ca="1">AVERAGE(OFFSET($BH$3,0,0,'Données projet'!$E$11+1,1))-AVERAGE(OFFSET($H$3,0,0,'Données projet'!$E$11+1,1))</f>
        <v>84.664683404322943</v>
      </c>
      <c r="BJ197" s="62">
        <f t="shared" ref="BJ197:BJ203" si="206">$BJ$3</f>
        <v>79.209234837679901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4.7539968818755272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4.7539968818755272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-8.5265128291212022E-14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182.76154982630777</v>
      </c>
      <c r="T198" s="62">
        <f t="shared" si="204"/>
        <v>119.92190922866632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29.677362203524822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29.677362203524822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projet'!$B$10,Paramètres!$A$1:$I$88,3,0)*VLOOKUP('Données projet'!$B$10,Paramètres!$A$1:$I$88,5,0)</f>
        <v>-3.3992364478763198E-14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212.1966338656834</v>
      </c>
      <c r="AO198" s="62">
        <f t="shared" si="205"/>
        <v>194.52809733694494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14.796448529939005</v>
      </c>
      <c r="AV198" s="23">
        <f>EXP(-LN(2)/25)*AV197+(1-EXP(-LN(2)/25))/(LN(2)/25)*Calculateur!AQ198*Calculateur!AS198*VLOOKUP('Données projet'!$B$10,Paramètres!$A$1:$I$88,3,0)*0.475*44/12</f>
        <v>1.3670706911405481</v>
      </c>
      <c r="AW198" s="23">
        <f>EXP(-LN(2)/2)*AW197+(1-EXP(-LN(2)/2))/(LN(2)/2)*AQ198*AT198*VLOOKUP('Données projet'!$B$10,Paramètres!$A$1:$I$88,3,0)*0.475*44/12</f>
        <v>4.81302488958854E-18</v>
      </c>
      <c r="AX198" s="23">
        <f t="shared" si="166"/>
        <v>16.163519221079554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1.4210854715202004E-13</v>
      </c>
      <c r="BE198" s="14">
        <f>BD198*VLOOKUP('Données projet'!$B$11,Paramètres!$A$1:$I$88,3,0)*VLOOKUP('Données projet'!$B$11,Paramètres!$A$1:$I$88,5,0)</f>
        <v>1.3744738680543379E-13</v>
      </c>
      <c r="BF198" s="14">
        <f t="shared" si="167"/>
        <v>1.9898001765172164E-12</v>
      </c>
      <c r="BG198" s="22">
        <f t="shared" si="168"/>
        <v>3.7049561727869492E-12</v>
      </c>
      <c r="BH198" s="62">
        <f t="shared" si="194"/>
        <v>293.33333333333701</v>
      </c>
      <c r="BI198" s="62">
        <f ca="1">AVERAGE(OFFSET($BH$3,0,0,'Données projet'!$E$11+1,1))-AVERAGE(OFFSET($H$3,0,0,'Données projet'!$E$11+1,1))</f>
        <v>84.664683404322943</v>
      </c>
      <c r="BJ198" s="62">
        <f t="shared" si="206"/>
        <v>79.209234837679901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4.6607739026737294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4.6607739026737294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-8.5265128291212022E-14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182.76154982630777</v>
      </c>
      <c r="T199" s="62">
        <f t="shared" si="204"/>
        <v>119.92190922866632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29.095407232117278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29.095407232117278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projet'!$B$10,Paramètres!$A$1:$I$88,3,0)*VLOOKUP('Données projet'!$B$10,Paramètres!$A$1:$I$88,5,0)</f>
        <v>-3.3992364478763198E-14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212.1966338656834</v>
      </c>
      <c r="AO199" s="62">
        <f t="shared" si="205"/>
        <v>194.52809733694494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14.506299199209364</v>
      </c>
      <c r="AV199" s="23">
        <f>EXP(-LN(2)/25)*AV198+(1-EXP(-LN(2)/25))/(LN(2)/25)*Calculateur!AQ199*Calculateur!AS199*VLOOKUP('Données projet'!$B$10,Paramètres!$A$1:$I$88,3,0)*0.475*44/12</f>
        <v>1.3296880712001866</v>
      </c>
      <c r="AW199" s="23">
        <f>EXP(-LN(2)/2)*AW198+(1-EXP(-LN(2)/2))/(LN(2)/2)*AQ199*AT199*VLOOKUP('Données projet'!$B$10,Paramètres!$A$1:$I$88,3,0)*0.475*44/12</f>
        <v>3.403322537447691E-18</v>
      </c>
      <c r="AX199" s="23">
        <f t="shared" si="166"/>
        <v>15.83598727040955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1.4210854715202004E-13</v>
      </c>
      <c r="BE199" s="14">
        <f>BD199*VLOOKUP('Données projet'!$B$11,Paramètres!$A$1:$I$88,3,0)*VLOOKUP('Données projet'!$B$11,Paramètres!$A$1:$I$88,5,0)</f>
        <v>1.3744738680543379E-13</v>
      </c>
      <c r="BF199" s="14">
        <f t="shared" si="167"/>
        <v>1.9898001765172164E-12</v>
      </c>
      <c r="BG199" s="22">
        <f t="shared" si="168"/>
        <v>3.7049561727869492E-12</v>
      </c>
      <c r="BH199" s="62">
        <f t="shared" si="194"/>
        <v>293.33333333333701</v>
      </c>
      <c r="BI199" s="62">
        <f ca="1">AVERAGE(OFFSET($BH$3,0,0,'Données projet'!$E$11+1,1))-AVERAGE(OFFSET($H$3,0,0,'Données projet'!$E$11+1,1))</f>
        <v>84.664683404322943</v>
      </c>
      <c r="BJ199" s="62">
        <f t="shared" si="206"/>
        <v>79.209234837679901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4.5693789692336759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4.5693789692336759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-8.5265128291212022E-14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182.76154982630777</v>
      </c>
      <c r="T200" s="62">
        <f t="shared" si="204"/>
        <v>119.92190922866632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28.524864042741555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28.524864042741555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projet'!$B$10,Paramètres!$A$1:$I$88,3,0)*VLOOKUP('Données projet'!$B$10,Paramètres!$A$1:$I$88,5,0)</f>
        <v>-3.3992364478763198E-14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212.1966338656834</v>
      </c>
      <c r="AO200" s="62">
        <f t="shared" si="205"/>
        <v>194.52809733694494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14.221839519881716</v>
      </c>
      <c r="AV200" s="23">
        <f>EXP(-LN(2)/25)*AV199+(1-EXP(-LN(2)/25))/(LN(2)/25)*Calculateur!AQ200*Calculateur!AS200*VLOOKUP('Données projet'!$B$10,Paramètres!$A$1:$I$88,3,0)*0.475*44/12</f>
        <v>1.2933276809679608</v>
      </c>
      <c r="AW200" s="23">
        <f>EXP(-LN(2)/2)*AW199+(1-EXP(-LN(2)/2))/(LN(2)/2)*AQ200*AT200*VLOOKUP('Données projet'!$B$10,Paramètres!$A$1:$I$88,3,0)*0.475*44/12</f>
        <v>2.4065124447942704E-18</v>
      </c>
      <c r="AX200" s="23">
        <f t="shared" si="166"/>
        <v>15.515167200849676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1.4210854715202004E-13</v>
      </c>
      <c r="BE200" s="14">
        <f>BD200*VLOOKUP('Données projet'!$B$11,Paramètres!$A$1:$I$88,3,0)*VLOOKUP('Données projet'!$B$11,Paramètres!$A$1:$I$88,5,0)</f>
        <v>1.3744738680543379E-13</v>
      </c>
      <c r="BF200" s="14">
        <f t="shared" si="167"/>
        <v>1.9898001765172164E-12</v>
      </c>
      <c r="BG200" s="22">
        <f t="shared" si="168"/>
        <v>3.7049561727869492E-12</v>
      </c>
      <c r="BH200" s="62">
        <f t="shared" si="194"/>
        <v>293.33333333333701</v>
      </c>
      <c r="BI200" s="62">
        <f ca="1">AVERAGE(OFFSET($BH$3,0,0,'Données projet'!$E$11+1,1))-AVERAGE(OFFSET($H$3,0,0,'Données projet'!$E$11+1,1))</f>
        <v>84.664683404322943</v>
      </c>
      <c r="BJ200" s="62">
        <f t="shared" si="206"/>
        <v>79.209234837679901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4.4797762346929773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4.4797762346929773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-8.5265128291212022E-14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182.76154982630777</v>
      </c>
      <c r="T201" s="62">
        <f t="shared" si="204"/>
        <v>119.92190922866632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27.965508857312503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27.965508857312503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projet'!$B$10,Paramètres!$A$1:$I$88,3,0)*VLOOKUP('Données projet'!$B$10,Paramètres!$A$1:$I$88,5,0)</f>
        <v>-3.3992364478763198E-14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212.1966338656834</v>
      </c>
      <c r="AO201" s="62">
        <f t="shared" si="205"/>
        <v>194.52809733694494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13.94295792136241</v>
      </c>
      <c r="AV201" s="23">
        <f>EXP(-LN(2)/25)*AV200+(1-EXP(-LN(2)/25))/(LN(2)/25)*Calculateur!AQ201*Calculateur!AS201*VLOOKUP('Données projet'!$B$10,Paramètres!$A$1:$I$88,3,0)*0.475*44/12</f>
        <v>1.2579615675187452</v>
      </c>
      <c r="AW201" s="23">
        <f>EXP(-LN(2)/2)*AW200+(1-EXP(-LN(2)/2))/(LN(2)/2)*AQ201*AT201*VLOOKUP('Données projet'!$B$10,Paramètres!$A$1:$I$88,3,0)*0.475*44/12</f>
        <v>1.7016612687238459E-18</v>
      </c>
      <c r="AX201" s="23">
        <f t="shared" si="166"/>
        <v>15.200919488881155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1.4210854715202004E-13</v>
      </c>
      <c r="BE201" s="14">
        <f>BD201*VLOOKUP('Données projet'!$B$11,Paramètres!$A$1:$I$88,3,0)*VLOOKUP('Données projet'!$B$11,Paramètres!$A$1:$I$88,5,0)</f>
        <v>1.3744738680543379E-13</v>
      </c>
      <c r="BF201" s="14">
        <f t="shared" si="167"/>
        <v>1.9898001765172164E-12</v>
      </c>
      <c r="BG201" s="22">
        <f t="shared" si="168"/>
        <v>3.7049561727869492E-12</v>
      </c>
      <c r="BH201" s="62">
        <f t="shared" si="194"/>
        <v>293.33333333333701</v>
      </c>
      <c r="BI201" s="62">
        <f ca="1">AVERAGE(OFFSET($BH$3,0,0,'Données projet'!$E$11+1,1))-AVERAGE(OFFSET($H$3,0,0,'Données projet'!$E$11+1,1))</f>
        <v>84.664683404322943</v>
      </c>
      <c r="BJ201" s="62">
        <f t="shared" si="206"/>
        <v>79.209234837679901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4.3919305551243495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4.3919305551243495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-8.5265128291212022E-14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182.76154982630777</v>
      </c>
      <c r="T202" s="62">
        <f t="shared" si="204"/>
        <v>119.92190922866632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27.417122285896742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27.417122285896742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projet'!$B$10,Paramètres!$A$1:$I$88,3,0)*VLOOKUP('Données projet'!$B$10,Paramètres!$A$1:$I$88,5,0)</f>
        <v>-3.3992364478763198E-14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212.1966338656834</v>
      </c>
      <c r="AO202" s="62">
        <f t="shared" si="205"/>
        <v>194.52809733694494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13.669545020889089</v>
      </c>
      <c r="AV202" s="23">
        <f>EXP(-LN(2)/25)*AV201+(1-EXP(-LN(2)/25))/(LN(2)/25)*Calculateur!AQ202*Calculateur!AS202*VLOOKUP('Données projet'!$B$10,Paramètres!$A$1:$I$88,3,0)*0.475*44/12</f>
        <v>1.2235625423016214</v>
      </c>
      <c r="AW202" s="23">
        <f>EXP(-LN(2)/2)*AW201+(1-EXP(-LN(2)/2))/(LN(2)/2)*AQ202*AT202*VLOOKUP('Données projet'!$B$10,Paramètres!$A$1:$I$88,3,0)*0.475*44/12</f>
        <v>1.2032562223971354E-18</v>
      </c>
      <c r="AX202" s="23">
        <f t="shared" si="166"/>
        <v>14.893107563190711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1.4210854715202004E-13</v>
      </c>
      <c r="BE202" s="14">
        <f>BD202*VLOOKUP('Données projet'!$B$11,Paramètres!$A$1:$I$88,3,0)*VLOOKUP('Données projet'!$B$11,Paramètres!$A$1:$I$88,5,0)</f>
        <v>1.3744738680543379E-13</v>
      </c>
      <c r="BF202" s="14">
        <f t="shared" si="167"/>
        <v>1.9898001765172164E-12</v>
      </c>
      <c r="BG202" s="22">
        <f t="shared" si="168"/>
        <v>3.7049561727869492E-12</v>
      </c>
      <c r="BH202" s="62">
        <f t="shared" si="194"/>
        <v>293.33333333333701</v>
      </c>
      <c r="BI202" s="62">
        <f ca="1">AVERAGE(OFFSET($BH$3,0,0,'Données projet'!$E$11+1,1))-AVERAGE(OFFSET($H$3,0,0,'Données projet'!$E$11+1,1))</f>
        <v>84.664683404322943</v>
      </c>
      <c r="BJ202" s="62">
        <f t="shared" si="206"/>
        <v>79.209234837679901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4.3058074757514886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4.3058074757514886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-8.5265128291212022E-14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182.76154982630777</v>
      </c>
      <c r="T203" s="62">
        <f t="shared" si="204"/>
        <v>119.92190922866632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26.879489240663663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26.879489240663663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projet'!$B$10,Paramètres!$A$1:$I$88,3,0)*VLOOKUP('Données projet'!$B$10,Paramètres!$A$1:$I$88,5,0)</f>
        <v>-3.3992364478763198E-14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212.1966338656834</v>
      </c>
      <c r="AO203" s="62">
        <f t="shared" si="205"/>
        <v>194.52809733694494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13.401493580628648</v>
      </c>
      <c r="AV203" s="23">
        <f>EXP(-LN(2)/25)*AV202+(1-EXP(-LN(2)/25))/(LN(2)/25)*Calculateur!AQ203*Calculateur!AS203*VLOOKUP('Données projet'!$B$10,Paramètres!$A$1:$I$88,3,0)*0.475*44/12</f>
        <v>1.190104160238026</v>
      </c>
      <c r="AW203" s="23">
        <f>EXP(-LN(2)/2)*AW202+(1-EXP(-LN(2)/2))/(LN(2)/2)*AQ203*AT203*VLOOKUP('Données projet'!$B$10,Paramètres!$A$1:$I$88,3,0)*0.475*44/12</f>
        <v>8.5083063436192303E-19</v>
      </c>
      <c r="AX203" s="23">
        <f t="shared" si="166"/>
        <v>14.591597740866673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1.4210854715202004E-13</v>
      </c>
      <c r="BE203" s="14">
        <f>BD203*VLOOKUP('Données projet'!$B$11,Paramètres!$A$1:$I$88,3,0)*VLOOKUP('Données projet'!$B$11,Paramètres!$A$1:$I$88,5,0)</f>
        <v>1.3744738680543379E-13</v>
      </c>
      <c r="BF203" s="14">
        <f t="shared" si="167"/>
        <v>1.9898001765172164E-12</v>
      </c>
      <c r="BG203" s="22">
        <f t="shared" si="168"/>
        <v>3.7049561727869492E-12</v>
      </c>
      <c r="BH203" s="62">
        <f t="shared" si="194"/>
        <v>293.33333333333701</v>
      </c>
      <c r="BI203" s="62">
        <f ca="1">AVERAGE(OFFSET($BH$3,0,0,'Données projet'!$E$11+1,1))-AVERAGE(OFFSET($H$3,0,0,'Données projet'!$E$11+1,1))</f>
        <v>84.664683404322943</v>
      </c>
      <c r="BJ203" s="62">
        <f t="shared" si="206"/>
        <v>79.209234837679901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4.2213732174352385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4.2213732174352385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-8.5265128291212022E-14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1.1220412478485406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1.244502252163008</v>
      </c>
      <c r="BA205" s="88">
        <f>EXP(LN('Données projet'!B88)/'Données projet'!A88)</f>
        <v>1.0894131065611496</v>
      </c>
      <c r="BV205" s="88">
        <f>EXP(LN('Données projet'!B114)/'Données projet'!A114)</f>
        <v>1.1457367676485573</v>
      </c>
      <c r="CQ205" s="88">
        <f>EXP(LN('Données projet'!B140)/'Données projet'!A140)</f>
        <v>1.189207115002721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70" zoomScaleNormal="70" workbookViewId="0">
      <selection activeCell="I20" sqref="I2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Chêne sessile</v>
      </c>
      <c r="B6" s="156">
        <f>'Données projet'!D9</f>
        <v>1.6239999999999999</v>
      </c>
      <c r="C6" s="157">
        <f ca="1">IF(OR('Données projet'!B9="",'Données projet'!C9="",'Données projet'!C9=0%),0,Calculateur!S3)</f>
        <v>182.76154982630777</v>
      </c>
      <c r="D6" s="157">
        <f>IF(OR('Données projet'!B9="",'Données projet'!C9="",'Données projet'!C9=0%),0,Calculateur!T3)</f>
        <v>119.92190922866632</v>
      </c>
      <c r="E6" s="157">
        <f ca="1">MIN(C6,D6)</f>
        <v>119.92190922866632</v>
      </c>
      <c r="F6" s="157">
        <f ca="1">E6*B6</f>
        <v>194.75318058735408</v>
      </c>
      <c r="G6" s="157">
        <f ca="1">F6*(100%-'Données projet'!$C$24)*(100%-'Données projet'!$C$25)*(100%-'Données projet'!$C$26)*(100%-'Données projet'!$C$27)</f>
        <v>175.27786252861867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0</v>
      </c>
      <c r="K6" s="161">
        <f>J6*(100%-'Données projet'!$C$24)*(100%-'Données projet'!$C$25)*(100%-'Données projet'!$C$26)*(100%-'Données projet'!$C$27)</f>
        <v>0</v>
      </c>
      <c r="L6" s="162">
        <f ca="1">G6+I6+K6</f>
        <v>175.27786252861867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>Pin laricio</v>
      </c>
      <c r="B7" s="164">
        <f>'Données projet'!D10</f>
        <v>0.30449999999999994</v>
      </c>
      <c r="C7" s="157">
        <f ca="1">IF(OR('Données projet'!B10="",'Données projet'!C10="",'Données projet'!C10=0%),0,Calculateur!AN3)</f>
        <v>212.1966338656834</v>
      </c>
      <c r="D7" s="157">
        <f>IF(OR('Données projet'!B10="",'Données projet'!C10="",'Données projet'!C10=0%),0,Calculateur!AO3)</f>
        <v>194.52809733694494</v>
      </c>
      <c r="E7" s="157">
        <f t="shared" ref="E7:E15" ca="1" si="0">MIN(C7,D7)</f>
        <v>194.52809733694494</v>
      </c>
      <c r="F7" s="157">
        <f t="shared" ref="F7:F15" ca="1" si="1">E7*B7</f>
        <v>59.233805639099721</v>
      </c>
      <c r="G7" s="157">
        <f ca="1">F7*(100%-'Données projet'!$C$24)*(100%-'Données projet'!$C$25)*(100%-'Données projet'!$C$26)*(100%-'Données projet'!$C$27)</f>
        <v>53.310425075189748</v>
      </c>
      <c r="H7" s="165">
        <f>IF(OR('Données projet'!B10="",'Données projet'!C10="",'Données projet'!C10=0%),0,AVERAGE(Calculateur!$AX$3:$AX$33)*B7)</f>
        <v>0.90647442793789645</v>
      </c>
      <c r="I7" s="159">
        <f>H7*(100%-'Données projet'!$C$24)*(100%-'Données projet'!$C$25)*(100%-'Données projet'!$C$26)*(100%-'Données projet'!$C$27)</f>
        <v>0.81582698514410679</v>
      </c>
      <c r="J7" s="160">
        <f>IF(OR('Données projet'!B10="",'Données projet'!C10="",'Données projet'!C10=0%),0,SUM(Calculateur!$AQ$3:$AQ$33)*VLOOKUP('Données projet'!$B$10,Paramètres!$A$1:$I$88,9,0)*B7)</f>
        <v>8.7726449999999971</v>
      </c>
      <c r="K7" s="161">
        <f>J7*(100%-'Données projet'!$C$24)*(100%-'Données projet'!$C$25)*(100%-'Données projet'!$C$26)*(100%-'Données projet'!$C$27)</f>
        <v>7.8953804999999972</v>
      </c>
      <c r="L7" s="162">
        <f t="shared" ref="L7:L15" ca="1" si="2">G7+I7+K7</f>
        <v>62.021632560333849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>Alisier torminal</v>
      </c>
      <c r="B8" s="164">
        <f>'Données projet'!D11</f>
        <v>0.10149999999999999</v>
      </c>
      <c r="C8" s="157">
        <f ca="1">IF(OR('Données projet'!B11="",'Données projet'!C11="",'Données projet'!C11=0%),0,Calculateur!BI3)</f>
        <v>84.664683404322943</v>
      </c>
      <c r="D8" s="157">
        <f>IF(OR('Données projet'!B11="",'Données projet'!C11="",'Données projet'!C11=0%),0,Calculateur!BJ3)</f>
        <v>79.209234837679901</v>
      </c>
      <c r="E8" s="157">
        <f t="shared" ca="1" si="0"/>
        <v>79.209234837679901</v>
      </c>
      <c r="F8" s="157">
        <f t="shared" ca="1" si="1"/>
        <v>8.0397373360245101</v>
      </c>
      <c r="G8" s="157">
        <f ca="1">F8*(100%-'Données projet'!$C$24)*(100%-'Données projet'!$C$25)*(100%-'Données projet'!$C$26)*(100%-'Données projet'!$C$27)</f>
        <v>7.2357636024220593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0</v>
      </c>
      <c r="K8" s="161">
        <f>J8*(100%-'Données projet'!$C$24)*(100%-'Données projet'!$C$25)*(100%-'Données projet'!$C$26)*(100%-'Données projet'!$C$27)</f>
        <v>0</v>
      </c>
      <c r="L8" s="162">
        <f t="shared" ca="1" si="2"/>
        <v>7.2357636024220593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262.02672356247831</v>
      </c>
      <c r="G16" s="176">
        <f t="shared" ca="1" si="3"/>
        <v>235.82405120623048</v>
      </c>
      <c r="H16" s="177">
        <f t="shared" si="3"/>
        <v>0.90647442793789645</v>
      </c>
      <c r="I16" s="177">
        <f t="shared" si="3"/>
        <v>0.81582698514410679</v>
      </c>
      <c r="J16" s="178">
        <f t="shared" si="3"/>
        <v>8.7726449999999971</v>
      </c>
      <c r="K16" s="178">
        <f t="shared" si="3"/>
        <v>7.8953804999999972</v>
      </c>
      <c r="L16" s="179">
        <f t="shared" ca="1" si="3"/>
        <v>244.53525869137457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Chêne sessile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>Pin laricio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>Alisier torminal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abSelected="1" zoomScale="58" zoomScaleNormal="55" workbookViewId="0">
      <selection activeCell="C77" sqref="C7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>
        <v>1</v>
      </c>
      <c r="J12" s="208">
        <f>(1870+560+450)*1.08</f>
        <v>3110.4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>
        <v>2</v>
      </c>
      <c r="J13" s="208">
        <f>450*1.08</f>
        <v>486.00000000000006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>
        <v>3</v>
      </c>
      <c r="J14" s="208">
        <f>450*1.08</f>
        <v>486.00000000000006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>
        <v>4</v>
      </c>
      <c r="J15" s="208">
        <f>200*1.08</f>
        <v>216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>
        <v>5</v>
      </c>
      <c r="J16" s="208">
        <f>200*1.08</f>
        <v>216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Chêne sessile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sessile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-2864.6488955045957</v>
      </c>
      <c r="K20" s="193">
        <f>'Données projet'!D9</f>
        <v>1.6239999999999999</v>
      </c>
      <c r="L20" s="192">
        <f>K20*J20</f>
        <v>-4652.1898062994633</v>
      </c>
      <c r="M20" s="25"/>
      <c r="N20" s="186"/>
      <c r="O20" s="272" t="s">
        <v>290</v>
      </c>
      <c r="P20" s="272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>
        <f>3568*1.08</f>
        <v>3853.44</v>
      </c>
      <c r="F21" s="218"/>
      <c r="G21" s="231"/>
      <c r="H21" s="25"/>
      <c r="I21" s="188" t="str">
        <f>B44</f>
        <v>Pin laricio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527.48696987802828</v>
      </c>
      <c r="K21" s="193">
        <f>'Données projet'!D10</f>
        <v>0.30449999999999994</v>
      </c>
      <c r="L21" s="192">
        <f t="shared" ref="L21:L29" si="0">K21*J21</f>
        <v>160.61978232785958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42</v>
      </c>
      <c r="B22" s="196">
        <f>'Données projet'!D36</f>
        <v>30</v>
      </c>
      <c r="C22" s="210">
        <f>'Données projet'!E36*150+('Données projet'!F36+'Données projet'!G36)*19.4+'Données projet'!H36*10</f>
        <v>24</v>
      </c>
      <c r="D22" s="197">
        <f>B22*C22</f>
        <v>720</v>
      </c>
      <c r="E22" s="210"/>
      <c r="F22" s="218"/>
      <c r="G22" s="227"/>
      <c r="H22" s="25"/>
      <c r="I22" s="188" t="str">
        <f>B70</f>
        <v>Alisier torminal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-5278.6756132864457</v>
      </c>
      <c r="K22" s="193">
        <f>'Données projet'!D11</f>
        <v>0.10149999999999999</v>
      </c>
      <c r="L22" s="192">
        <f t="shared" si="0"/>
        <v>-535.78557474857416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50</v>
      </c>
      <c r="B23" s="196">
        <f>'Données projet'!D37</f>
        <v>35</v>
      </c>
      <c r="C23" s="210">
        <f>'Données projet'!E37*150+('Données projet'!F37+'Données projet'!G37)*19.4+'Données projet'!H37*10</f>
        <v>38</v>
      </c>
      <c r="D23" s="197">
        <f t="shared" ref="D23:D41" si="1">B23*C23</f>
        <v>1330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0"/>
        <v>0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58</v>
      </c>
      <c r="B24" s="196">
        <f>'Données projet'!D38</f>
        <v>44</v>
      </c>
      <c r="C24" s="210">
        <f>'Données projet'!E38*150+('Données projet'!F38+'Données projet'!G38)*19.4+'Données projet'!H38*10</f>
        <v>52</v>
      </c>
      <c r="D24" s="197">
        <f t="shared" si="1"/>
        <v>2288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12" t="s">
        <v>286</v>
      </c>
      <c r="P24" s="312"/>
      <c r="Q24" s="312"/>
      <c r="R24" s="312"/>
      <c r="S24" s="312"/>
      <c r="T24" s="209">
        <v>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66</v>
      </c>
      <c r="B25" s="196">
        <f>'Données projet'!D39</f>
        <v>38</v>
      </c>
      <c r="C25" s="210">
        <f>'Données projet'!E39*150+('Données projet'!F39+'Données projet'!G39)*19.4+'Données projet'!H39*10</f>
        <v>52</v>
      </c>
      <c r="D25" s="197">
        <f t="shared" si="1"/>
        <v>1976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75</v>
      </c>
      <c r="B26" s="196">
        <f>'Données projet'!D40</f>
        <v>37</v>
      </c>
      <c r="C26" s="210">
        <f>'Données projet'!E40*150+('Données projet'!F40+'Données projet'!G40)*19.4+'Données projet'!H40*10</f>
        <v>66</v>
      </c>
      <c r="D26" s="197">
        <f t="shared" si="1"/>
        <v>2442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84</v>
      </c>
      <c r="B27" s="196">
        <f>'Données projet'!D41</f>
        <v>36</v>
      </c>
      <c r="C27" s="210">
        <f>'Données projet'!E41*150+('Données projet'!F41+'Données projet'!G41)*19.4+'Données projet'!H41*10</f>
        <v>66</v>
      </c>
      <c r="D27" s="197">
        <f t="shared" si="1"/>
        <v>2376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93</v>
      </c>
      <c r="B28" s="196">
        <f>'Données projet'!D42</f>
        <v>34</v>
      </c>
      <c r="C28" s="210">
        <f>'Données projet'!E42*150+('Données projet'!F42+'Données projet'!G42)*19.4+'Données projet'!H42*10</f>
        <v>80</v>
      </c>
      <c r="D28" s="197">
        <f t="shared" si="1"/>
        <v>2720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103</v>
      </c>
      <c r="B29" s="196">
        <f>'Données projet'!D43</f>
        <v>38</v>
      </c>
      <c r="C29" s="210">
        <f>'Données projet'!E43*150+('Données projet'!F43+'Données projet'!G43)*19.4+'Données projet'!H43*10</f>
        <v>94</v>
      </c>
      <c r="D29" s="197">
        <f t="shared" si="1"/>
        <v>3572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113</v>
      </c>
      <c r="B30" s="196">
        <f>'Données projet'!D44</f>
        <v>42</v>
      </c>
      <c r="C30" s="210">
        <f>'Données projet'!E44*150+('Données projet'!F44+'Données projet'!G44)*19.4+'Données projet'!H44*10</f>
        <v>108</v>
      </c>
      <c r="D30" s="197">
        <f t="shared" si="1"/>
        <v>4536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120</v>
      </c>
      <c r="B31" s="196">
        <f>'Données projet'!D45</f>
        <v>287</v>
      </c>
      <c r="C31" s="210">
        <f>'Données projet'!E45*150+('Données projet'!F45+'Données projet'!G45)*19.4+'Données projet'!H45*10</f>
        <v>122</v>
      </c>
      <c r="D31" s="197">
        <f t="shared" si="1"/>
        <v>35014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0</v>
      </c>
      <c r="B32" s="196">
        <f>'Données projet'!D46</f>
        <v>0</v>
      </c>
      <c r="C32" s="210">
        <f>'Données projet'!E46*150+('Données projet'!F46+'Données projet'!G46)*19.4+'Données projet'!H46*10</f>
        <v>0</v>
      </c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0</v>
      </c>
      <c r="B33" s="196">
        <f>'Données projet'!D47</f>
        <v>0</v>
      </c>
      <c r="C33" s="210">
        <f>'Données projet'!E47*150+('Données projet'!F47+'Données projet'!G47)*19.4+'Données projet'!H47*10</f>
        <v>0</v>
      </c>
      <c r="D33" s="197">
        <f t="shared" si="1"/>
        <v>0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-13557.096710640206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0</v>
      </c>
      <c r="B34" s="196">
        <f>'Données projet'!D48</f>
        <v>0</v>
      </c>
      <c r="C34" s="210">
        <f>'Données projet'!E48*150+('Données projet'!F48+'Données projet'!G48)*19.4+'Données projet'!H48*10</f>
        <v>0</v>
      </c>
      <c r="D34" s="197">
        <f t="shared" si="1"/>
        <v>0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0</v>
      </c>
      <c r="B35" s="196">
        <f>'Données projet'!D49</f>
        <v>0</v>
      </c>
      <c r="C35" s="210">
        <f>'Données projet'!E49*150+('Données projet'!F49+'Données projet'!G49)*19.4+'Données projet'!H49*10</f>
        <v>0</v>
      </c>
      <c r="D35" s="197">
        <f t="shared" si="1"/>
        <v>0</v>
      </c>
      <c r="E35" s="210"/>
      <c r="F35" s="219"/>
      <c r="G35" s="227"/>
      <c r="H35" s="25"/>
      <c r="I35" s="202" t="s">
        <v>267</v>
      </c>
      <c r="J35" s="306">
        <f ca="1">J33-J34</f>
        <v>-13557.096710640206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0</v>
      </c>
      <c r="B36" s="196">
        <f>'Données projet'!D50</f>
        <v>0</v>
      </c>
      <c r="C36" s="210">
        <f>'Données projet'!E50*150+('Données projet'!F50+'Données projet'!G50)*19.4+'Données projet'!H50*10</f>
        <v>0</v>
      </c>
      <c r="D36" s="197">
        <f t="shared" si="1"/>
        <v>0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0</v>
      </c>
      <c r="B37" s="196">
        <f>'Données projet'!D51</f>
        <v>0</v>
      </c>
      <c r="C37" s="210">
        <f>'Données projet'!E51*150+('Données projet'!F51+'Données projet'!G51)*19.4+'Données projet'!H51*10</f>
        <v>0</v>
      </c>
      <c r="D37" s="197">
        <f t="shared" si="1"/>
        <v>0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0</v>
      </c>
      <c r="B38" s="196">
        <f>'Données projet'!D52</f>
        <v>0</v>
      </c>
      <c r="C38" s="210">
        <f>'Données projet'!E52*150+('Données projet'!F52+'Données projet'!G52)*19.4+'Données projet'!H52*10</f>
        <v>0</v>
      </c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>Pin laricio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>
        <f>1776*1.08</f>
        <v>1918.0800000000002</v>
      </c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22</v>
      </c>
      <c r="B48" s="196">
        <f>'Données projet'!D62</f>
        <v>16</v>
      </c>
      <c r="C48" s="210">
        <f>'Données projet'!E62*50+('Données projet'!F62+'Données projet'!G62)*19.4+'Données projet'!H62*10</f>
        <v>19.399999999999999</v>
      </c>
      <c r="D48" s="194">
        <f>B48*C48</f>
        <v>310.39999999999998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25</v>
      </c>
      <c r="B49" s="196">
        <f>'Données projet'!D63</f>
        <v>17</v>
      </c>
      <c r="C49" s="210">
        <f>'Données projet'!E63*50+('Données projet'!F63+'Données projet'!G63)*19.4+'Données projet'!H63*10</f>
        <v>19.399999999999999</v>
      </c>
      <c r="D49" s="194">
        <f t="shared" ref="D49:D67" si="4">B49*C49</f>
        <v>329.79999999999995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30</v>
      </c>
      <c r="B50" s="196">
        <f>'Données projet'!D64</f>
        <v>34</v>
      </c>
      <c r="C50" s="210">
        <f>'Données projet'!E64*50+('Données projet'!F64+'Données projet'!G64)*19.4+'Données projet'!H64*10</f>
        <v>19.399999999999999</v>
      </c>
      <c r="D50" s="194">
        <f t="shared" si="4"/>
        <v>659.59999999999991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35</v>
      </c>
      <c r="B51" s="196">
        <f>'Données projet'!D65</f>
        <v>41</v>
      </c>
      <c r="C51" s="210">
        <f>'Données projet'!E65*50+('Données projet'!F65+'Données projet'!G65)*19.4+'Données projet'!H65*10</f>
        <v>25.52</v>
      </c>
      <c r="D51" s="194">
        <f t="shared" si="4"/>
        <v>1046.32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40</v>
      </c>
      <c r="B52" s="196">
        <f>'Données projet'!D66</f>
        <v>41</v>
      </c>
      <c r="C52" s="210">
        <f>'Données projet'!E66*50+('Données projet'!F66+'Données projet'!G66)*19.4+'Données projet'!H66*10</f>
        <v>25.52</v>
      </c>
      <c r="D52" s="194">
        <f t="shared" si="4"/>
        <v>1046.32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45</v>
      </c>
      <c r="B53" s="196">
        <f>'Données projet'!D67</f>
        <v>53</v>
      </c>
      <c r="C53" s="210">
        <f>'Données projet'!E67*50+('Données projet'!F67+'Données projet'!G67)*19.4+'Données projet'!H67*10</f>
        <v>31.64</v>
      </c>
      <c r="D53" s="194">
        <f t="shared" si="4"/>
        <v>1676.92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50</v>
      </c>
      <c r="B54" s="196">
        <f>'Données projet'!D68</f>
        <v>53</v>
      </c>
      <c r="C54" s="210">
        <f>'Données projet'!E68*50+('Données projet'!F68+'Données projet'!G68)*19.4+'Données projet'!H68*10</f>
        <v>31.64</v>
      </c>
      <c r="D54" s="194">
        <f t="shared" si="4"/>
        <v>1676.92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58</v>
      </c>
      <c r="B55" s="196">
        <f>'Données projet'!D69</f>
        <v>78</v>
      </c>
      <c r="C55" s="210">
        <f>'Données projet'!E69*50+('Données projet'!F69+'Données projet'!G69)*19.4+'Données projet'!H69*10</f>
        <v>37.76</v>
      </c>
      <c r="D55" s="194">
        <f t="shared" si="4"/>
        <v>2945.2799999999997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66</v>
      </c>
      <c r="B56" s="196">
        <f>'Données projet'!D70</f>
        <v>65</v>
      </c>
      <c r="C56" s="210">
        <f>'Données projet'!E70*50+('Données projet'!F70+'Données projet'!G70)*19.4+'Données projet'!H70*10</f>
        <v>37.76</v>
      </c>
      <c r="D56" s="194">
        <f t="shared" si="4"/>
        <v>2454.4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70</v>
      </c>
      <c r="B57" s="196">
        <f>'Données projet'!D71</f>
        <v>480</v>
      </c>
      <c r="C57" s="210">
        <f>'Données projet'!E71*50+('Données projet'!F71+'Données projet'!G71)*19.4+'Données projet'!H71*10</f>
        <v>43.88</v>
      </c>
      <c r="D57" s="194">
        <f t="shared" si="4"/>
        <v>21062.400000000001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0</v>
      </c>
      <c r="B58" s="196">
        <f>'Données projet'!D72</f>
        <v>0</v>
      </c>
      <c r="C58" s="210">
        <f>'Données projet'!E72*50+('Données projet'!F72+'Données projet'!G72)*19.4+'Données projet'!H72*10</f>
        <v>0</v>
      </c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0</v>
      </c>
      <c r="B59" s="196">
        <f>'Données projet'!D73</f>
        <v>0</v>
      </c>
      <c r="C59" s="210">
        <f>'Données projet'!E73*50+('Données projet'!F73+'Données projet'!G73)*19.4+'Données projet'!H73*10</f>
        <v>0</v>
      </c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0</v>
      </c>
      <c r="B60" s="196">
        <f>'Données projet'!D74</f>
        <v>0</v>
      </c>
      <c r="C60" s="210">
        <f>'Données projet'!E74*50+('Données projet'!F74+'Données projet'!G74)*19.4+'Données projet'!H74*10</f>
        <v>0</v>
      </c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0</v>
      </c>
      <c r="B61" s="196">
        <f>'Données projet'!D75</f>
        <v>0</v>
      </c>
      <c r="C61" s="210">
        <f>'Données projet'!E75*50+('Données projet'!F75+'Données projet'!G75)*19.4+'Données projet'!H75*10</f>
        <v>0</v>
      </c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0</v>
      </c>
      <c r="B62" s="196">
        <f>'Données projet'!D76</f>
        <v>0</v>
      </c>
      <c r="C62" s="210">
        <f>'Données projet'!E76*50+('Données projet'!F76+'Données projet'!G76)*19.4+'Données projet'!H76*10</f>
        <v>0</v>
      </c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0</v>
      </c>
      <c r="B63" s="196">
        <f>'Données projet'!D77</f>
        <v>0</v>
      </c>
      <c r="C63" s="210">
        <f>'Données projet'!E77*50+('Données projet'!F77+'Données projet'!G77)*19.4+'Données projet'!H77*10</f>
        <v>0</v>
      </c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0</v>
      </c>
      <c r="B64" s="196">
        <f>'Données projet'!D78</f>
        <v>0</v>
      </c>
      <c r="C64" s="210">
        <f>'Données projet'!E78*50+('Données projet'!F78+'Données projet'!G78)*19.4+'Données projet'!H78*10</f>
        <v>0</v>
      </c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>Alisier torminal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>
        <f>6560*1.08</f>
        <v>7084.8</v>
      </c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56</v>
      </c>
      <c r="B74" s="196">
        <f>'Données projet'!D88</f>
        <v>28</v>
      </c>
      <c r="C74" s="210">
        <f>'Données projet'!E88*300+('Données projet'!F88+'Données projet'!G88)*19.4+'Données projet'!H88*10</f>
        <v>39</v>
      </c>
      <c r="D74" s="194">
        <f>B74*C74</f>
        <v>1092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64</v>
      </c>
      <c r="B75" s="196">
        <f>'Données projet'!D89</f>
        <v>33</v>
      </c>
      <c r="C75" s="210">
        <f>'Données projet'!E89*300+('Données projet'!F89+'Données projet'!G89)*19.4+'Données projet'!H89*10</f>
        <v>97</v>
      </c>
      <c r="D75" s="194">
        <f t="shared" ref="D75:D93" si="7">B75*C75</f>
        <v>3201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70</v>
      </c>
      <c r="B76" s="196">
        <f>'Données projet'!D90</f>
        <v>137</v>
      </c>
      <c r="C76" s="210">
        <f>'Données projet'!E90*300+('Données projet'!F90+'Données projet'!G90)*19.4+'Données projet'!H90*10</f>
        <v>242</v>
      </c>
      <c r="D76" s="194">
        <f t="shared" si="7"/>
        <v>33154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0</v>
      </c>
      <c r="B77" s="196">
        <f>'Données projet'!D91</f>
        <v>0</v>
      </c>
      <c r="C77" s="210">
        <f>'Données projet'!E91*40+('Données projet'!F91+'Données projet'!G91)*19.4+'Données projet'!H91*10</f>
        <v>0</v>
      </c>
      <c r="D77" s="194">
        <f t="shared" si="7"/>
        <v>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0</v>
      </c>
      <c r="B78" s="196">
        <f>'Données projet'!D92</f>
        <v>0</v>
      </c>
      <c r="C78" s="210">
        <f>'Données projet'!E92*40+('Données projet'!F92+'Données projet'!G92)*19.4+'Données projet'!H92*10</f>
        <v>0</v>
      </c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0</v>
      </c>
      <c r="B79" s="196">
        <f>'Données projet'!D93</f>
        <v>0</v>
      </c>
      <c r="C79" s="210">
        <f>'Données projet'!E93*40+('Données projet'!F93+'Données projet'!G93)*19.4+'Données projet'!H93*10</f>
        <v>0</v>
      </c>
      <c r="D79" s="194">
        <f t="shared" si="7"/>
        <v>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0</v>
      </c>
      <c r="B80" s="196">
        <f>'Données projet'!D94</f>
        <v>0</v>
      </c>
      <c r="C80" s="210">
        <f>'Données projet'!E94*40+('Données projet'!F94+'Données projet'!G94)*19.4+'Données projet'!H94*10</f>
        <v>0</v>
      </c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0</v>
      </c>
      <c r="B81" s="196">
        <f>'Données projet'!D95</f>
        <v>0</v>
      </c>
      <c r="C81" s="210">
        <f>'Données projet'!E95*40+('Données projet'!F95+'Données projet'!G95)*19.4+'Données projet'!H95*10</f>
        <v>0</v>
      </c>
      <c r="D81" s="194">
        <f t="shared" si="7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0</v>
      </c>
      <c r="B82" s="196">
        <f>'Données projet'!D96</f>
        <v>0</v>
      </c>
      <c r="C82" s="210">
        <f>'Données projet'!E96*150+('Données projet'!F96+'Données projet'!G96)*19.4+'Données projet'!H96*10</f>
        <v>0</v>
      </c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0</v>
      </c>
      <c r="B83" s="196">
        <f>'Données projet'!D97</f>
        <v>0</v>
      </c>
      <c r="C83" s="210">
        <f>'Données projet'!E97*150+('Données projet'!F97+'Données projet'!G97)*19.4+'Données projet'!H97*10</f>
        <v>0</v>
      </c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0</v>
      </c>
      <c r="B84" s="196">
        <f>'Données projet'!D98</f>
        <v>0</v>
      </c>
      <c r="C84" s="210">
        <f>'Données projet'!E98*150+('Données projet'!F98+'Données projet'!G98)*19.4+'Données projet'!H98*10</f>
        <v>0</v>
      </c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0</v>
      </c>
      <c r="B85" s="196">
        <f>'Données projet'!D99</f>
        <v>0</v>
      </c>
      <c r="C85" s="210">
        <f>'Données projet'!E99*150+('Données projet'!F99+'Données projet'!G99)*19.4+'Données projet'!H99*10</f>
        <v>0</v>
      </c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0</v>
      </c>
      <c r="B86" s="196">
        <f>'Données projet'!D100</f>
        <v>0</v>
      </c>
      <c r="C86" s="210">
        <f>'Données projet'!E100*150+('Données projet'!F100+'Données projet'!G100)*19.4+'Données projet'!H100*10</f>
        <v>0</v>
      </c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0</v>
      </c>
      <c r="B87" s="196">
        <f>'Données projet'!D101</f>
        <v>0</v>
      </c>
      <c r="C87" s="210">
        <f>'Données projet'!E101*150+('Données projet'!F101+'Données projet'!G101)*19.4+'Données projet'!H101*10</f>
        <v>0</v>
      </c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0</v>
      </c>
      <c r="B88" s="196">
        <f>'Données projet'!D102</f>
        <v>0</v>
      </c>
      <c r="C88" s="210">
        <f>'Données projet'!E102*150+('Données projet'!F102+'Données projet'!G102)*19.4+'Données projet'!H102*10</f>
        <v>0</v>
      </c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0</v>
      </c>
      <c r="B89" s="196">
        <f>'Données projet'!D103</f>
        <v>0</v>
      </c>
      <c r="C89" s="210">
        <f>'Données projet'!E103*150+('Données projet'!F103+'Données projet'!G103)*19.4+'Données projet'!H103*10</f>
        <v>0</v>
      </c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0</v>
      </c>
      <c r="B90" s="196">
        <f>'Données projet'!D104</f>
        <v>0</v>
      </c>
      <c r="C90" s="210">
        <f>'Données projet'!E104*150+('Données projet'!F104+'Données projet'!G104)*19.4+'Données projet'!H104*10</f>
        <v>0</v>
      </c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>
        <f>IF(R89+1&lt;=MIN('Données projet'!$E$9:$E$18),R89+1,"STOP")</f>
        <v>61</v>
      </c>
      <c r="S90" s="201">
        <f t="shared" si="6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0</v>
      </c>
      <c r="B91" s="196">
        <f>'Données projet'!D105</f>
        <v>0</v>
      </c>
      <c r="C91" s="210">
        <f>'Données projet'!E105*150+('Données projet'!F105+'Données projet'!G105)*19.4+'Données projet'!H105*10</f>
        <v>0</v>
      </c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>
        <f>IF(R90+1&lt;=MIN('Données projet'!$E$9:$E$18),R90+1,"STOP")</f>
        <v>62</v>
      </c>
      <c r="S91" s="201">
        <f t="shared" si="6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0</v>
      </c>
      <c r="B92" s="196">
        <f>'Données projet'!D106</f>
        <v>0</v>
      </c>
      <c r="C92" s="210">
        <f>'Données projet'!E106*150+('Données projet'!F106+'Données projet'!G106)*19.4+'Données projet'!H106*10</f>
        <v>0</v>
      </c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>
        <f>IF(R91+1&lt;=MIN('Données projet'!$E$9:$E$18),R91+1,"STOP")</f>
        <v>63</v>
      </c>
      <c r="S92" s="201">
        <f t="shared" si="6"/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0</v>
      </c>
      <c r="B93" s="196">
        <f>'Données projet'!D107</f>
        <v>0</v>
      </c>
      <c r="C93" s="210">
        <f>'Données projet'!E107*150+('Données projet'!F107+'Données projet'!G107)*19.4+'Données projet'!H107*10</f>
        <v>0</v>
      </c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>
        <f>IF(R92+1&lt;=MIN('Données projet'!$E$9:$E$18),R92+1,"STOP")</f>
        <v>64</v>
      </c>
      <c r="S93" s="201">
        <f t="shared" ref="S93:S98" si="8">$T$24/(1+$J$6)^R93</f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>
        <f>IF(R93+1&lt;=MIN('Données projet'!$E$9:$E$18),R93+1,"STOP")</f>
        <v>65</v>
      </c>
      <c r="S94" s="201">
        <f t="shared" si="8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>
        <f>IF(R94+1&lt;=MIN('Données projet'!$E$9:$E$18),R94+1,"STOP")</f>
        <v>66</v>
      </c>
      <c r="S95" s="201">
        <f t="shared" si="8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>
        <f>IF(R95+1&lt;=MIN('Données projet'!$E$9:$E$18),R95+1,"STOP")</f>
        <v>67</v>
      </c>
      <c r="S96" s="201">
        <f t="shared" si="8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>
        <f>IF(R96+1&lt;=MIN('Données projet'!$E$9:$E$18),R96+1,"STOP")</f>
        <v>68</v>
      </c>
      <c r="S97" s="201">
        <f t="shared" si="8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>
        <f>IF(R97+1&lt;=MIN('Données projet'!$E$9:$E$18),R97+1,"STOP")</f>
        <v>69</v>
      </c>
      <c r="S98" s="201">
        <f t="shared" si="8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>
        <f>2262*1.12</f>
        <v>2533.44</v>
      </c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>
        <f>IF(R98+1&lt;=MIN('Données projet'!$E$9:$E$18),R98+1,"STOP")</f>
        <v>70</v>
      </c>
      <c r="S99" s="201">
        <f t="shared" ref="S99:S128" si="9">$T$24/(1+$J$6)^R99</f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25</v>
      </c>
      <c r="B100" s="196">
        <f>'Données projet'!D114</f>
        <v>0</v>
      </c>
      <c r="C100" s="210">
        <f>'Données projet'!E114*40+('Données projet'!F114+'Données projet'!G114)*19.4+'Données projet'!H114*10</f>
        <v>10</v>
      </c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str">
        <f>IF(R99+1&lt;=MIN('Données projet'!$E$9:$E$18),R99+1,"STOP")</f>
        <v>STOP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30</v>
      </c>
      <c r="B101" s="196">
        <f>'Données projet'!D115</f>
        <v>0</v>
      </c>
      <c r="C101" s="210">
        <f>'Données projet'!E115*40+('Données projet'!F115+'Données projet'!G115)*19.4+'Données projet'!H115*10</f>
        <v>10</v>
      </c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35</v>
      </c>
      <c r="B102" s="196">
        <f>'Données projet'!D116</f>
        <v>14</v>
      </c>
      <c r="C102" s="210">
        <f>'Données projet'!E116*40+('Données projet'!F116+'Données projet'!G116)*19.4+'Données projet'!H116*10</f>
        <v>10</v>
      </c>
      <c r="D102" s="194">
        <f t="shared" si="10"/>
        <v>140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40</v>
      </c>
      <c r="B103" s="196">
        <f>'Données projet'!D117</f>
        <v>14</v>
      </c>
      <c r="C103" s="210">
        <f>'Données projet'!E117*40+('Données projet'!F117+'Données projet'!G117)*19.4+'Données projet'!H117*10</f>
        <v>16</v>
      </c>
      <c r="D103" s="194">
        <f t="shared" si="10"/>
        <v>224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45</v>
      </c>
      <c r="B104" s="196">
        <f>'Données projet'!D118</f>
        <v>14</v>
      </c>
      <c r="C104" s="210">
        <f>'Données projet'!E118*40+('Données projet'!F118+'Données projet'!G118)*19.4+'Données projet'!H118*10</f>
        <v>16</v>
      </c>
      <c r="D104" s="194">
        <f t="shared" si="10"/>
        <v>224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50</v>
      </c>
      <c r="B105" s="196">
        <f>'Données projet'!D119</f>
        <v>14</v>
      </c>
      <c r="C105" s="210">
        <f>'Données projet'!E119*40+('Données projet'!F119+'Données projet'!G119)*19.4+'Données projet'!H119*10</f>
        <v>19</v>
      </c>
      <c r="D105" s="194">
        <f t="shared" si="10"/>
        <v>266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55</v>
      </c>
      <c r="B106" s="196">
        <f>'Données projet'!D120</f>
        <v>14</v>
      </c>
      <c r="C106" s="210">
        <f>'Données projet'!E120*40+('Données projet'!F120+'Données projet'!G120)*19.4+'Données projet'!H120*10</f>
        <v>19</v>
      </c>
      <c r="D106" s="194">
        <f t="shared" si="10"/>
        <v>266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60</v>
      </c>
      <c r="B107" s="196">
        <f>'Données projet'!D121</f>
        <v>14</v>
      </c>
      <c r="C107" s="210">
        <f>'Données projet'!E121*40+('Données projet'!F121+'Données projet'!G121)*19.4+'Données projet'!H121*10</f>
        <v>22</v>
      </c>
      <c r="D107" s="194">
        <f t="shared" si="10"/>
        <v>308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65</v>
      </c>
      <c r="B108" s="196">
        <f>'Données projet'!D122</f>
        <v>14</v>
      </c>
      <c r="C108" s="210">
        <f>'Données projet'!E122*40+('Données projet'!F122+'Données projet'!G122)*19.4+'Données projet'!H122*10</f>
        <v>22</v>
      </c>
      <c r="D108" s="194">
        <f t="shared" si="10"/>
        <v>308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70</v>
      </c>
      <c r="B109" s="196">
        <f>'Données projet'!D123</f>
        <v>14</v>
      </c>
      <c r="C109" s="210">
        <f>'Données projet'!E123*40+('Données projet'!F123+'Données projet'!G123)*19.4+'Données projet'!H123*10</f>
        <v>25</v>
      </c>
      <c r="D109" s="194">
        <f t="shared" si="10"/>
        <v>350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75</v>
      </c>
      <c r="B110" s="196">
        <f>'Données projet'!D124</f>
        <v>14</v>
      </c>
      <c r="C110" s="210">
        <f>'Données projet'!E124*40+('Données projet'!F124+'Données projet'!G124)*19.4+'Données projet'!H124*10</f>
        <v>25</v>
      </c>
      <c r="D110" s="194">
        <f t="shared" si="10"/>
        <v>350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80</v>
      </c>
      <c r="B111" s="196">
        <f>'Données projet'!D125</f>
        <v>14</v>
      </c>
      <c r="C111" s="210">
        <f>'Données projet'!E125*40+('Données projet'!F125+'Données projet'!G125)*19.4+'Données projet'!H125*10</f>
        <v>28</v>
      </c>
      <c r="D111" s="194">
        <f t="shared" si="10"/>
        <v>392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85</v>
      </c>
      <c r="B112" s="196">
        <f>'Données projet'!D126</f>
        <v>14</v>
      </c>
      <c r="C112" s="210">
        <f>'Données projet'!E126*40+('Données projet'!F126+'Données projet'!G126)*19.4+'Données projet'!H126*10</f>
        <v>28</v>
      </c>
      <c r="D112" s="194">
        <f t="shared" si="10"/>
        <v>392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90</v>
      </c>
      <c r="B113" s="196">
        <f>'Données projet'!D127</f>
        <v>14</v>
      </c>
      <c r="C113" s="210">
        <f>'Données projet'!E127*40+('Données projet'!F127+'Données projet'!G127)*19.4+'Données projet'!H127*10</f>
        <v>31</v>
      </c>
      <c r="D113" s="194">
        <f t="shared" si="10"/>
        <v>434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95</v>
      </c>
      <c r="B114" s="196">
        <f>'Données projet'!D128</f>
        <v>14</v>
      </c>
      <c r="C114" s="210">
        <f>'Données projet'!E128*40+('Données projet'!F128+'Données projet'!G128)*19.4+'Données projet'!H128*10</f>
        <v>31</v>
      </c>
      <c r="D114" s="194">
        <f t="shared" si="10"/>
        <v>434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100</v>
      </c>
      <c r="B115" s="196">
        <f>'Données projet'!D129</f>
        <v>216</v>
      </c>
      <c r="C115" s="210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0</v>
      </c>
      <c r="B116" s="196">
        <f>'Données projet'!D130</f>
        <v>0</v>
      </c>
      <c r="C116" s="210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16</v>
      </c>
      <c r="B126" s="190">
        <f>'Données projet'!D140</f>
        <v>0</v>
      </c>
      <c r="C126" s="210">
        <f>'Données projet'!E140*60+('Données projet'!F140+'Données projet'!G140)*19.4+'Données projet'!H140*10</f>
        <v>19.399999999999999</v>
      </c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22</v>
      </c>
      <c r="B127" s="190">
        <f>'Données projet'!D141</f>
        <v>6.9</v>
      </c>
      <c r="C127" s="210">
        <f>'Données projet'!E141*60+('Données projet'!F141+'Données projet'!G141)*19.4+'Données projet'!H141*10</f>
        <v>19.399999999999999</v>
      </c>
      <c r="D127" s="197">
        <f t="shared" ref="D127:D145" si="11">B127*C127</f>
        <v>133.85999999999999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28</v>
      </c>
      <c r="B128" s="190">
        <f>'Données projet'!D142</f>
        <v>18.600000000000001</v>
      </c>
      <c r="C128" s="210">
        <f>'Données projet'!E142*60+('Données projet'!F142+'Données projet'!G142)*19.4+'Données projet'!H142*10</f>
        <v>19.399999999999999</v>
      </c>
      <c r="D128" s="197">
        <f t="shared" si="11"/>
        <v>360.84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34</v>
      </c>
      <c r="B129" s="190">
        <f>'Données projet'!D143</f>
        <v>35.4</v>
      </c>
      <c r="C129" s="210">
        <f>'Données projet'!E143*60+('Données projet'!F143+'Données projet'!G143)*19.4+'Données projet'!H143*10</f>
        <v>27.52</v>
      </c>
      <c r="D129" s="197">
        <f t="shared" si="11"/>
        <v>974.20799999999997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38</v>
      </c>
      <c r="B130" s="190">
        <f>'Données projet'!D144</f>
        <v>0</v>
      </c>
      <c r="C130" s="210">
        <f>'Données projet'!E144*60+('Données projet'!F144+'Données projet'!G144)*19.4+'Données projet'!H144*10</f>
        <v>27.52</v>
      </c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42</v>
      </c>
      <c r="B131" s="190">
        <f>'Données projet'!D145</f>
        <v>58.4</v>
      </c>
      <c r="C131" s="210">
        <f>'Données projet'!E145*60+('Données projet'!F145+'Données projet'!G145)*19.4+'Données projet'!H145*10</f>
        <v>39.700000000000003</v>
      </c>
      <c r="D131" s="197">
        <f t="shared" si="11"/>
        <v>2318.48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46</v>
      </c>
      <c r="B132" s="190">
        <f>'Données projet'!D146</f>
        <v>0</v>
      </c>
      <c r="C132" s="210">
        <f>'Données projet'!E146*60+('Données projet'!F146+'Données projet'!G146)*19.4+'Données projet'!H146*10</f>
        <v>39.700000000000003</v>
      </c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50</v>
      </c>
      <c r="B133" s="190">
        <f>'Données projet'!D147</f>
        <v>215.6</v>
      </c>
      <c r="C133" s="210">
        <f>'Données projet'!E147*60+('Données projet'!F147+'Données projet'!G147)*19.4+'Données projet'!H147*10</f>
        <v>51.88</v>
      </c>
      <c r="D133" s="197">
        <f t="shared" si="11"/>
        <v>11185.328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0</v>
      </c>
      <c r="B134" s="190">
        <f>'Données projet'!D148</f>
        <v>0</v>
      </c>
      <c r="C134" s="210">
        <f>'Données projet'!E148*60+('Données projet'!F148+'Données projet'!G148)*19.4+'Données projet'!H148*10</f>
        <v>0</v>
      </c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10">
        <f>'Données projet'!E149*60+('Données projet'!F149+'Données projet'!G149)*19.4+'Données projet'!H149*10</f>
        <v>0</v>
      </c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10">
        <f>'Données projet'!E150*60+('Données projet'!F150+'Données projet'!G150)*19.4+'Données projet'!H150*10</f>
        <v>0</v>
      </c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10">
        <f>'Données projet'!E151*60+('Données projet'!F151+'Données projet'!G151)*19.4+'Données projet'!H151*10</f>
        <v>0</v>
      </c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10">
        <f>'Données projet'!E152*60+('Données projet'!F152+'Données projet'!G152)*19.4+'Données projet'!H152*10</f>
        <v>0</v>
      </c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10">
        <f>'Données projet'!E153*60+('Données projet'!F153+'Données projet'!G153)*19.4+'Données projet'!H153*10</f>
        <v>0</v>
      </c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10">
        <f>'Données projet'!E154*60+('Données projet'!F154+'Données projet'!G154)*19.4+'Données projet'!H154*10</f>
        <v>0</v>
      </c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10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10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>
        <f>'Données projet'!E166*42+('Données projet'!F166+'Données projet'!G166)*19.4+'Données projet'!H166*10</f>
        <v>0</v>
      </c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>
        <f>'Données projet'!E167*42+('Données projet'!F167+'Données projet'!G167)*19.4+'Données projet'!H167*10</f>
        <v>0</v>
      </c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>
        <f>'Données projet'!E168*42+('Données projet'!F168+'Données projet'!G168)*19.4+'Données projet'!H168*10</f>
        <v>0</v>
      </c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>
        <f>'Données projet'!E169*42+('Données projet'!F169+'Données projet'!G169)*19.4+'Données projet'!H169*10</f>
        <v>0</v>
      </c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M.</cp:lastModifiedBy>
  <dcterms:created xsi:type="dcterms:W3CDTF">2021-02-01T08:22:39Z</dcterms:created>
  <dcterms:modified xsi:type="dcterms:W3CDTF">2021-10-05T14:59:22Z</dcterms:modified>
</cp:coreProperties>
</file>