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justine.campredon/Desktop/"/>
    </mc:Choice>
  </mc:AlternateContent>
  <xr:revisionPtr revIDLastSave="0" documentId="13_ncr:1_{3FD4C3EF-E764-F048-9326-1F47675E96D0}" xr6:coauthVersionLast="47" xr6:coauthVersionMax="47" xr10:uidLastSave="{00000000-0000-0000-0000-000000000000}"/>
  <bookViews>
    <workbookView xWindow="0" yWindow="0" windowWidth="28800" windowHeight="18000" tabRatio="866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  <c r="C11" i="1"/>
  <c r="C10" i="1"/>
  <c r="C9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EB7" i="2"/>
  <c r="HI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EA10" i="2"/>
  <c r="HH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FS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FS20" i="2"/>
  <c r="EW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H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A38" i="2"/>
  <c r="FS38" i="2"/>
  <c r="EW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C78" i="2"/>
  <c r="EV78" i="2"/>
  <c r="EB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C85" i="2"/>
  <c r="HH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X98" i="2"/>
  <c r="FS98" i="2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W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EW113" i="2"/>
  <c r="FS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I122" i="2"/>
  <c r="HH122" i="2"/>
  <c r="EC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EW124" i="2"/>
  <c r="HH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A139" i="2"/>
  <c r="HH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EX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HG144" i="2"/>
  <c r="HH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EB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EX155" i="2"/>
  <c r="EW155" i="2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AB156" i="2"/>
  <c r="EB156" i="2"/>
  <c r="DH156" i="2"/>
  <c r="EX156" i="2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CN156" i="2"/>
  <c r="EX157" i="2"/>
  <c r="HH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W158" i="2"/>
  <c r="EV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DG160" i="2"/>
  <c r="EC160" i="2"/>
  <c r="EY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EA161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EY161" i="2"/>
  <c r="EW162" i="2"/>
  <c r="DI161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Y162" i="2"/>
  <c r="EV163" i="2"/>
  <c r="EA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A164" i="2"/>
  <c r="EY163" i="2"/>
  <c r="DI163" i="2"/>
  <c r="EX164" i="2"/>
  <c r="EV164" i="2"/>
  <c r="DH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DG167" i="2"/>
  <c r="EX167" i="2"/>
  <c r="EB167" i="2"/>
  <c r="HH167" i="2"/>
  <c r="EC167" i="2"/>
  <c r="HI167" i="2"/>
  <c r="EA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DG168" i="2"/>
  <c r="EC168" i="2"/>
  <c r="EV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D171" i="2"/>
  <c r="EY171" i="2"/>
  <c r="EV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D174" i="2"/>
  <c r="EW175" i="2"/>
  <c r="EA175" i="2"/>
  <c r="FS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HG178" i="2"/>
  <c r="EB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EV179" i="2"/>
  <c r="DF179" i="2"/>
  <c r="EA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Y184" i="2"/>
  <c r="EW185" i="2"/>
  <c r="EB185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B186" i="2"/>
  <c r="ED185" i="2"/>
  <c r="EW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B190" i="2" l="1"/>
  <c r="EW190" i="2"/>
  <c r="EV190" i="2"/>
  <c r="EY189" i="2"/>
  <c r="ED189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DI192" i="2"/>
  <c r="EB193" i="2"/>
  <c r="EA193" i="2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CN193" i="2"/>
  <c r="EA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B195" i="2"/>
  <c r="EY194" i="2"/>
  <c r="EA195" i="2"/>
  <c r="DH195" i="2"/>
  <c r="EX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EA199" i="2"/>
  <c r="HG199" i="2"/>
  <c r="HH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B201" i="2" l="1"/>
  <c r="ED200" i="2"/>
  <c r="EY200" i="2"/>
  <c r="DI200" i="2"/>
  <c r="EA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D201" i="2" l="1"/>
  <c r="EY201" i="2"/>
  <c r="EX202" i="2"/>
  <c r="FZ6" i="2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DN6" i="2" a="1"/>
  <c r="DN6" i="2" s="1"/>
  <c r="DO6" i="2" s="1"/>
  <c r="FD82" i="2" a="1"/>
  <c r="FD82" i="2" s="1"/>
  <c r="HJ202" i="2"/>
  <c r="AX200" i="2"/>
  <c r="BC114" i="2" l="1" a="1"/>
  <c r="BC114" i="2" s="1"/>
  <c r="EY202" i="2"/>
  <c r="AH199" i="2" a="1"/>
  <c r="AH199" i="2" s="1"/>
  <c r="AH90" i="2" a="1"/>
  <c r="AH90" i="2" s="1"/>
  <c r="CS116" i="2" a="1"/>
  <c r="CS116" i="2" s="1"/>
  <c r="CS72" i="2" a="1"/>
  <c r="CS72" i="2" s="1"/>
  <c r="DN187" i="2" a="1"/>
  <c r="DN187" i="2" s="1"/>
  <c r="DN56" i="2" a="1"/>
  <c r="DN56" i="2" s="1"/>
  <c r="DN50" i="2" a="1"/>
  <c r="DN50" i="2" s="1"/>
  <c r="DN80" i="2" a="1"/>
  <c r="DN80" i="2" s="1"/>
  <c r="DN63" i="2" a="1"/>
  <c r="DN63" i="2" s="1"/>
  <c r="DN16" i="2" a="1"/>
  <c r="DN16" i="2" s="1"/>
  <c r="DN167" i="2" a="1"/>
  <c r="DN167" i="2" s="1"/>
  <c r="DN123" i="2" a="1"/>
  <c r="DN123" i="2" s="1"/>
  <c r="DN137" i="2" a="1"/>
  <c r="DN137" i="2" s="1"/>
  <c r="DN176" i="2" a="1"/>
  <c r="DN176" i="2" s="1"/>
  <c r="DN190" i="2" a="1"/>
  <c r="DN190" i="2" s="1"/>
  <c r="DN168" i="2" a="1"/>
  <c r="DN168" i="2" s="1"/>
  <c r="DN31" i="2" a="1"/>
  <c r="DN31" i="2" s="1"/>
  <c r="DN192" i="2" a="1"/>
  <c r="DN192" i="2" s="1"/>
  <c r="DN45" i="2" a="1"/>
  <c r="DN45" i="2" s="1"/>
  <c r="DN65" i="2" a="1"/>
  <c r="DN65" i="2" s="1"/>
  <c r="DN49" i="2" a="1"/>
  <c r="DN49" i="2" s="1"/>
  <c r="DN66" i="2" a="1"/>
  <c r="DN66" i="2" s="1"/>
  <c r="DN124" i="2" a="1"/>
  <c r="DN124" i="2" s="1"/>
  <c r="DN155" i="2" a="1"/>
  <c r="DN155" i="2" s="1"/>
  <c r="DN132" i="2" a="1"/>
  <c r="DN132" i="2" s="1"/>
  <c r="DN70" i="2" a="1"/>
  <c r="DN70" i="2" s="1"/>
  <c r="DN164" i="2" a="1"/>
  <c r="DN164" i="2" s="1"/>
  <c r="DN153" i="2" a="1"/>
  <c r="DN153" i="2" s="1"/>
  <c r="DN150" i="2" a="1"/>
  <c r="DN150" i="2" s="1"/>
  <c r="DN162" i="2" a="1"/>
  <c r="DN162" i="2" s="1"/>
  <c r="DN55" i="2" a="1"/>
  <c r="DN55" i="2" s="1"/>
  <c r="DN135" i="2" a="1"/>
  <c r="DN135" i="2" s="1"/>
  <c r="DN114" i="2" a="1"/>
  <c r="DN114" i="2" s="1"/>
  <c r="DN170" i="2" a="1"/>
  <c r="DN170" i="2" s="1"/>
  <c r="DN133" i="2" a="1"/>
  <c r="DN133" i="2" s="1"/>
  <c r="DN30" i="2" a="1"/>
  <c r="DN30" i="2" s="1"/>
  <c r="DN46" i="2" a="1"/>
  <c r="DN46" i="2" s="1"/>
  <c r="DN110" i="2" a="1"/>
  <c r="DN110" i="2" s="1"/>
  <c r="DN38" i="2" a="1"/>
  <c r="DN38" i="2" s="1"/>
  <c r="DN103" i="2" a="1"/>
  <c r="DN103" i="2" s="1"/>
  <c r="DN129" i="2" a="1"/>
  <c r="DN129" i="2" s="1"/>
  <c r="DN115" i="2" a="1"/>
  <c r="DN115" i="2" s="1"/>
  <c r="DN152" i="2" a="1"/>
  <c r="DN152" i="2" s="1"/>
  <c r="DN188" i="2" a="1"/>
  <c r="DN188" i="2" s="1"/>
  <c r="DN113" i="2" a="1"/>
  <c r="DN113" i="2" s="1"/>
  <c r="DN86" i="2" a="1"/>
  <c r="DN86" i="2" s="1"/>
  <c r="DN25" i="2" a="1"/>
  <c r="DN25" i="2" s="1"/>
  <c r="DN177" i="2" a="1"/>
  <c r="DN177" i="2" s="1"/>
  <c r="DN184" i="2" a="1"/>
  <c r="DN184" i="2" s="1"/>
  <c r="DN186" i="2" a="1"/>
  <c r="DN186" i="2" s="1"/>
  <c r="DN29" i="2" a="1"/>
  <c r="DN29" i="2" s="1"/>
  <c r="DN41" i="2" a="1"/>
  <c r="DN41" i="2" s="1"/>
  <c r="DN43" i="2" a="1"/>
  <c r="DN43" i="2" s="1"/>
  <c r="EI37" i="2" a="1"/>
  <c r="EI37" i="2" s="1"/>
  <c r="EI139" i="2" a="1"/>
  <c r="EI139" i="2" s="1"/>
  <c r="EI36" i="2" a="1"/>
  <c r="EI36" i="2" s="1"/>
  <c r="EI71" i="2" a="1"/>
  <c r="EI71" i="2" s="1"/>
  <c r="EI153" i="2" a="1"/>
  <c r="EI153" i="2" s="1"/>
  <c r="EI35" i="2" a="1"/>
  <c r="EI35" i="2" s="1"/>
  <c r="EI57" i="2" a="1"/>
  <c r="EI57" i="2" s="1"/>
  <c r="EI106" i="2" a="1"/>
  <c r="EI106" i="2" s="1"/>
  <c r="EI67" i="2" a="1"/>
  <c r="EI67" i="2" s="1"/>
  <c r="EI16" i="2" a="1"/>
  <c r="EI16" i="2" s="1"/>
  <c r="EI166" i="2" a="1"/>
  <c r="EI166" i="2" s="1"/>
  <c r="EI198" i="2" a="1"/>
  <c r="EI198" i="2" s="1"/>
  <c r="EI20" i="2" a="1"/>
  <c r="EI20" i="2" s="1"/>
  <c r="EI170" i="2" a="1"/>
  <c r="EI170" i="2" s="1"/>
  <c r="EI165" i="2" a="1"/>
  <c r="EI165" i="2" s="1"/>
  <c r="EI34" i="2" a="1"/>
  <c r="EI34" i="2" s="1"/>
  <c r="EI178" i="2" a="1"/>
  <c r="EI178" i="2" s="1"/>
  <c r="EI113" i="2" a="1"/>
  <c r="EI113" i="2" s="1"/>
  <c r="EI87" i="2" a="1"/>
  <c r="EI87" i="2" s="1"/>
  <c r="EI128" i="2" a="1"/>
  <c r="EI128" i="2" s="1"/>
  <c r="EI109" i="2" a="1"/>
  <c r="EI109" i="2" s="1"/>
  <c r="EI38" i="2" a="1"/>
  <c r="EI38" i="2" s="1"/>
  <c r="EI195" i="2" a="1"/>
  <c r="EI195" i="2" s="1"/>
  <c r="EI142" i="2" a="1"/>
  <c r="EI142" i="2" s="1"/>
  <c r="EI29" i="2" a="1"/>
  <c r="EI29" i="2" s="1"/>
  <c r="EI145" i="2" a="1"/>
  <c r="EI145" i="2" s="1"/>
  <c r="EI162" i="2" a="1"/>
  <c r="EI162" i="2" s="1"/>
  <c r="EI150" i="2" a="1"/>
  <c r="EI150" i="2" s="1"/>
  <c r="CS38" i="2" a="1"/>
  <c r="CS38" i="2" s="1"/>
  <c r="CS105" i="2" a="1"/>
  <c r="CS105" i="2" s="1"/>
  <c r="CS66" i="2" a="1"/>
  <c r="CS66" i="2" s="1"/>
  <c r="CS114" i="2" a="1"/>
  <c r="CS114" i="2" s="1"/>
  <c r="CS56" i="2" a="1"/>
  <c r="CS56" i="2" s="1"/>
  <c r="CS134" i="2" a="1"/>
  <c r="CS134" i="2" s="1"/>
  <c r="CS185" i="2" a="1"/>
  <c r="CS185" i="2" s="1"/>
  <c r="CS120" i="2" a="1"/>
  <c r="CS120" i="2" s="1"/>
  <c r="CS24" i="2" a="1"/>
  <c r="CS24" i="2" s="1"/>
  <c r="CS137" i="2" a="1"/>
  <c r="CS137" i="2" s="1"/>
  <c r="CS77" i="2" a="1"/>
  <c r="CS77" i="2" s="1"/>
  <c r="CS161" i="2" a="1"/>
  <c r="CS161" i="2" s="1"/>
  <c r="CS129" i="2" a="1"/>
  <c r="CS129" i="2" s="1"/>
  <c r="CS52" i="2" a="1"/>
  <c r="CS52" i="2" s="1"/>
  <c r="BX107" i="2" a="1"/>
  <c r="BX107" i="2" s="1"/>
  <c r="AH62" i="2" a="1"/>
  <c r="AH62" i="2" s="1"/>
  <c r="AH163" i="2" a="1"/>
  <c r="AH163" i="2" s="1"/>
  <c r="AH19" i="2" a="1"/>
  <c r="AH19" i="2" s="1"/>
  <c r="AH151" i="2" a="1"/>
  <c r="AH151" i="2" s="1"/>
  <c r="AH166" i="2" a="1"/>
  <c r="AH166" i="2" s="1"/>
  <c r="FR203" i="2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EY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CY116" i="2" l="1"/>
  <c r="CY158" i="2"/>
  <c r="CY46" i="2"/>
  <c r="CY171" i="2"/>
  <c r="CY34" i="2"/>
  <c r="CY124" i="2"/>
  <c r="CY90" i="2"/>
  <c r="CY86" i="2"/>
  <c r="CY147" i="2"/>
  <c r="CY42" i="2"/>
  <c r="CY190" i="2"/>
  <c r="CY141" i="2"/>
  <c r="CY25" i="2"/>
  <c r="CY143" i="2"/>
  <c r="CY78" i="2"/>
  <c r="CY51" i="2"/>
  <c r="CY170" i="2"/>
  <c r="CY186" i="2"/>
  <c r="CY168" i="2"/>
  <c r="CY166" i="2"/>
  <c r="CY134" i="2"/>
  <c r="CY167" i="2"/>
  <c r="CY7" i="2"/>
  <c r="CY99" i="2"/>
  <c r="CY196" i="2"/>
  <c r="CY43" i="2"/>
  <c r="CY172" i="2"/>
  <c r="CY82" i="2"/>
  <c r="CY146" i="2"/>
  <c r="CY92" i="2"/>
  <c r="CY11" i="2"/>
  <c r="CY203" i="2"/>
  <c r="CY80" i="2"/>
  <c r="CY54" i="2"/>
  <c r="CY18" i="2"/>
  <c r="CY47" i="2"/>
  <c r="CY44" i="2"/>
  <c r="CY74" i="2"/>
  <c r="CY21" i="2"/>
  <c r="CY41" i="2"/>
  <c r="CY163" i="2"/>
  <c r="CY192" i="2"/>
  <c r="CY4" i="2"/>
  <c r="CY45" i="2"/>
  <c r="CY104" i="2"/>
  <c r="CY67" i="2"/>
  <c r="CY23" i="2"/>
  <c r="CY30" i="2"/>
  <c r="CY135" i="2"/>
  <c r="CY91" i="2"/>
  <c r="CY175" i="2"/>
  <c r="CY100" i="2"/>
  <c r="CY60" i="2"/>
  <c r="CY32" i="2"/>
  <c r="CY137" i="2"/>
  <c r="CY108" i="2"/>
  <c r="CY38" i="2"/>
  <c r="CY9" i="2"/>
  <c r="CY12" i="2"/>
  <c r="CY185" i="2"/>
  <c r="CY59" i="2"/>
  <c r="CY49" i="2"/>
  <c r="CY149" i="2"/>
  <c r="CY40" i="2"/>
  <c r="CY153" i="2"/>
  <c r="CY154" i="2"/>
  <c r="CY20" i="2"/>
  <c r="CY202" i="2"/>
  <c r="CY169" i="2"/>
  <c r="CY57" i="2"/>
  <c r="CY14" i="2"/>
  <c r="CY16" i="2"/>
  <c r="CY52" i="2"/>
  <c r="CY136" i="2"/>
  <c r="CY138" i="2"/>
  <c r="CY162" i="2"/>
  <c r="CY161" i="2"/>
  <c r="CY130" i="2"/>
  <c r="CY112" i="2"/>
  <c r="CY159" i="2"/>
  <c r="CY3" i="2"/>
  <c r="C10" i="4" s="1"/>
  <c r="E10" i="4" s="1"/>
  <c r="F10" i="4" s="1"/>
  <c r="G10" i="4" s="1"/>
  <c r="L10" i="4" s="1"/>
  <c r="CY94" i="2"/>
  <c r="CY164" i="2"/>
  <c r="CY155" i="2"/>
  <c r="CY145" i="2"/>
  <c r="CY76" i="2"/>
  <c r="CY117" i="2"/>
  <c r="CY66" i="2"/>
  <c r="CY89" i="2"/>
  <c r="CY95" i="2"/>
  <c r="CY142" i="2"/>
  <c r="CY5" i="2"/>
  <c r="CY120" i="2"/>
  <c r="CY48" i="2"/>
  <c r="CY58" i="2"/>
  <c r="CY114" i="2"/>
  <c r="CY197" i="2"/>
  <c r="CY128" i="2"/>
  <c r="CY201" i="2"/>
  <c r="CY31" i="2"/>
  <c r="CY56" i="2"/>
  <c r="CY193" i="2"/>
  <c r="CY33" i="2"/>
  <c r="CY22" i="2"/>
  <c r="CY26" i="2"/>
  <c r="CY102" i="2"/>
  <c r="CY173" i="2"/>
  <c r="CY152" i="2"/>
  <c r="CY88" i="2"/>
  <c r="CY83" i="2"/>
  <c r="CY148" i="2"/>
  <c r="CY77" i="2"/>
  <c r="CY36" i="2"/>
  <c r="CY53" i="2"/>
  <c r="CY96" i="2"/>
  <c r="CY28" i="2"/>
  <c r="CY55" i="2"/>
  <c r="CY75" i="2"/>
  <c r="CY107" i="2"/>
  <c r="CY174" i="2"/>
  <c r="CY178" i="2"/>
  <c r="CY127" i="2"/>
  <c r="CY122" i="2"/>
  <c r="CY132" i="2"/>
  <c r="CY87" i="2"/>
  <c r="CY8" i="2"/>
  <c r="CY156" i="2"/>
  <c r="CY129" i="2"/>
  <c r="CY72" i="2"/>
  <c r="CY119" i="2"/>
  <c r="CY111" i="2"/>
  <c r="CY144" i="2"/>
  <c r="CY188" i="2"/>
  <c r="CY109" i="2"/>
  <c r="CY181" i="2"/>
  <c r="CY165" i="2"/>
  <c r="CY180" i="2"/>
  <c r="CY160" i="2"/>
  <c r="CY103" i="2"/>
  <c r="CY179" i="2"/>
  <c r="CY199" i="2"/>
  <c r="CY85" i="2"/>
  <c r="CY24" i="2"/>
  <c r="CY151" i="2"/>
  <c r="CY37" i="2"/>
  <c r="CY150" i="2"/>
  <c r="CY39" i="2"/>
  <c r="CY139" i="2"/>
  <c r="CY123" i="2"/>
  <c r="CY13" i="2"/>
  <c r="CY177" i="2"/>
  <c r="CY140" i="2"/>
  <c r="CY70" i="2"/>
  <c r="CY125" i="2"/>
  <c r="CY195" i="2"/>
  <c r="CY62" i="2"/>
  <c r="CY184" i="2"/>
  <c r="CY131" i="2"/>
  <c r="CY17" i="2"/>
  <c r="CY113" i="2"/>
  <c r="CY35" i="2"/>
  <c r="CY118" i="2"/>
  <c r="CY98" i="2"/>
  <c r="CY73" i="2"/>
  <c r="CY105" i="2"/>
  <c r="CY182" i="2"/>
  <c r="CY110" i="2"/>
  <c r="CY64" i="2"/>
  <c r="CY81" i="2"/>
  <c r="CY68" i="2"/>
  <c r="CY183" i="2"/>
  <c r="CY19" i="2"/>
  <c r="CY194" i="2"/>
  <c r="CY6" i="2"/>
  <c r="CY121" i="2"/>
  <c r="CY126" i="2"/>
  <c r="CY27" i="2"/>
  <c r="CY115" i="2"/>
  <c r="CY101" i="2"/>
  <c r="CY63" i="2"/>
  <c r="CY61" i="2"/>
  <c r="CY10" i="2"/>
  <c r="CY200" i="2"/>
  <c r="CY189" i="2"/>
  <c r="CY69" i="2"/>
  <c r="CY50" i="2"/>
  <c r="CY187" i="2"/>
  <c r="CY65" i="2"/>
  <c r="CY198" i="2"/>
  <c r="CY191" i="2"/>
  <c r="CY15" i="2"/>
  <c r="CY133" i="2"/>
  <c r="CY84" i="2"/>
  <c r="CY71" i="2"/>
  <c r="CY157" i="2"/>
  <c r="CY79" i="2"/>
  <c r="CY93" i="2"/>
  <c r="CY106" i="2"/>
  <c r="CY29" i="2"/>
  <c r="CY97" i="2"/>
  <c r="CY176" i="2"/>
  <c r="CD134" i="2"/>
  <c r="CD173" i="2"/>
  <c r="CD151" i="2"/>
  <c r="CD38" i="2"/>
  <c r="CD60" i="2"/>
  <c r="CD122" i="2"/>
  <c r="CD97" i="2"/>
  <c r="CD90" i="2"/>
  <c r="CD70" i="2"/>
  <c r="CD84" i="2"/>
  <c r="CD184" i="2"/>
  <c r="CD192" i="2"/>
  <c r="CD139" i="2"/>
  <c r="CD118" i="2"/>
  <c r="CD106" i="2"/>
  <c r="CD133" i="2"/>
  <c r="CD67" i="2"/>
  <c r="CD168" i="2"/>
  <c r="CD147" i="2"/>
  <c r="CD22" i="2"/>
  <c r="CD152" i="2"/>
  <c r="CD3" i="2"/>
  <c r="C9" i="4" s="1"/>
  <c r="E9" i="4" s="1"/>
  <c r="F9" i="4" s="1"/>
  <c r="G9" i="4" s="1"/>
  <c r="L9" i="4" s="1"/>
  <c r="CD92" i="2"/>
  <c r="CD72" i="2"/>
  <c r="CD186" i="2"/>
  <c r="CD58" i="2"/>
  <c r="CD8" i="2"/>
  <c r="CD65" i="2"/>
  <c r="CD20" i="2"/>
  <c r="CD202" i="2"/>
  <c r="CD71" i="2"/>
  <c r="CD89" i="2"/>
  <c r="CD30" i="2"/>
  <c r="CD126" i="2"/>
  <c r="CD80" i="2"/>
  <c r="CD86" i="2"/>
  <c r="CD29" i="2"/>
  <c r="CD128" i="2"/>
  <c r="CD123" i="2"/>
  <c r="CD98" i="2"/>
  <c r="CD105" i="2"/>
  <c r="CD144" i="2"/>
  <c r="CD14" i="2"/>
  <c r="CD27" i="2"/>
  <c r="CD43" i="2"/>
  <c r="CD143" i="2"/>
  <c r="CD19" i="2"/>
  <c r="CD155" i="2"/>
  <c r="CD199" i="2"/>
  <c r="CD59" i="2"/>
  <c r="CD190" i="2"/>
  <c r="CD177" i="2"/>
  <c r="CD52" i="2"/>
  <c r="CD101" i="2"/>
  <c r="CD171" i="2"/>
  <c r="CD47" i="2"/>
  <c r="CD63" i="2"/>
  <c r="CD102" i="2"/>
  <c r="CD23" i="2"/>
  <c r="CD26" i="2"/>
  <c r="CD21" i="2"/>
  <c r="CD162" i="2"/>
  <c r="CD68" i="2"/>
  <c r="CD32" i="2"/>
  <c r="CD7" i="2"/>
  <c r="CD158" i="2"/>
  <c r="CD124" i="2"/>
  <c r="CD4" i="2"/>
  <c r="CD18" i="2"/>
  <c r="CD172" i="2"/>
  <c r="CD78" i="2"/>
  <c r="CD120" i="2"/>
  <c r="CD35" i="2"/>
  <c r="CD69" i="2"/>
  <c r="CD48" i="2"/>
  <c r="CD56" i="2"/>
  <c r="CD179" i="2"/>
  <c r="CD176" i="2"/>
  <c r="CD61" i="2"/>
  <c r="CD49" i="2"/>
  <c r="CD150" i="2"/>
  <c r="CD13" i="2"/>
  <c r="CD99" i="2"/>
  <c r="CD46" i="2"/>
  <c r="CD62" i="2"/>
  <c r="CD130" i="2"/>
  <c r="CD25" i="2"/>
  <c r="CD77" i="2"/>
  <c r="CD111" i="2"/>
  <c r="CD6" i="2"/>
  <c r="CD189" i="2"/>
  <c r="CD141" i="2"/>
  <c r="CD87" i="2"/>
  <c r="CD194" i="2"/>
  <c r="CD9" i="2"/>
  <c r="CD103" i="2"/>
  <c r="CD163" i="2"/>
  <c r="CD85" i="2"/>
  <c r="CD74" i="2"/>
  <c r="CD170" i="2"/>
  <c r="CD16" i="2"/>
  <c r="CD50" i="2"/>
  <c r="CD107" i="2"/>
  <c r="CD100" i="2"/>
  <c r="CD76" i="2"/>
  <c r="CD82" i="2"/>
  <c r="CD37" i="2"/>
  <c r="CD129" i="2"/>
  <c r="CD187" i="2"/>
  <c r="CD193" i="2"/>
  <c r="CD195" i="2"/>
  <c r="CD146" i="2"/>
  <c r="CD164" i="2"/>
  <c r="CD95" i="2"/>
  <c r="CD121" i="2"/>
  <c r="CD181" i="2"/>
  <c r="CD28" i="2"/>
  <c r="CD94" i="2"/>
  <c r="CD119" i="2"/>
  <c r="CD31" i="2"/>
  <c r="CD198" i="2"/>
  <c r="CD196" i="2"/>
  <c r="CD167" i="2"/>
  <c r="CD157" i="2"/>
  <c r="CD140" i="2"/>
  <c r="CD183" i="2"/>
  <c r="CD57" i="2"/>
  <c r="CD156" i="2"/>
  <c r="CD53" i="2"/>
  <c r="CD96" i="2"/>
  <c r="CD149" i="2"/>
  <c r="CD73" i="2"/>
  <c r="CD153" i="2"/>
  <c r="CD182" i="2"/>
  <c r="CD112" i="2"/>
  <c r="CD24" i="2"/>
  <c r="CD93" i="2"/>
  <c r="CD110" i="2"/>
  <c r="CD135" i="2"/>
  <c r="CD127" i="2"/>
  <c r="CD42" i="2"/>
  <c r="CD15" i="2"/>
  <c r="CD81" i="2"/>
  <c r="CD12" i="2"/>
  <c r="CD166" i="2"/>
  <c r="CD51" i="2"/>
  <c r="CD197" i="2"/>
  <c r="CD117" i="2"/>
  <c r="CD191" i="2"/>
  <c r="CD34" i="2"/>
  <c r="CD203" i="2"/>
  <c r="CD180" i="2"/>
  <c r="CD137" i="2"/>
  <c r="CD10" i="2"/>
  <c r="CD88" i="2"/>
  <c r="CD108" i="2"/>
  <c r="CD131" i="2"/>
  <c r="CD104" i="2"/>
  <c r="CD44" i="2"/>
  <c r="CD45" i="2"/>
  <c r="CD138" i="2"/>
  <c r="CD66" i="2"/>
  <c r="CD54" i="2"/>
  <c r="CD185" i="2"/>
  <c r="CD11" i="2"/>
  <c r="CD174" i="2"/>
  <c r="CD169" i="2"/>
  <c r="CD132" i="2"/>
  <c r="CD109" i="2"/>
  <c r="CD33" i="2"/>
  <c r="CD75" i="2"/>
  <c r="CD64" i="2"/>
  <c r="CD175" i="2"/>
  <c r="CD79" i="2"/>
  <c r="CD148" i="2"/>
  <c r="CD200" i="2"/>
  <c r="CD36" i="2"/>
  <c r="CD115" i="2"/>
  <c r="CD116" i="2"/>
  <c r="CD91" i="2"/>
  <c r="CD178" i="2"/>
  <c r="CD145" i="2"/>
  <c r="CD165" i="2"/>
  <c r="CD188" i="2"/>
  <c r="CD5" i="2"/>
  <c r="CD17" i="2"/>
  <c r="CD154" i="2"/>
  <c r="CD55" i="2"/>
  <c r="CD161" i="2"/>
  <c r="CD201" i="2"/>
  <c r="CD160" i="2"/>
  <c r="CD40" i="2"/>
  <c r="CD159" i="2"/>
  <c r="CD136" i="2"/>
  <c r="CD41" i="2"/>
  <c r="CD39" i="2"/>
  <c r="CD125" i="2"/>
  <c r="CD142" i="2"/>
  <c r="CD83" i="2"/>
  <c r="CD114" i="2"/>
  <c r="CD113" i="2"/>
  <c r="FE145" i="2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7" i="2" l="1"/>
  <c r="BI25" i="2"/>
  <c r="BI13" i="2"/>
  <c r="BI7" i="2"/>
  <c r="BI42" i="2"/>
  <c r="BI69" i="2"/>
  <c r="BI98" i="2"/>
  <c r="BI179" i="2"/>
  <c r="BI24" i="2"/>
  <c r="BI78" i="2"/>
  <c r="BI18" i="2"/>
  <c r="BI15" i="2"/>
  <c r="BI132" i="2"/>
  <c r="BI33" i="2"/>
  <c r="BI128" i="2"/>
  <c r="BI169" i="2"/>
  <c r="BI86" i="2"/>
  <c r="BI82" i="2"/>
  <c r="BI5" i="2"/>
  <c r="BI57" i="2"/>
  <c r="BI89" i="2"/>
  <c r="BI180" i="2"/>
  <c r="BI125" i="2"/>
  <c r="BI178" i="2"/>
  <c r="BI79" i="2"/>
  <c r="BI194" i="2"/>
  <c r="BI40" i="2"/>
  <c r="BI84" i="2"/>
  <c r="BI142" i="2"/>
  <c r="BI161" i="2"/>
  <c r="BI182" i="2"/>
  <c r="BI130" i="2"/>
  <c r="BI168" i="2"/>
  <c r="BI66" i="2"/>
  <c r="BI108" i="2"/>
  <c r="BI151" i="2"/>
  <c r="BI119" i="2"/>
  <c r="BI170" i="2"/>
  <c r="BI171" i="2"/>
  <c r="BI186" i="2"/>
  <c r="BI56" i="2"/>
  <c r="BI94" i="2"/>
  <c r="BI14" i="2"/>
  <c r="BI6" i="2"/>
  <c r="BI155" i="2"/>
  <c r="BI31" i="2"/>
  <c r="BI75" i="2"/>
  <c r="BI195" i="2"/>
  <c r="BI116" i="2"/>
  <c r="BI47" i="2"/>
  <c r="BI181" i="2"/>
  <c r="BI127" i="2"/>
  <c r="BI9" i="2"/>
  <c r="BI71" i="2"/>
  <c r="BI117" i="2"/>
  <c r="BI100" i="2"/>
  <c r="BI143" i="2"/>
  <c r="BI199" i="2"/>
  <c r="BI99" i="2"/>
  <c r="BI145" i="2"/>
  <c r="BI138" i="2"/>
  <c r="BI93" i="2"/>
  <c r="BI101" i="2"/>
  <c r="BI41" i="2"/>
  <c r="BI72" i="2"/>
  <c r="BI167" i="2"/>
  <c r="BI106" i="2"/>
  <c r="BI189" i="2"/>
  <c r="BI58" i="2"/>
  <c r="BI183" i="2"/>
  <c r="BI147" i="2"/>
  <c r="BI87" i="2"/>
  <c r="BI16" i="2"/>
  <c r="BI73" i="2"/>
  <c r="BI62" i="2"/>
  <c r="BI11" i="2"/>
  <c r="BI163" i="2"/>
  <c r="BI148" i="2"/>
  <c r="BI152" i="2"/>
  <c r="BI202" i="2"/>
  <c r="BI95" i="2"/>
  <c r="BI67" i="2"/>
  <c r="BI81" i="2"/>
  <c r="BI91" i="2"/>
  <c r="BI107" i="2"/>
  <c r="BI50" i="2"/>
  <c r="BI193" i="2"/>
  <c r="BI32" i="2"/>
  <c r="BI43" i="2"/>
  <c r="BI63" i="2"/>
  <c r="BI53" i="2"/>
  <c r="BI88" i="2"/>
  <c r="BI109" i="2"/>
  <c r="BI45" i="2"/>
  <c r="BI160" i="2"/>
  <c r="BI146" i="2"/>
  <c r="BI113" i="2"/>
  <c r="BI140" i="2"/>
  <c r="BI90" i="2"/>
  <c r="BI105" i="2"/>
  <c r="BI12" i="2"/>
  <c r="BI190" i="2"/>
  <c r="BI52" i="2"/>
  <c r="BI114" i="2"/>
  <c r="BI135" i="2"/>
  <c r="BI3" i="2"/>
  <c r="C8" i="4" s="1"/>
  <c r="E8" i="4" s="1"/>
  <c r="F8" i="4" s="1"/>
  <c r="G8" i="4" s="1"/>
  <c r="L8" i="4" s="1"/>
  <c r="BI157" i="2"/>
  <c r="BI123" i="2"/>
  <c r="BI185" i="2"/>
  <c r="BI120" i="2"/>
  <c r="BI188" i="2"/>
  <c r="BI34" i="2"/>
  <c r="BI174" i="2"/>
  <c r="BI153" i="2"/>
  <c r="BI60" i="2"/>
  <c r="BI22" i="2"/>
  <c r="BI150" i="2"/>
  <c r="BI203" i="2"/>
  <c r="BI10" i="2"/>
  <c r="BI126" i="2"/>
  <c r="BI54" i="2"/>
  <c r="BI65" i="2"/>
  <c r="BI112" i="2"/>
  <c r="BI136" i="2"/>
  <c r="BI201" i="2"/>
  <c r="BI192" i="2"/>
  <c r="BI187" i="2"/>
  <c r="BI21" i="2"/>
  <c r="BI61" i="2"/>
  <c r="BI64" i="2"/>
  <c r="BI191" i="2"/>
  <c r="BI173" i="2"/>
  <c r="BI177" i="2"/>
  <c r="BI4" i="2"/>
  <c r="BI97" i="2"/>
  <c r="BI104" i="2"/>
  <c r="BI39" i="2"/>
  <c r="BI30" i="2"/>
  <c r="BI121" i="2"/>
  <c r="BI166" i="2"/>
  <c r="BI162" i="2"/>
  <c r="BI154" i="2"/>
  <c r="BI165" i="2"/>
  <c r="BI133" i="2"/>
  <c r="BI26" i="2"/>
  <c r="BI122" i="2"/>
  <c r="BI76" i="2"/>
  <c r="BI83" i="2"/>
  <c r="BI118" i="2"/>
  <c r="BI44" i="2"/>
  <c r="BI159" i="2"/>
  <c r="BI200" i="2"/>
  <c r="BI96" i="2"/>
  <c r="BI102" i="2"/>
  <c r="BI115" i="2"/>
  <c r="BI49" i="2"/>
  <c r="BI48" i="2"/>
  <c r="BI35" i="2"/>
  <c r="BI36" i="2"/>
  <c r="BI137" i="2"/>
  <c r="BI139" i="2"/>
  <c r="BI110" i="2"/>
  <c r="BI80" i="2"/>
  <c r="BI196" i="2"/>
  <c r="BI198" i="2"/>
  <c r="BI156" i="2"/>
  <c r="BI158" i="2"/>
  <c r="BI27" i="2"/>
  <c r="BI129" i="2"/>
  <c r="BI8" i="2"/>
  <c r="BI74" i="2"/>
  <c r="BI23" i="2"/>
  <c r="BI103" i="2"/>
  <c r="BI131" i="2"/>
  <c r="BI51" i="2"/>
  <c r="BI70" i="2"/>
  <c r="BI175" i="2"/>
  <c r="BI134" i="2"/>
  <c r="BI111" i="2"/>
  <c r="BI172" i="2"/>
  <c r="BI85" i="2"/>
  <c r="BI59" i="2"/>
  <c r="BI20" i="2"/>
  <c r="BI164" i="2"/>
  <c r="BI92" i="2"/>
  <c r="BI28" i="2"/>
  <c r="BI149" i="2"/>
  <c r="BI197" i="2"/>
  <c r="BI124" i="2"/>
  <c r="BI55" i="2"/>
  <c r="BI19" i="2"/>
  <c r="BI77" i="2"/>
  <c r="BI68" i="2"/>
  <c r="BI184" i="2"/>
  <c r="BI144" i="2"/>
  <c r="BI29" i="2"/>
  <c r="BI38" i="2"/>
  <c r="BI141" i="2"/>
  <c r="BI46" i="2"/>
  <c r="BI37" i="2"/>
  <c r="BI176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<sst xmlns="http://schemas.openxmlformats.org/spreadsheetml/2006/main" count="1175" uniqueCount="324">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</sst>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applyFont="1" applyFill="1" applyBorder="1" applyAlignment="1" applyProtection="1">
      <alignment horizontal="center" wrapText="1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2.0655652846679247</c:v>
                </c:pt>
                <c:pt idx="2">
                  <c:v>2.7513973976729744</c:v>
                </c:pt>
                <c:pt idx="3">
                  <c:v>3.6658942404620647</c:v>
                </c:pt>
                <c:pt idx="4">
                  <c:v>4.8855929944623862</c:v>
                </c:pt>
                <c:pt idx="5">
                  <c:v>6.5127419951291925</c:v>
                </c:pt>
                <c:pt idx="6">
                  <c:v>8.6839669130926342</c:v>
                </c:pt>
                <c:pt idx="7">
                  <c:v>11.581866966494403</c:v>
                </c:pt>
                <c:pt idx="8">
                  <c:v>15.450534596968057</c:v>
                </c:pt>
                <c:pt idx="9">
                  <c:v>20.616329727910539</c:v>
                </c:pt>
                <c:pt idx="10">
                  <c:v>27.515692460686338</c:v>
                </c:pt>
                <c:pt idx="11">
                  <c:v>36.732385131716207</c:v>
                </c:pt>
                <c:pt idx="12">
                  <c:v>49.047368765877287</c:v>
                </c:pt>
                <c:pt idx="13">
                  <c:v>57.295796173116578</c:v>
                </c:pt>
                <c:pt idx="14">
                  <c:v>68.168689951983865</c:v>
                </c:pt>
                <c:pt idx="15">
                  <c:v>78.996867992577734</c:v>
                </c:pt>
                <c:pt idx="16">
                  <c:v>89.787344215805888</c:v>
                </c:pt>
                <c:pt idx="17">
                  <c:v>85.336765239586711</c:v>
                </c:pt>
                <c:pt idx="18">
                  <c:v>100.38102857089069</c:v>
                </c:pt>
                <c:pt idx="19">
                  <c:v>115.36930733239113</c:v>
                </c:pt>
                <c:pt idx="20">
                  <c:v>130.30991517841122</c:v>
                </c:pt>
                <c:pt idx="21">
                  <c:v>117.95525009860587</c:v>
                </c:pt>
                <c:pt idx="22">
                  <c:v>134.48693618131094</c:v>
                </c:pt>
                <c:pt idx="23">
                  <c:v>150.96961853533023</c:v>
                </c:pt>
                <c:pt idx="24">
                  <c:v>167.40940616588932</c:v>
                </c:pt>
                <c:pt idx="25">
                  <c:v>147.06476517816614</c:v>
                </c:pt>
                <c:pt idx="26">
                  <c:v>166.76036337725228</c:v>
                </c:pt>
                <c:pt idx="27">
                  <c:v>186.40104076723375</c:v>
                </c:pt>
                <c:pt idx="28">
                  <c:v>205.99340154257501</c:v>
                </c:pt>
                <c:pt idx="29">
                  <c:v>177.00843393976731</c:v>
                </c:pt>
                <c:pt idx="30">
                  <c:v>193.84246523010287</c:v>
                </c:pt>
                <c:pt idx="31">
                  <c:v>210.64250512748188</c:v>
                </c:pt>
                <c:pt idx="32">
                  <c:v>227.41164682039505</c:v>
                </c:pt>
                <c:pt idx="33">
                  <c:v>244.1524896666883</c:v>
                </c:pt>
                <c:pt idx="34">
                  <c:v>260.86724722641276</c:v>
                </c:pt>
                <c:pt idx="35">
                  <c:v>219.03076565248196</c:v>
                </c:pt>
                <c:pt idx="36">
                  <c:v>236.68684504184463</c:v>
                </c:pt>
                <c:pt idx="37">
                  <c:v>254.31290079767027</c:v>
                </c:pt>
                <c:pt idx="38">
                  <c:v>271.91130653026465</c:v>
                </c:pt>
                <c:pt idx="39">
                  <c:v>289.48410340692169</c:v>
                </c:pt>
                <c:pt idx="40">
                  <c:v>307.03306449670225</c:v>
                </c:pt>
                <c:pt idx="41">
                  <c:v>269.2154501117588</c:v>
                </c:pt>
                <c:pt idx="42">
                  <c:v>284.35589788902752</c:v>
                </c:pt>
                <c:pt idx="43">
                  <c:v>299.478300691627</c:v>
                </c:pt>
                <c:pt idx="44">
                  <c:v>314.58369804007606</c:v>
                </c:pt>
                <c:pt idx="45">
                  <c:v>329.67302146054971</c:v>
                </c:pt>
                <c:pt idx="46">
                  <c:v>344.74711023782896</c:v>
                </c:pt>
                <c:pt idx="47">
                  <c:v>317.74992250089502</c:v>
                </c:pt>
                <c:pt idx="48">
                  <c:v>327.43617956532677</c:v>
                </c:pt>
                <c:pt idx="49">
                  <c:v>337.11611097410758</c:v>
                </c:pt>
                <c:pt idx="50">
                  <c:v>346.78992407717436</c:v>
                </c:pt>
                <c:pt idx="51">
                  <c:v>356.45781370551884</c:v>
                </c:pt>
                <c:pt idx="52">
                  <c:v>366.11996325342778</c:v>
                </c:pt>
                <c:pt idx="53">
                  <c:v>375.77654564046526</c:v>
                </c:pt>
                <c:pt idx="54">
                  <c:v>385.42772416937299</c:v>
                </c:pt>
                <c:pt idx="55">
                  <c:v>370.15217407868482</c:v>
                </c:pt>
                <c:pt idx="56">
                  <c:v>374.75696653960432</c:v>
                </c:pt>
                <c:pt idx="57">
                  <c:v>379.36052629956595</c:v>
                </c:pt>
                <c:pt idx="58">
                  <c:v>383.96287044663205</c:v>
                </c:pt>
                <c:pt idx="59">
                  <c:v>388.56401562530056</c:v>
                </c:pt>
                <c:pt idx="60">
                  <c:v>393.16397805325397</c:v>
                </c:pt>
                <c:pt idx="61">
                  <c:v>397.76277353728341</c:v>
                </c:pt>
                <c:pt idx="62">
                  <c:v>402.36041748843633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2.2352625999428111</c:v>
                </c:pt>
                <c:pt idx="2">
                  <c:v>3.2225760294601993</c:v>
                </c:pt>
                <c:pt idx="3">
                  <c:v>4.6479241605242967</c:v>
                </c:pt>
                <c:pt idx="4">
                  <c:v>6.7064552587647022</c:v>
                </c:pt>
                <c:pt idx="5">
                  <c:v>9.6805932997212949</c:v>
                </c:pt>
                <c:pt idx="6">
                  <c:v>13.979208720931064</c:v>
                </c:pt>
                <c:pt idx="7">
                  <c:v>20.194426716597075</c:v>
                </c:pt>
                <c:pt idx="8">
                  <c:v>29.184038202338456</c:v>
                </c:pt>
                <c:pt idx="9">
                  <c:v>42.191085208872742</c:v>
                </c:pt>
                <c:pt idx="10">
                  <c:v>61.017436090505008</c:v>
                </c:pt>
                <c:pt idx="11">
                  <c:v>76.132258552526281</c:v>
                </c:pt>
                <c:pt idx="12">
                  <c:v>100.03888560825494</c:v>
                </c:pt>
                <c:pt idx="13">
                  <c:v>123.80293293393078</c:v>
                </c:pt>
                <c:pt idx="14">
                  <c:v>126.97679655835809</c:v>
                </c:pt>
                <c:pt idx="15">
                  <c:v>139.5559576670444</c:v>
                </c:pt>
                <c:pt idx="16">
                  <c:v>152.10789170973462</c:v>
                </c:pt>
                <c:pt idx="17">
                  <c:v>164.63516404404436</c:v>
                </c:pt>
                <c:pt idx="18">
                  <c:v>177.13991706919967</c:v>
                </c:pt>
                <c:pt idx="19">
                  <c:v>189.62396556684561</c:v>
                </c:pt>
                <c:pt idx="20">
                  <c:v>202.08886555049125</c:v>
                </c:pt>
                <c:pt idx="21">
                  <c:v>207.49127762611627</c:v>
                </c:pt>
                <c:pt idx="22">
                  <c:v>236.61130333839768</c:v>
                </c:pt>
                <c:pt idx="23">
                  <c:v>265.64956602341613</c:v>
                </c:pt>
                <c:pt idx="24">
                  <c:v>233.75926118709182</c:v>
                </c:pt>
                <c:pt idx="25">
                  <c:v>241.72084957706309</c:v>
                </c:pt>
                <c:pt idx="26">
                  <c:v>249.67647231873806</c:v>
                </c:pt>
                <c:pt idx="27">
                  <c:v>257.62634652822732</c:v>
                </c:pt>
                <c:pt idx="28">
                  <c:v>265.57067481254677</c:v>
                </c:pt>
                <c:pt idx="29">
                  <c:v>273.5096466538439</c:v>
                </c:pt>
                <c:pt idx="30">
                  <c:v>281.44343962434374</c:v>
                </c:pt>
                <c:pt idx="31">
                  <c:v>244.05555574813357</c:v>
                </c:pt>
                <c:pt idx="32">
                  <c:v>256.56279544894807</c:v>
                </c:pt>
                <c:pt idx="33">
                  <c:v>269.0562472639262</c:v>
                </c:pt>
                <c:pt idx="34">
                  <c:v>231.15182404861801</c:v>
                </c:pt>
                <c:pt idx="35">
                  <c:v>246.2099544196362</c:v>
                </c:pt>
                <c:pt idx="36">
                  <c:v>261.24717407573547</c:v>
                </c:pt>
                <c:pt idx="37">
                  <c:v>276.26485624825074</c:v>
                </c:pt>
                <c:pt idx="38">
                  <c:v>291.26421262739387</c:v>
                </c:pt>
                <c:pt idx="39">
                  <c:v>306.24631988231101</c:v>
                </c:pt>
                <c:pt idx="40">
                  <c:v>321.21214071595642</c:v>
                </c:pt>
                <c:pt idx="41">
                  <c:v>4.1839091177350513E-3</c:v>
                </c:pt>
                <c:pt idx="42">
                  <c:v>4.1839091177350513E-3</c:v>
                </c:pt>
                <c:pt idx="43">
                  <c:v>4.1839091177350513E-3</c:v>
                </c:pt>
                <c:pt idx="44">
                  <c:v>4.1839091177350513E-3</c:v>
                </c:pt>
                <c:pt idx="45">
                  <c:v>4.1839091177350513E-3</c:v>
                </c:pt>
                <c:pt idx="46">
                  <c:v>4.1839091177350513E-3</c:v>
                </c:pt>
                <c:pt idx="47">
                  <c:v>4.1839091177350513E-3</c:v>
                </c:pt>
                <c:pt idx="48">
                  <c:v>4.1839091177350513E-3</c:v>
                </c:pt>
                <c:pt idx="49">
                  <c:v>4.1839091177350513E-3</c:v>
                </c:pt>
                <c:pt idx="50">
                  <c:v>4.1839091177350513E-3</c:v>
                </c:pt>
                <c:pt idx="51">
                  <c:v>4.1839091177350513E-3</c:v>
                </c:pt>
                <c:pt idx="52">
                  <c:v>4.1839091177350513E-3</c:v>
                </c:pt>
                <c:pt idx="53">
                  <c:v>4.1839091177350513E-3</c:v>
                </c:pt>
                <c:pt idx="54">
                  <c:v>4.1839091177350513E-3</c:v>
                </c:pt>
                <c:pt idx="55">
                  <c:v>4.1839091177350513E-3</c:v>
                </c:pt>
                <c:pt idx="56">
                  <c:v>4.1839091177350513E-3</c:v>
                </c:pt>
                <c:pt idx="57">
                  <c:v>4.1839091177350513E-3</c:v>
                </c:pt>
                <c:pt idx="58">
                  <c:v>4.1839091177350513E-3</c:v>
                </c:pt>
                <c:pt idx="59">
                  <c:v>4.1839091177350513E-3</c:v>
                </c:pt>
                <c:pt idx="60">
                  <c:v>4.1839091177350513E-3</c:v>
                </c:pt>
                <c:pt idx="61">
                  <c:v>4.1839091177350513E-3</c:v>
                </c:pt>
                <c:pt idx="62">
                  <c:v>4.1839091177350513E-3</c:v>
                </c:pt>
                <c:pt idx="63">
                  <c:v>4.1839091177350513E-3</c:v>
                </c:pt>
                <c:pt idx="64">
                  <c:v>4.1839091177350513E-3</c:v>
                </c:pt>
                <c:pt idx="65">
                  <c:v>4.1839091177350513E-3</c:v>
                </c:pt>
                <c:pt idx="66">
                  <c:v>4.1839091177350513E-3</c:v>
                </c:pt>
                <c:pt idx="67">
                  <c:v>4.1839091177350513E-3</c:v>
                </c:pt>
                <c:pt idx="68">
                  <c:v>4.1839091177350513E-3</c:v>
                </c:pt>
                <c:pt idx="69">
                  <c:v>4.1839091177350513E-3</c:v>
                </c:pt>
                <c:pt idx="70">
                  <c:v>4.1839091177350513E-3</c:v>
                </c:pt>
                <c:pt idx="71">
                  <c:v>4.1839091177350513E-3</c:v>
                </c:pt>
                <c:pt idx="72">
                  <c:v>4.1839091177350513E-3</c:v>
                </c:pt>
                <c:pt idx="73">
                  <c:v>4.1839091177350513E-3</c:v>
                </c:pt>
                <c:pt idx="74">
                  <c:v>4.1839091177350513E-3</c:v>
                </c:pt>
                <c:pt idx="75">
                  <c:v>4.1839091177350513E-3</c:v>
                </c:pt>
                <c:pt idx="76">
                  <c:v>4.1839091177350513E-3</c:v>
                </c:pt>
                <c:pt idx="77">
                  <c:v>4.1839091177350513E-3</c:v>
                </c:pt>
                <c:pt idx="78">
                  <c:v>4.1839091177350513E-3</c:v>
                </c:pt>
                <c:pt idx="79">
                  <c:v>4.1839091177350513E-3</c:v>
                </c:pt>
                <c:pt idx="80">
                  <c:v>4.1839091177350513E-3</c:v>
                </c:pt>
                <c:pt idx="81">
                  <c:v>4.1839091177350513E-3</c:v>
                </c:pt>
                <c:pt idx="82">
                  <c:v>4.1839091177350513E-3</c:v>
                </c:pt>
                <c:pt idx="83">
                  <c:v>4.1839091177350513E-3</c:v>
                </c:pt>
                <c:pt idx="84">
                  <c:v>4.1839091177350513E-3</c:v>
                </c:pt>
                <c:pt idx="85">
                  <c:v>4.1839091177350513E-3</c:v>
                </c:pt>
                <c:pt idx="86">
                  <c:v>4.1839091177350513E-3</c:v>
                </c:pt>
                <c:pt idx="87">
                  <c:v>4.1839091177350513E-3</c:v>
                </c:pt>
                <c:pt idx="88">
                  <c:v>4.1839091177350513E-3</c:v>
                </c:pt>
                <c:pt idx="89">
                  <c:v>4.1839091177350513E-3</c:v>
                </c:pt>
                <c:pt idx="90">
                  <c:v>4.1839091177350513E-3</c:v>
                </c:pt>
                <c:pt idx="91">
                  <c:v>4.1839091177350513E-3</c:v>
                </c:pt>
                <c:pt idx="92">
                  <c:v>4.1839091177350513E-3</c:v>
                </c:pt>
                <c:pt idx="93">
                  <c:v>4.1839091177350513E-3</c:v>
                </c:pt>
                <c:pt idx="94">
                  <c:v>4.1839091177350513E-3</c:v>
                </c:pt>
                <c:pt idx="95">
                  <c:v>4.1839091177350513E-3</c:v>
                </c:pt>
                <c:pt idx="96">
                  <c:v>4.1839091177350513E-3</c:v>
                </c:pt>
                <c:pt idx="97">
                  <c:v>4.1839091177350513E-3</c:v>
                </c:pt>
                <c:pt idx="98">
                  <c:v>4.1839091177350513E-3</c:v>
                </c:pt>
                <c:pt idx="99">
                  <c:v>4.1839091177350513E-3</c:v>
                </c:pt>
                <c:pt idx="100">
                  <c:v>4.1839091177350513E-3</c:v>
                </c:pt>
                <c:pt idx="101">
                  <c:v>4.1839091177350513E-3</c:v>
                </c:pt>
                <c:pt idx="102">
                  <c:v>4.1839091177350513E-3</c:v>
                </c:pt>
                <c:pt idx="103">
                  <c:v>4.1839091177350513E-3</c:v>
                </c:pt>
                <c:pt idx="104">
                  <c:v>4.1839091177350513E-3</c:v>
                </c:pt>
                <c:pt idx="105">
                  <c:v>4.1839091177350513E-3</c:v>
                </c:pt>
                <c:pt idx="106">
                  <c:v>4.1839091177350513E-3</c:v>
                </c:pt>
                <c:pt idx="107">
                  <c:v>4.1839091177350513E-3</c:v>
                </c:pt>
                <c:pt idx="108">
                  <c:v>4.1839091177350513E-3</c:v>
                </c:pt>
                <c:pt idx="109">
                  <c:v>4.1839091177350513E-3</c:v>
                </c:pt>
                <c:pt idx="110">
                  <c:v>4.1839091177350513E-3</c:v>
                </c:pt>
                <c:pt idx="111">
                  <c:v>4.1839091177350513E-3</c:v>
                </c:pt>
                <c:pt idx="112">
                  <c:v>4.1839091177350513E-3</c:v>
                </c:pt>
                <c:pt idx="113">
                  <c:v>4.1839091177350513E-3</c:v>
                </c:pt>
                <c:pt idx="114">
                  <c:v>4.1839091177350513E-3</c:v>
                </c:pt>
                <c:pt idx="115">
                  <c:v>4.1839091177350513E-3</c:v>
                </c:pt>
                <c:pt idx="116">
                  <c:v>4.1839091177350513E-3</c:v>
                </c:pt>
                <c:pt idx="117">
                  <c:v>4.1839091177350513E-3</c:v>
                </c:pt>
                <c:pt idx="118">
                  <c:v>4.1839091177350513E-3</c:v>
                </c:pt>
                <c:pt idx="119">
                  <c:v>4.1839091177350513E-3</c:v>
                </c:pt>
                <c:pt idx="120">
                  <c:v>4.1839091177350513E-3</c:v>
                </c:pt>
                <c:pt idx="121">
                  <c:v>4.1839091177350513E-3</c:v>
                </c:pt>
                <c:pt idx="122">
                  <c:v>4.1839091177350513E-3</c:v>
                </c:pt>
                <c:pt idx="123">
                  <c:v>4.1839091177350513E-3</c:v>
                </c:pt>
                <c:pt idx="124">
                  <c:v>4.1839091177350513E-3</c:v>
                </c:pt>
                <c:pt idx="125">
                  <c:v>4.1839091177350513E-3</c:v>
                </c:pt>
                <c:pt idx="126">
                  <c:v>4.1839091177350513E-3</c:v>
                </c:pt>
                <c:pt idx="127">
                  <c:v>4.1839091177350513E-3</c:v>
                </c:pt>
                <c:pt idx="128">
                  <c:v>4.1839091177350513E-3</c:v>
                </c:pt>
                <c:pt idx="129">
                  <c:v>4.1839091177350513E-3</c:v>
                </c:pt>
                <c:pt idx="130">
                  <c:v>4.1839091177350513E-3</c:v>
                </c:pt>
                <c:pt idx="131">
                  <c:v>4.1839091177350513E-3</c:v>
                </c:pt>
                <c:pt idx="132">
                  <c:v>4.1839091177350513E-3</c:v>
                </c:pt>
                <c:pt idx="133">
                  <c:v>4.1839091177350513E-3</c:v>
                </c:pt>
                <c:pt idx="134">
                  <c:v>4.1839091177350513E-3</c:v>
                </c:pt>
                <c:pt idx="135">
                  <c:v>4.1839091177350513E-3</c:v>
                </c:pt>
                <c:pt idx="136">
                  <c:v>4.1839091177350513E-3</c:v>
                </c:pt>
                <c:pt idx="137">
                  <c:v>4.1839091177350513E-3</c:v>
                </c:pt>
                <c:pt idx="138">
                  <c:v>4.1839091177350513E-3</c:v>
                </c:pt>
                <c:pt idx="139">
                  <c:v>4.1839091177350513E-3</c:v>
                </c:pt>
                <c:pt idx="140">
                  <c:v>4.1839091177350513E-3</c:v>
                </c:pt>
                <c:pt idx="141">
                  <c:v>4.1839091177350513E-3</c:v>
                </c:pt>
                <c:pt idx="142">
                  <c:v>4.1839091177350513E-3</c:v>
                </c:pt>
                <c:pt idx="143">
                  <c:v>4.1839091177350513E-3</c:v>
                </c:pt>
                <c:pt idx="144">
                  <c:v>4.1839091177350513E-3</c:v>
                </c:pt>
                <c:pt idx="145">
                  <c:v>4.1839091177350513E-3</c:v>
                </c:pt>
                <c:pt idx="146">
                  <c:v>4.1839091177350513E-3</c:v>
                </c:pt>
                <c:pt idx="147">
                  <c:v>4.1839091177350513E-3</c:v>
                </c:pt>
                <c:pt idx="148">
                  <c:v>4.1839091177350513E-3</c:v>
                </c:pt>
                <c:pt idx="149">
                  <c:v>4.1839091177350513E-3</c:v>
                </c:pt>
                <c:pt idx="150">
                  <c:v>4.1839091177350513E-3</c:v>
                </c:pt>
                <c:pt idx="151">
                  <c:v>4.1839091177350513E-3</c:v>
                </c:pt>
                <c:pt idx="152">
                  <c:v>4.1839091177350513E-3</c:v>
                </c:pt>
                <c:pt idx="153">
                  <c:v>4.1839091177350513E-3</c:v>
                </c:pt>
                <c:pt idx="154">
                  <c:v>4.1839091177350513E-3</c:v>
                </c:pt>
                <c:pt idx="155">
                  <c:v>4.1839091177350513E-3</c:v>
                </c:pt>
                <c:pt idx="156">
                  <c:v>4.1839091177350513E-3</c:v>
                </c:pt>
                <c:pt idx="157">
                  <c:v>4.1839091177350513E-3</c:v>
                </c:pt>
                <c:pt idx="158">
                  <c:v>4.1839091177350513E-3</c:v>
                </c:pt>
                <c:pt idx="159">
                  <c:v>4.1839091177350513E-3</c:v>
                </c:pt>
                <c:pt idx="160">
                  <c:v>4.1839091177350513E-3</c:v>
                </c:pt>
                <c:pt idx="161">
                  <c:v>4.1839091177350513E-3</c:v>
                </c:pt>
                <c:pt idx="162">
                  <c:v>4.1839091177350513E-3</c:v>
                </c:pt>
                <c:pt idx="163">
                  <c:v>4.1839091177350513E-3</c:v>
                </c:pt>
                <c:pt idx="164">
                  <c:v>4.1839091177350513E-3</c:v>
                </c:pt>
                <c:pt idx="165">
                  <c:v>4.1839091177350513E-3</c:v>
                </c:pt>
                <c:pt idx="166">
                  <c:v>4.1839091177350513E-3</c:v>
                </c:pt>
                <c:pt idx="167">
                  <c:v>4.1839091177350513E-3</c:v>
                </c:pt>
                <c:pt idx="168">
                  <c:v>4.1839091177350513E-3</c:v>
                </c:pt>
                <c:pt idx="169">
                  <c:v>4.1839091177350513E-3</c:v>
                </c:pt>
                <c:pt idx="170">
                  <c:v>4.1839091177350513E-3</c:v>
                </c:pt>
                <c:pt idx="171">
                  <c:v>4.1839091177350513E-3</c:v>
                </c:pt>
                <c:pt idx="172">
                  <c:v>4.1839091177350513E-3</c:v>
                </c:pt>
                <c:pt idx="173">
                  <c:v>4.1839091177350513E-3</c:v>
                </c:pt>
                <c:pt idx="174">
                  <c:v>4.1839091177350513E-3</c:v>
                </c:pt>
                <c:pt idx="175">
                  <c:v>4.1839091177350513E-3</c:v>
                </c:pt>
                <c:pt idx="176">
                  <c:v>4.1839091177350513E-3</c:v>
                </c:pt>
                <c:pt idx="177">
                  <c:v>4.1839091177350513E-3</c:v>
                </c:pt>
                <c:pt idx="178">
                  <c:v>4.1839091177350513E-3</c:v>
                </c:pt>
                <c:pt idx="179">
                  <c:v>4.1839091177350513E-3</c:v>
                </c:pt>
                <c:pt idx="180">
                  <c:v>4.1839091177350513E-3</c:v>
                </c:pt>
                <c:pt idx="181">
                  <c:v>4.1839091177350513E-3</c:v>
                </c:pt>
                <c:pt idx="182">
                  <c:v>4.1839091177350513E-3</c:v>
                </c:pt>
                <c:pt idx="183">
                  <c:v>4.1839091177350513E-3</c:v>
                </c:pt>
                <c:pt idx="184">
                  <c:v>4.1839091177350513E-3</c:v>
                </c:pt>
                <c:pt idx="185">
                  <c:v>4.1839091177350513E-3</c:v>
                </c:pt>
                <c:pt idx="186">
                  <c:v>4.1839091177350513E-3</c:v>
                </c:pt>
                <c:pt idx="187">
                  <c:v>4.1839091177350513E-3</c:v>
                </c:pt>
                <c:pt idx="188">
                  <c:v>4.1839091177350513E-3</c:v>
                </c:pt>
                <c:pt idx="189">
                  <c:v>4.1839091177350513E-3</c:v>
                </c:pt>
                <c:pt idx="190">
                  <c:v>4.1839091177350513E-3</c:v>
                </c:pt>
                <c:pt idx="191">
                  <c:v>4.1839091177350513E-3</c:v>
                </c:pt>
                <c:pt idx="192">
                  <c:v>4.1839091177350513E-3</c:v>
                </c:pt>
                <c:pt idx="193">
                  <c:v>4.1839091177350513E-3</c:v>
                </c:pt>
                <c:pt idx="194">
                  <c:v>4.1839091177350513E-3</c:v>
                </c:pt>
                <c:pt idx="195">
                  <c:v>4.1839091177350513E-3</c:v>
                </c:pt>
                <c:pt idx="196">
                  <c:v>4.1839091177350513E-3</c:v>
                </c:pt>
                <c:pt idx="197">
                  <c:v>4.1839091177350513E-3</c:v>
                </c:pt>
                <c:pt idx="198">
                  <c:v>4.1839091177350513E-3</c:v>
                </c:pt>
                <c:pt idx="199">
                  <c:v>4.1839091177350513E-3</c:v>
                </c:pt>
                <c:pt idx="200">
                  <c:v>4.1839091177350513E-3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2.3833076391972066</c:v>
                </c:pt>
                <c:pt idx="2">
                  <c:v>2.6335014123090796</c:v>
                </c:pt>
                <c:pt idx="3">
                  <c:v>2.9100512164546828</c:v>
                </c:pt>
                <c:pt idx="4">
                  <c:v>3.2157425686831758</c:v>
                </c:pt>
                <c:pt idx="5">
                  <c:v>3.553656287182235</c:v>
                </c:pt>
                <c:pt idx="6">
                  <c:v>3.9271998867487112</c:v>
                </c:pt>
                <c:pt idx="7">
                  <c:v>4.3401423209850689</c:v>
                </c:pt>
                <c:pt idx="8">
                  <c:v>4.796652428851881</c:v>
                </c:pt>
                <c:pt idx="9">
                  <c:v>5.3013414815086328</c:v>
                </c:pt>
                <c:pt idx="10">
                  <c:v>5.8593102677876345</c:v>
                </c:pt>
                <c:pt idx="11">
                  <c:v>6.4762012036108354</c:v>
                </c:pt>
                <c:pt idx="12">
                  <c:v>7.1582560026663691</c:v>
                </c:pt>
                <c:pt idx="13">
                  <c:v>7.9123795032530273</c:v>
                </c:pt>
                <c:pt idx="14">
                  <c:v>8.7462103099772772</c:v>
                </c:pt>
                <c:pt idx="15">
                  <c:v>9.6681989796142762</c:v>
                </c:pt>
                <c:pt idx="16">
                  <c:v>10.687694558658899</c:v>
                </c:pt>
                <c:pt idx="17">
                  <c:v>11.81504036671137</c:v>
                </c:pt>
                <c:pt idx="18">
                  <c:v>13.061680015769811</c:v>
                </c:pt>
                <c:pt idx="19">
                  <c:v>14.440274761740303</c:v>
                </c:pt>
                <c:pt idx="20">
                  <c:v>15.964833402134893</c:v>
                </c:pt>
                <c:pt idx="21">
                  <c:v>17.650856064238635</c:v>
                </c:pt>
                <c:pt idx="22">
                  <c:v>19.515493372351152</c:v>
                </c:pt>
                <c:pt idx="23">
                  <c:v>21.577722642555852</c:v>
                </c:pt>
                <c:pt idx="24">
                  <c:v>23.858542930512993</c:v>
                </c:pt>
                <c:pt idx="25">
                  <c:v>26.381190953864518</c:v>
                </c:pt>
                <c:pt idx="26">
                  <c:v>29.171380128031345</c:v>
                </c:pt>
                <c:pt idx="27">
                  <c:v>32.25756519475199</c:v>
                </c:pt>
                <c:pt idx="28">
                  <c:v>35.671235189175448</c:v>
                </c:pt>
                <c:pt idx="29">
                  <c:v>39.447237786471597</c:v>
                </c:pt>
                <c:pt idx="30">
                  <c:v>43.624138395854118</c:v>
                </c:pt>
                <c:pt idx="31">
                  <c:v>46.081388921843683</c:v>
                </c:pt>
                <c:pt idx="32">
                  <c:v>57.94342273086675</c:v>
                </c:pt>
                <c:pt idx="33">
                  <c:v>69.741723626426932</c:v>
                </c:pt>
                <c:pt idx="34">
                  <c:v>81.488653671915031</c:v>
                </c:pt>
                <c:pt idx="35">
                  <c:v>93.192688800781198</c:v>
                </c:pt>
                <c:pt idx="36">
                  <c:v>104.85998913171427</c:v>
                </c:pt>
                <c:pt idx="37">
                  <c:v>92.759893822078311</c:v>
                </c:pt>
                <c:pt idx="38">
                  <c:v>102.88694134367069</c:v>
                </c:pt>
                <c:pt idx="39">
                  <c:v>112.98932881750697</c:v>
                </c:pt>
                <c:pt idx="40">
                  <c:v>123.06957538057809</c:v>
                </c:pt>
                <c:pt idx="41">
                  <c:v>133.12975272278928</c:v>
                </c:pt>
                <c:pt idx="42">
                  <c:v>143.17159315460219</c:v>
                </c:pt>
                <c:pt idx="43">
                  <c:v>128.47009733991538</c:v>
                </c:pt>
                <c:pt idx="44">
                  <c:v>143.17159315460219</c:v>
                </c:pt>
                <c:pt idx="45">
                  <c:v>157.83692263801234</c:v>
                </c:pt>
                <c:pt idx="46">
                  <c:v>172.46992207510786</c:v>
                </c:pt>
                <c:pt idx="47">
                  <c:v>187.07372242622981</c:v>
                </c:pt>
                <c:pt idx="48">
                  <c:v>201.65092519188457</c:v>
                </c:pt>
                <c:pt idx="49">
                  <c:v>167.8394348352484</c:v>
                </c:pt>
                <c:pt idx="50">
                  <c:v>186.58737081021346</c:v>
                </c:pt>
                <c:pt idx="51">
                  <c:v>205.29133473515978</c:v>
                </c:pt>
                <c:pt idx="52">
                  <c:v>223.95589750241402</c:v>
                </c:pt>
                <c:pt idx="53">
                  <c:v>242.58480504326903</c:v>
                </c:pt>
                <c:pt idx="54">
                  <c:v>261.18118053705035</c:v>
                </c:pt>
                <c:pt idx="55">
                  <c:v>192.32445716052666</c:v>
                </c:pt>
                <c:pt idx="56">
                  <c:v>216.49454501601394</c:v>
                </c:pt>
                <c:pt idx="57">
                  <c:v>240.60254550249522</c:v>
                </c:pt>
                <c:pt idx="58">
                  <c:v>264.65555394042121</c:v>
                </c:pt>
                <c:pt idx="59">
                  <c:v>288.65926934113526</c:v>
                </c:pt>
                <c:pt idx="60">
                  <c:v>312.61836502335206</c:v>
                </c:pt>
                <c:pt idx="61">
                  <c:v>271.17929893352635</c:v>
                </c:pt>
                <c:pt idx="62">
                  <c:v>289.55008785999991</c:v>
                </c:pt>
                <c:pt idx="63">
                  <c:v>307.89483341367452</c:v>
                </c:pt>
                <c:pt idx="64">
                  <c:v>326.2153052084152</c:v>
                </c:pt>
                <c:pt idx="65">
                  <c:v>344.51305787594509</c:v>
                </c:pt>
                <c:pt idx="66">
                  <c:v>362.78946745251909</c:v>
                </c:pt>
                <c:pt idx="67">
                  <c:v>323.40567614978778</c:v>
                </c:pt>
                <c:pt idx="68">
                  <c:v>339.79973077322023</c:v>
                </c:pt>
                <c:pt idx="69">
                  <c:v>356.17639073006626</c:v>
                </c:pt>
                <c:pt idx="70">
                  <c:v>372.53656823746365</c:v>
                </c:pt>
                <c:pt idx="71">
                  <c:v>388.8810888643772</c:v>
                </c:pt>
                <c:pt idx="72">
                  <c:v>405.21070313365345</c:v>
                </c:pt>
                <c:pt idx="73">
                  <c:v>361.02863601448956</c:v>
                </c:pt>
                <c:pt idx="74">
                  <c:v>377.15670487055553</c:v>
                </c:pt>
                <c:pt idx="75">
                  <c:v>393.26976270885893</c:v>
                </c:pt>
                <c:pt idx="76">
                  <c:v>409.36851099876503</c:v>
                </c:pt>
                <c:pt idx="77">
                  <c:v>425.45359154916355</c:v>
                </c:pt>
                <c:pt idx="78">
                  <c:v>441.5255936932017</c:v>
                </c:pt>
                <c:pt idx="79">
                  <c:v>405.2107031336534</c:v>
                </c:pt>
                <c:pt idx="80">
                  <c:v>421.54997388102402</c:v>
                </c:pt>
                <c:pt idx="81">
                  <c:v>437.87561218141673</c:v>
                </c:pt>
                <c:pt idx="82">
                  <c:v>454.18819768835988</c:v>
                </c:pt>
                <c:pt idx="83">
                  <c:v>470.48826503603715</c:v>
                </c:pt>
                <c:pt idx="84">
                  <c:v>486.77630880656972</c:v>
                </c:pt>
                <c:pt idx="85">
                  <c:v>449.13361294375403</c:v>
                </c:pt>
                <c:pt idx="86">
                  <c:v>462.95934790100347</c:v>
                </c:pt>
                <c:pt idx="87">
                  <c:v>476.77627732506897</c:v>
                </c:pt>
                <c:pt idx="88">
                  <c:v>490.58469229732083</c:v>
                </c:pt>
                <c:pt idx="89">
                  <c:v>504.38486618031351</c:v>
                </c:pt>
                <c:pt idx="90">
                  <c:v>518.17705616179001</c:v>
                </c:pt>
                <c:pt idx="91">
                  <c:v>475.92785647409295</c:v>
                </c:pt>
                <c:pt idx="92">
                  <c:v>489.43629294088652</c:v>
                </c:pt>
                <c:pt idx="93">
                  <c:v>502.93682208889135</c:v>
                </c:pt>
                <c:pt idx="94">
                  <c:v>516.42968603436577</c:v>
                </c:pt>
                <c:pt idx="95">
                  <c:v>529.91511321331006</c:v>
                </c:pt>
                <c:pt idx="96">
                  <c:v>543.3933194901914</c:v>
                </c:pt>
                <c:pt idx="97">
                  <c:v>556.86450915097316</c:v>
                </c:pt>
                <c:pt idx="98">
                  <c:v>570.32887579508827</c:v>
                </c:pt>
                <c:pt idx="99">
                  <c:v>516.43414376977341</c:v>
                </c:pt>
                <c:pt idx="100">
                  <c:v>531.51897540630796</c:v>
                </c:pt>
                <c:pt idx="101">
                  <c:v>546.59480200100791</c:v>
                </c:pt>
                <c:pt idx="102">
                  <c:v>561.66190679924864</c:v>
                </c:pt>
                <c:pt idx="103">
                  <c:v>576.72055661774482</c:v>
                </c:pt>
                <c:pt idx="104">
                  <c:v>591.77100321040041</c:v>
                </c:pt>
                <c:pt idx="105">
                  <c:v>606.8134844880509</c:v>
                </c:pt>
                <c:pt idx="106">
                  <c:v>621.84822561103022</c:v>
                </c:pt>
                <c:pt idx="107">
                  <c:v>555.55597806590333</c:v>
                </c:pt>
                <c:pt idx="108">
                  <c:v>570.68474967289876</c:v>
                </c:pt>
                <c:pt idx="109">
                  <c:v>585.8051451021139</c:v>
                </c:pt>
                <c:pt idx="110">
                  <c:v>600.91741089547304</c:v>
                </c:pt>
                <c:pt idx="111">
                  <c:v>616.02178019020903</c:v>
                </c:pt>
                <c:pt idx="112">
                  <c:v>631.11847376528044</c:v>
                </c:pt>
                <c:pt idx="113">
                  <c:v>646.20770098251671</c:v>
                </c:pt>
                <c:pt idx="114">
                  <c:v>661.28966063534119</c:v>
                </c:pt>
                <c:pt idx="115">
                  <c:v>579.02866991679161</c:v>
                </c:pt>
                <c:pt idx="116">
                  <c:v>596.75789037462789</c:v>
                </c:pt>
                <c:pt idx="117">
                  <c:v>614.47615981095521</c:v>
                </c:pt>
                <c:pt idx="118">
                  <c:v>632.18383821881753</c:v>
                </c:pt>
                <c:pt idx="119">
                  <c:v>649.88126379590506</c:v>
                </c:pt>
                <c:pt idx="120">
                  <c:v>667.5687548338185</c:v>
                </c:pt>
                <c:pt idx="121">
                  <c:v>685.24661139684622</c:v>
                </c:pt>
                <c:pt idx="122">
                  <c:v>702.91511681864097</c:v>
                </c:pt>
                <c:pt idx="123">
                  <c:v>639.02792232098557</c:v>
                </c:pt>
                <c:pt idx="124">
                  <c:v>654.10444469023582</c:v>
                </c:pt>
                <c:pt idx="125">
                  <c:v>669.17380804564903</c:v>
                </c:pt>
                <c:pt idx="126">
                  <c:v>684.23619620775673</c:v>
                </c:pt>
                <c:pt idx="127">
                  <c:v>699.29178424983684</c:v>
                </c:pt>
                <c:pt idx="128">
                  <c:v>714.34073909740175</c:v>
                </c:pt>
                <c:pt idx="129">
                  <c:v>729.38322007458294</c:v>
                </c:pt>
                <c:pt idx="130">
                  <c:v>744.4193794031321</c:v>
                </c:pt>
                <c:pt idx="131">
                  <c:v>678.00639713820601</c:v>
                </c:pt>
                <c:pt idx="132">
                  <c:v>691.09932916195203</c:v>
                </c:pt>
                <c:pt idx="133">
                  <c:v>704.18717902466267</c:v>
                </c:pt>
                <c:pt idx="134">
                  <c:v>717.27005443734868</c:v>
                </c:pt>
                <c:pt idx="135">
                  <c:v>730.34805886378808</c:v>
                </c:pt>
                <c:pt idx="136">
                  <c:v>743.4212917626387</c:v>
                </c:pt>
                <c:pt idx="137">
                  <c:v>756.48984881164324</c:v>
                </c:pt>
                <c:pt idx="138">
                  <c:v>769.55382211555013</c:v>
                </c:pt>
                <c:pt idx="139">
                  <c:v>782.61330039919096</c:v>
                </c:pt>
                <c:pt idx="140">
                  <c:v>795.6683691870129</c:v>
                </c:pt>
                <c:pt idx="141">
                  <c:v>706.60007045840894</c:v>
                </c:pt>
                <c:pt idx="142">
                  <c:v>721.97345050396427</c:v>
                </c:pt>
                <c:pt idx="143">
                  <c:v>737.34015313991847</c:v>
                </c:pt>
                <c:pt idx="144">
                  <c:v>752.70033702153739</c:v>
                </c:pt>
                <c:pt idx="145">
                  <c:v>768.05415380627039</c:v>
                </c:pt>
                <c:pt idx="146">
                  <c:v>783.40174859899446</c:v>
                </c:pt>
                <c:pt idx="147">
                  <c:v>798.74326036058153</c:v>
                </c:pt>
                <c:pt idx="148">
                  <c:v>814.07882228347671</c:v>
                </c:pt>
                <c:pt idx="149">
                  <c:v>829.40856213753284</c:v>
                </c:pt>
                <c:pt idx="150">
                  <c:v>844.73260258897051</c:v>
                </c:pt>
                <c:pt idx="151">
                  <c:v>772.67322549232631</c:v>
                </c:pt>
                <c:pt idx="152">
                  <c:v>785.21193664849568</c:v>
                </c:pt>
                <c:pt idx="153">
                  <c:v>797.74659773553242</c:v>
                </c:pt>
                <c:pt idx="154">
                  <c:v>810.27728131337619</c:v>
                </c:pt>
                <c:pt idx="155">
                  <c:v>822.80405751640728</c:v>
                </c:pt>
                <c:pt idx="156">
                  <c:v>835.32699417098502</c:v>
                </c:pt>
                <c:pt idx="157">
                  <c:v>847.84615690558405</c:v>
                </c:pt>
                <c:pt idx="158">
                  <c:v>860.36160925408922</c:v>
                </c:pt>
                <c:pt idx="159">
                  <c:v>872.87341275277402</c:v>
                </c:pt>
                <c:pt idx="160">
                  <c:v>885.38162703143507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2.7207910788384133</c:v>
                </c:pt>
                <c:pt idx="2">
                  <c:v>2.9140594986259294</c:v>
                </c:pt>
                <c:pt idx="3">
                  <c:v>3.1211025633098823</c:v>
                </c:pt>
                <c:pt idx="4">
                  <c:v>3.3429051276400945</c:v>
                </c:pt>
                <c:pt idx="5">
                  <c:v>3.5805226701651303</c:v>
                </c:pt>
                <c:pt idx="6">
                  <c:v>3.835086371669576</c:v>
                </c:pt>
                <c:pt idx="7">
                  <c:v>4.107808559730084</c:v>
                </c:pt>
                <c:pt idx="8">
                  <c:v>4.3999885458471386</c:v>
                </c:pt>
                <c:pt idx="9">
                  <c:v>4.7130188835256055</c:v>
                </c:pt>
                <c:pt idx="10">
                  <c:v>5.0483920777321023</c:v>
                </c:pt>
                <c:pt idx="11">
                  <c:v>5.4077077783615151</c:v>
                </c:pt>
                <c:pt idx="12">
                  <c:v>5.7926804927091249</c:v>
                </c:pt>
                <c:pt idx="13">
                  <c:v>6.2051478544806242</c:v>
                </c:pt>
                <c:pt idx="14">
                  <c:v>6.6470794895922198</c:v>
                </c:pt>
                <c:pt idx="15">
                  <c:v>7.1205865219304307</c:v>
                </c:pt>
                <c:pt idx="16">
                  <c:v>7.6279317653703762</c:v>
                </c:pt>
                <c:pt idx="17">
                  <c:v>8.1715406517079412</c:v>
                </c:pt>
                <c:pt idx="18">
                  <c:v>8.7540129477614173</c:v>
                </c:pt>
                <c:pt idx="19">
                  <c:v>9.3781353187601706</c:v>
                </c:pt>
                <c:pt idx="20">
                  <c:v>10.046894799280155</c:v>
                </c:pt>
                <c:pt idx="21">
                  <c:v>10.763493237429627</c:v>
                </c:pt>
                <c:pt idx="22">
                  <c:v>11.531362782754547</c:v>
                </c:pt>
                <c:pt idx="23">
                  <c:v>12.354182493445956</c:v>
                </c:pt>
                <c:pt idx="24">
                  <c:v>13.235896143915811</c:v>
                </c:pt>
                <c:pt idx="25">
                  <c:v>14.180731319690686</c:v>
                </c:pt>
                <c:pt idx="26">
                  <c:v>15.193219892883514</c:v>
                </c:pt>
                <c:pt idx="27">
                  <c:v>16.278219978272816</c:v>
                </c:pt>
                <c:pt idx="28">
                  <c:v>17.440939477280722</c:v>
                </c:pt>
                <c:pt idx="29">
                  <c:v>18.686961324930916</c:v>
                </c:pt>
                <c:pt idx="30">
                  <c:v>20.022270563223852</c:v>
                </c:pt>
                <c:pt idx="31">
                  <c:v>23.095097381007623</c:v>
                </c:pt>
                <c:pt idx="32">
                  <c:v>29.674128019221325</c:v>
                </c:pt>
                <c:pt idx="33">
                  <c:v>36.212323989024199</c:v>
                </c:pt>
                <c:pt idx="34">
                  <c:v>42.718159257619504</c:v>
                </c:pt>
                <c:pt idx="35">
                  <c:v>49.197285797149455</c:v>
                </c:pt>
                <c:pt idx="36">
                  <c:v>46.012270773504127</c:v>
                </c:pt>
                <c:pt idx="37">
                  <c:v>51.368158178219822</c:v>
                </c:pt>
                <c:pt idx="38">
                  <c:v>56.709272311532537</c:v>
                </c:pt>
                <c:pt idx="39">
                  <c:v>62.037205569789307</c:v>
                </c:pt>
                <c:pt idx="40">
                  <c:v>67.353253248657992</c:v>
                </c:pt>
                <c:pt idx="41">
                  <c:v>72.658488630462998</c:v>
                </c:pt>
                <c:pt idx="42">
                  <c:v>77.953814864957209</c:v>
                </c:pt>
                <c:pt idx="43">
                  <c:v>83.240001941862261</c:v>
                </c:pt>
                <c:pt idx="44">
                  <c:v>88.517713735705897</c:v>
                </c:pt>
                <c:pt idx="45">
                  <c:v>93.787528235214765</c:v>
                </c:pt>
                <c:pt idx="46">
                  <c:v>88.825844789382998</c:v>
                </c:pt>
                <c:pt idx="47">
                  <c:v>99.734690548016658</c:v>
                </c:pt>
                <c:pt idx="48">
                  <c:v>110.61392279111664</c:v>
                </c:pt>
                <c:pt idx="49">
                  <c:v>121.46686938912448</c:v>
                </c:pt>
                <c:pt idx="50">
                  <c:v>132.29621324471157</c:v>
                </c:pt>
                <c:pt idx="51">
                  <c:v>116.44357891501397</c:v>
                </c:pt>
                <c:pt idx="52">
                  <c:v>127.76998178614521</c:v>
                </c:pt>
                <c:pt idx="53">
                  <c:v>139.07206627312442</c:v>
                </c:pt>
                <c:pt idx="54">
                  <c:v>150.35208941545261</c:v>
                </c:pt>
                <c:pt idx="55">
                  <c:v>161.61194127413521</c:v>
                </c:pt>
                <c:pt idx="56">
                  <c:v>172.85322658969073</c:v>
                </c:pt>
                <c:pt idx="57">
                  <c:v>184.07732402349862</c:v>
                </c:pt>
                <c:pt idx="58">
                  <c:v>195.28543015740624</c:v>
                </c:pt>
                <c:pt idx="59">
                  <c:v>206.47859284141907</c:v>
                </c:pt>
                <c:pt idx="60">
                  <c:v>217.6577369180936</c:v>
                </c:pt>
                <c:pt idx="61">
                  <c:v>147.37047352019866</c:v>
                </c:pt>
                <c:pt idx="62">
                  <c:v>159.56631741477923</c:v>
                </c:pt>
                <c:pt idx="63">
                  <c:v>171.74007213989671</c:v>
                </c:pt>
                <c:pt idx="64">
                  <c:v>183.89352530195944</c:v>
                </c:pt>
                <c:pt idx="65">
                  <c:v>196.02820861286816</c:v>
                </c:pt>
                <c:pt idx="66">
                  <c:v>208.14544844392253</c:v>
                </c:pt>
                <c:pt idx="67">
                  <c:v>220.24640396718652</c:v>
                </c:pt>
                <c:pt idx="68">
                  <c:v>232.33209646088824</c:v>
                </c:pt>
                <c:pt idx="69">
                  <c:v>244.40343218861051</c:v>
                </c:pt>
                <c:pt idx="70">
                  <c:v>256.46122051584837</c:v>
                </c:pt>
                <c:pt idx="71">
                  <c:v>201.65955609989908</c:v>
                </c:pt>
                <c:pt idx="72">
                  <c:v>209.59426247292268</c:v>
                </c:pt>
                <c:pt idx="73">
                  <c:v>217.52203857884049</c:v>
                </c:pt>
                <c:pt idx="74">
                  <c:v>225.44317294198405</c:v>
                </c:pt>
                <c:pt idx="75">
                  <c:v>233.35793212932859</c:v>
                </c:pt>
                <c:pt idx="76">
                  <c:v>241.26656312609234</c:v>
                </c:pt>
                <c:pt idx="77">
                  <c:v>249.16929538317268</c:v>
                </c:pt>
                <c:pt idx="78">
                  <c:v>257.06634259094864</c:v>
                </c:pt>
                <c:pt idx="79">
                  <c:v>264.95790422347807</c:v>
                </c:pt>
                <c:pt idx="80">
                  <c:v>272.84416688891093</c:v>
                </c:pt>
                <c:pt idx="81">
                  <c:v>257.10711206755093</c:v>
                </c:pt>
                <c:pt idx="82">
                  <c:v>270.31958528297929</c:v>
                </c:pt>
                <c:pt idx="83">
                  <c:v>283.51753023068198</c:v>
                </c:pt>
                <c:pt idx="84">
                  <c:v>296.7017186617428</c:v>
                </c:pt>
                <c:pt idx="85">
                  <c:v>309.87284811575176</c:v>
                </c:pt>
                <c:pt idx="86">
                  <c:v>323.03155197510722</c:v>
                </c:pt>
                <c:pt idx="87">
                  <c:v>336.17840779453951</c:v>
                </c:pt>
                <c:pt idx="88">
                  <c:v>349.31394425898679</c:v>
                </c:pt>
                <c:pt idx="89">
                  <c:v>362.43864703983371</c:v>
                </c:pt>
                <c:pt idx="90">
                  <c:v>375.55296375832108</c:v>
                </c:pt>
                <c:pt idx="91">
                  <c:v>315.85674661249158</c:v>
                </c:pt>
                <c:pt idx="92">
                  <c:v>324.88019803849755</c:v>
                </c:pt>
                <c:pt idx="93">
                  <c:v>333.89811227907285</c:v>
                </c:pt>
                <c:pt idx="94">
                  <c:v>342.91066007371734</c:v>
                </c:pt>
                <c:pt idx="95">
                  <c:v>351.91800244848037</c:v>
                </c:pt>
                <c:pt idx="96">
                  <c:v>360.92029150845343</c:v>
                </c:pt>
                <c:pt idx="97">
                  <c:v>369.91767114702867</c:v>
                </c:pt>
                <c:pt idx="98">
                  <c:v>378.91027768251826</c:v>
                </c:pt>
                <c:pt idx="99">
                  <c:v>387.89824043116113</c:v>
                </c:pt>
                <c:pt idx="100">
                  <c:v>396.88168222422604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3.5811691733000885</c:v>
                </c:pt>
                <c:pt idx="2">
                  <c:v>4.6317629002249845</c:v>
                </c:pt>
                <c:pt idx="3">
                  <c:v>5.9917775179998971</c:v>
                </c:pt>
                <c:pt idx="4">
                  <c:v>7.7526792087510481</c:v>
                </c:pt>
                <c:pt idx="5">
                  <c:v>10.033064466913192</c:v>
                </c:pt>
                <c:pt idx="6">
                  <c:v>12.986732787328071</c:v>
                </c:pt>
                <c:pt idx="7">
                  <c:v>16.81316835641341</c:v>
                </c:pt>
                <c:pt idx="8">
                  <c:v>21.771151524751748</c:v>
                </c:pt>
                <c:pt idx="9">
                  <c:v>28.196437014191691</c:v>
                </c:pt>
                <c:pt idx="10">
                  <c:v>36.524716962258644</c:v>
                </c:pt>
                <c:pt idx="11">
                  <c:v>47.321452598602491</c:v>
                </c:pt>
                <c:pt idx="12">
                  <c:v>61.320634052582228</c:v>
                </c:pt>
                <c:pt idx="13">
                  <c:v>79.475146664601226</c:v>
                </c:pt>
                <c:pt idx="14">
                  <c:v>103.02222738280922</c:v>
                </c:pt>
                <c:pt idx="15">
                  <c:v>133.56854257352688</c:v>
                </c:pt>
                <c:pt idx="16">
                  <c:v>173.2007820387752</c:v>
                </c:pt>
                <c:pt idx="17">
                  <c:v>86.670387961019003</c:v>
                </c:pt>
                <c:pt idx="18">
                  <c:v>102.29929996576389</c:v>
                </c:pt>
                <c:pt idx="19">
                  <c:v>117.8690270704178</c:v>
                </c:pt>
                <c:pt idx="20">
                  <c:v>133.38850565546619</c:v>
                </c:pt>
                <c:pt idx="21">
                  <c:v>148.86441387453388</c:v>
                </c:pt>
                <c:pt idx="22">
                  <c:v>164.30192365047816</c:v>
                </c:pt>
                <c:pt idx="23">
                  <c:v>179.70515339908658</c:v>
                </c:pt>
                <c:pt idx="24">
                  <c:v>195.07745662755056</c:v>
                </c:pt>
                <c:pt idx="25">
                  <c:v>210.42161444534835</c:v>
                </c:pt>
                <c:pt idx="26">
                  <c:v>225.73996880781147</c:v>
                </c:pt>
                <c:pt idx="27">
                  <c:v>241.03451760908013</c:v>
                </c:pt>
                <c:pt idx="28">
                  <c:v>256.30698432686262</c:v>
                </c:pt>
                <c:pt idx="29">
                  <c:v>164.04370432253319</c:v>
                </c:pt>
                <c:pt idx="30">
                  <c:v>176.52107556097769</c:v>
                </c:pt>
                <c:pt idx="31">
                  <c:v>188.97775345982586</c:v>
                </c:pt>
                <c:pt idx="32">
                  <c:v>201.41529509791295</c:v>
                </c:pt>
                <c:pt idx="33">
                  <c:v>213.83504933850682</c:v>
                </c:pt>
                <c:pt idx="34">
                  <c:v>226.23819541297277</c:v>
                </c:pt>
                <c:pt idx="35">
                  <c:v>238.62577258603494</c:v>
                </c:pt>
                <c:pt idx="36">
                  <c:v>250.99870332970875</c:v>
                </c:pt>
                <c:pt idx="37">
                  <c:v>263.35781168295387</c:v>
                </c:pt>
                <c:pt idx="38">
                  <c:v>275.70383798086044</c:v>
                </c:pt>
                <c:pt idx="39">
                  <c:v>288.03745080504507</c:v>
                </c:pt>
                <c:pt idx="40">
                  <c:v>300.35925677848542</c:v>
                </c:pt>
                <c:pt idx="41">
                  <c:v>312.66980866790055</c:v>
                </c:pt>
                <c:pt idx="42">
                  <c:v>324.96961214260341</c:v>
                </c:pt>
                <c:pt idx="43">
                  <c:v>337.25913145607126</c:v>
                </c:pt>
                <c:pt idx="44">
                  <c:v>349.53879425573922</c:v>
                </c:pt>
                <c:pt idx="45">
                  <c:v>361.80899568133788</c:v>
                </c:pt>
                <c:pt idx="46">
                  <c:v>374.07010187806185</c:v>
                </c:pt>
                <c:pt idx="47">
                  <c:v>224.90973630375711</c:v>
                </c:pt>
                <c:pt idx="48">
                  <c:v>233.15104868872425</c:v>
                </c:pt>
                <c:pt idx="49">
                  <c:v>241.38571037621128</c:v>
                </c:pt>
                <c:pt idx="50">
                  <c:v>249.61398050167239</c:v>
                </c:pt>
                <c:pt idx="51">
                  <c:v>257.83609970178253</c:v>
                </c:pt>
                <c:pt idx="52">
                  <c:v>266.05229199583283</c:v>
                </c:pt>
                <c:pt idx="53">
                  <c:v>274.26276642233148</c:v>
                </c:pt>
                <c:pt idx="54">
                  <c:v>282.46771846919017</c:v>
                </c:pt>
                <c:pt idx="55">
                  <c:v>290.667331328898</c:v>
                </c:pt>
                <c:pt idx="56">
                  <c:v>298.86177700453516</c:v>
                </c:pt>
                <c:pt idx="57">
                  <c:v>307.0512172880446</c:v>
                </c:pt>
                <c:pt idx="58">
                  <c:v>315.23580462860002</c:v>
                </c:pt>
                <c:pt idx="59">
                  <c:v>323.41568290601055</c:v>
                </c:pt>
                <c:pt idx="60">
                  <c:v>331.59098812173801</c:v>
                </c:pt>
                <c:pt idx="61">
                  <c:v>339.76184901816168</c:v>
                </c:pt>
                <c:pt idx="62">
                  <c:v>347.92838763512117</c:v>
                </c:pt>
                <c:pt idx="63">
                  <c:v>356.09071981144933</c:v>
                </c:pt>
                <c:pt idx="64">
                  <c:v>364.24895563808951</c:v>
                </c:pt>
                <c:pt idx="65">
                  <c:v>372.40319986847953</c:v>
                </c:pt>
                <c:pt idx="66">
                  <c:v>380.55355229109551</c:v>
                </c:pt>
                <c:pt idx="67">
                  <c:v>388.70010806840037</c:v>
                </c:pt>
                <c:pt idx="68">
                  <c:v>396.84295804587964</c:v>
                </c:pt>
                <c:pt idx="69">
                  <c:v>404.9821890343797</c:v>
                </c:pt>
                <c:pt idx="70">
                  <c:v>413.11788406855476</c:v>
                </c:pt>
                <c:pt idx="71">
                  <c:v>421.25012264388357</c:v>
                </c:pt>
                <c:pt idx="72">
                  <c:v>429.37898093442595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2.6329150726066644</c:v>
                </c:pt>
                <c:pt idx="2">
                  <c:v>3.3334102937063359</c:v>
                </c:pt>
                <c:pt idx="3">
                  <c:v>4.2210053170277035</c:v>
                </c:pt>
                <c:pt idx="4">
                  <c:v>5.345857803351584</c:v>
                </c:pt>
                <c:pt idx="5">
                  <c:v>6.7716177879637458</c:v>
                </c:pt>
                <c:pt idx="6">
                  <c:v>8.5790686412641062</c:v>
                </c:pt>
                <c:pt idx="7">
                  <c:v>10.870753422557691</c:v>
                </c:pt>
                <c:pt idx="8">
                  <c:v>13.776854026596901</c:v>
                </c:pt>
                <c:pt idx="9">
                  <c:v>17.46266326100195</c:v>
                </c:pt>
                <c:pt idx="10">
                  <c:v>22.138082561191595</c:v>
                </c:pt>
                <c:pt idx="11">
                  <c:v>28.069695864639964</c:v>
                </c:pt>
                <c:pt idx="12">
                  <c:v>35.596120127124117</c:v>
                </c:pt>
                <c:pt idx="13">
                  <c:v>45.147523857640813</c:v>
                </c:pt>
                <c:pt idx="14">
                  <c:v>57.270448069621295</c:v>
                </c:pt>
                <c:pt idx="15">
                  <c:v>72.659373453909765</c:v>
                </c:pt>
                <c:pt idx="16">
                  <c:v>92.19687154094413</c:v>
                </c:pt>
                <c:pt idx="17">
                  <c:v>117.00467928241522</c:v>
                </c:pt>
                <c:pt idx="18">
                  <c:v>148.50867533932708</c:v>
                </c:pt>
                <c:pt idx="19">
                  <c:v>188.52154999538129</c:v>
                </c:pt>
                <c:pt idx="20">
                  <c:v>239.34799691341618</c:v>
                </c:pt>
                <c:pt idx="21">
                  <c:v>119.23208197945604</c:v>
                </c:pt>
                <c:pt idx="22">
                  <c:v>138.55742751807867</c:v>
                </c:pt>
                <c:pt idx="23">
                  <c:v>157.8179336968208</c:v>
                </c:pt>
                <c:pt idx="24">
                  <c:v>177.02263712674269</c:v>
                </c:pt>
                <c:pt idx="25">
                  <c:v>196.17844774726566</c:v>
                </c:pt>
                <c:pt idx="26">
                  <c:v>215.29081308836953</c:v>
                </c:pt>
                <c:pt idx="27">
                  <c:v>234.36413311822037</c:v>
                </c:pt>
                <c:pt idx="28">
                  <c:v>253.40203246142983</c:v>
                </c:pt>
                <c:pt idx="29">
                  <c:v>272.40754629194822</c:v>
                </c:pt>
                <c:pt idx="30">
                  <c:v>291.38325151764707</c:v>
                </c:pt>
                <c:pt idx="31">
                  <c:v>310.33136194628338</c:v>
                </c:pt>
                <c:pt idx="32">
                  <c:v>329.2537989631511</c:v>
                </c:pt>
                <c:pt idx="33">
                  <c:v>348.15224509579497</c:v>
                </c:pt>
                <c:pt idx="34">
                  <c:v>367.02818533211354</c:v>
                </c:pt>
                <c:pt idx="35">
                  <c:v>385.88293949032163</c:v>
                </c:pt>
                <c:pt idx="36">
                  <c:v>201.88611437503073</c:v>
                </c:pt>
                <c:pt idx="37">
                  <c:v>216.40406851774443</c:v>
                </c:pt>
                <c:pt idx="38">
                  <c:v>230.8996243255298</c:v>
                </c:pt>
                <c:pt idx="39">
                  <c:v>245.37438632672536</c:v>
                </c:pt>
                <c:pt idx="40">
                  <c:v>259.82975417178045</c:v>
                </c:pt>
                <c:pt idx="41">
                  <c:v>274.2669589809405</c:v>
                </c:pt>
                <c:pt idx="42">
                  <c:v>288.68709162934181</c:v>
                </c:pt>
                <c:pt idx="43">
                  <c:v>303.09112507961555</c:v>
                </c:pt>
                <c:pt idx="44">
                  <c:v>317.4799322438152</c:v>
                </c:pt>
                <c:pt idx="45">
                  <c:v>331.85430043581931</c:v>
                </c:pt>
                <c:pt idx="46">
                  <c:v>346.21494318751888</c:v>
                </c:pt>
                <c:pt idx="47">
                  <c:v>360.56251000127196</c:v>
                </c:pt>
                <c:pt idx="48">
                  <c:v>374.89759446849916</c:v>
                </c:pt>
                <c:pt idx="49">
                  <c:v>389.22074108141697</c:v>
                </c:pt>
                <c:pt idx="50">
                  <c:v>403.53245098959491</c:v>
                </c:pt>
                <c:pt idx="51">
                  <c:v>417.83318689717089</c:v>
                </c:pt>
                <c:pt idx="52">
                  <c:v>432.12337725462112</c:v>
                </c:pt>
                <c:pt idx="53">
                  <c:v>446.40341986714157</c:v>
                </c:pt>
                <c:pt idx="54">
                  <c:v>460.67368501727304</c:v>
                </c:pt>
                <c:pt idx="55">
                  <c:v>474.93451818048993</c:v>
                </c:pt>
                <c:pt idx="56">
                  <c:v>489.18624239767968</c:v>
                </c:pt>
                <c:pt idx="57">
                  <c:v>503.42916035680167</c:v>
                </c:pt>
                <c:pt idx="58">
                  <c:v>517.66355622675758</c:v>
                </c:pt>
                <c:pt idx="59">
                  <c:v>531.88969727910876</c:v>
                </c:pt>
                <c:pt idx="60">
                  <c:v>546.10783532731523</c:v>
                </c:pt>
                <c:pt idx="61">
                  <c:v>4.8152955147902165E-12</c:v>
                </c:pt>
                <c:pt idx="62">
                  <c:v>4.8152955147902165E-12</c:v>
                </c:pt>
                <c:pt idx="63">
                  <c:v>4.8152955147902165E-12</c:v>
                </c:pt>
                <c:pt idx="64">
                  <c:v>4.8152955147902165E-12</c:v>
                </c:pt>
                <c:pt idx="65">
                  <c:v>4.8152955147902165E-12</c:v>
                </c:pt>
                <c:pt idx="66">
                  <c:v>4.8152955147902165E-12</c:v>
                </c:pt>
                <c:pt idx="67">
                  <c:v>4.8152955147902165E-12</c:v>
                </c:pt>
                <c:pt idx="68">
                  <c:v>4.8152955147902165E-12</c:v>
                </c:pt>
                <c:pt idx="69">
                  <c:v>4.8152955147902165E-12</c:v>
                </c:pt>
                <c:pt idx="70">
                  <c:v>4.8152955147902165E-12</c:v>
                </c:pt>
                <c:pt idx="71">
                  <c:v>4.8152955147902165E-12</c:v>
                </c:pt>
                <c:pt idx="72">
                  <c:v>4.8152955147902165E-12</c:v>
                </c:pt>
                <c:pt idx="73">
                  <c:v>4.8152955147902165E-12</c:v>
                </c:pt>
                <c:pt idx="74">
                  <c:v>4.8152955147902165E-12</c:v>
                </c:pt>
                <c:pt idx="75">
                  <c:v>4.8152955147902165E-12</c:v>
                </c:pt>
                <c:pt idx="76">
                  <c:v>4.8152955147902165E-12</c:v>
                </c:pt>
                <c:pt idx="77">
                  <c:v>4.8152955147902165E-12</c:v>
                </c:pt>
                <c:pt idx="78">
                  <c:v>4.8152955147902165E-12</c:v>
                </c:pt>
                <c:pt idx="79">
                  <c:v>4.8152955147902165E-12</c:v>
                </c:pt>
                <c:pt idx="80">
                  <c:v>4.8152955147902165E-12</c:v>
                </c:pt>
                <c:pt idx="81">
                  <c:v>4.8152955147902165E-12</c:v>
                </c:pt>
                <c:pt idx="82">
                  <c:v>4.8152955147902165E-12</c:v>
                </c:pt>
                <c:pt idx="83">
                  <c:v>4.8152955147902165E-12</c:v>
                </c:pt>
                <c:pt idx="84">
                  <c:v>4.8152955147902165E-12</c:v>
                </c:pt>
                <c:pt idx="85">
                  <c:v>4.8152955147902165E-12</c:v>
                </c:pt>
                <c:pt idx="86">
                  <c:v>4.8152955147902165E-12</c:v>
                </c:pt>
                <c:pt idx="87">
                  <c:v>4.8152955147902165E-12</c:v>
                </c:pt>
                <c:pt idx="88">
                  <c:v>4.8152955147902165E-12</c:v>
                </c:pt>
                <c:pt idx="89">
                  <c:v>4.8152955147902165E-12</c:v>
                </c:pt>
                <c:pt idx="90">
                  <c:v>4.8152955147902165E-12</c:v>
                </c:pt>
                <c:pt idx="91">
                  <c:v>4.8152955147902165E-12</c:v>
                </c:pt>
                <c:pt idx="92">
                  <c:v>4.8152955147902165E-12</c:v>
                </c:pt>
                <c:pt idx="93">
                  <c:v>4.8152955147902165E-12</c:v>
                </c:pt>
                <c:pt idx="94">
                  <c:v>4.8152955147902165E-12</c:v>
                </c:pt>
                <c:pt idx="95">
                  <c:v>4.8152955147902165E-12</c:v>
                </c:pt>
                <c:pt idx="96">
                  <c:v>4.8152955147902165E-12</c:v>
                </c:pt>
                <c:pt idx="97">
                  <c:v>4.8152955147902165E-12</c:v>
                </c:pt>
                <c:pt idx="98">
                  <c:v>4.8152955147902165E-12</c:v>
                </c:pt>
                <c:pt idx="99">
                  <c:v>4.8152955147902165E-12</c:v>
                </c:pt>
                <c:pt idx="100">
                  <c:v>4.8152955147902165E-12</c:v>
                </c:pt>
                <c:pt idx="101">
                  <c:v>4.8152955147902165E-12</c:v>
                </c:pt>
                <c:pt idx="102">
                  <c:v>4.8152955147902165E-12</c:v>
                </c:pt>
                <c:pt idx="103">
                  <c:v>4.8152955147902165E-12</c:v>
                </c:pt>
                <c:pt idx="104">
                  <c:v>4.8152955147902165E-12</c:v>
                </c:pt>
                <c:pt idx="105">
                  <c:v>4.8152955147902165E-12</c:v>
                </c:pt>
                <c:pt idx="106">
                  <c:v>4.8152955147902165E-12</c:v>
                </c:pt>
                <c:pt idx="107">
                  <c:v>4.8152955147902165E-12</c:v>
                </c:pt>
                <c:pt idx="108">
                  <c:v>4.8152955147902165E-12</c:v>
                </c:pt>
                <c:pt idx="109">
                  <c:v>4.8152955147902165E-12</c:v>
                </c:pt>
                <c:pt idx="110">
                  <c:v>4.8152955147902165E-12</c:v>
                </c:pt>
                <c:pt idx="111">
                  <c:v>4.8152955147902165E-12</c:v>
                </c:pt>
                <c:pt idx="112">
                  <c:v>4.8152955147902165E-12</c:v>
                </c:pt>
                <c:pt idx="113">
                  <c:v>4.8152955147902165E-12</c:v>
                </c:pt>
                <c:pt idx="114">
                  <c:v>4.8152955147902165E-12</c:v>
                </c:pt>
                <c:pt idx="115">
                  <c:v>4.8152955147902165E-12</c:v>
                </c:pt>
                <c:pt idx="116">
                  <c:v>4.8152955147902165E-12</c:v>
                </c:pt>
                <c:pt idx="117">
                  <c:v>4.8152955147902165E-12</c:v>
                </c:pt>
                <c:pt idx="118">
                  <c:v>4.8152955147902165E-12</c:v>
                </c:pt>
                <c:pt idx="119">
                  <c:v>4.8152955147902165E-12</c:v>
                </c:pt>
                <c:pt idx="120">
                  <c:v>4.8152955147902165E-12</c:v>
                </c:pt>
                <c:pt idx="121">
                  <c:v>4.8152955147902165E-12</c:v>
                </c:pt>
                <c:pt idx="122">
                  <c:v>4.8152955147902165E-12</c:v>
                </c:pt>
                <c:pt idx="123">
                  <c:v>4.8152955147902165E-12</c:v>
                </c:pt>
                <c:pt idx="124">
                  <c:v>4.8152955147902165E-12</c:v>
                </c:pt>
                <c:pt idx="125">
                  <c:v>4.8152955147902165E-12</c:v>
                </c:pt>
                <c:pt idx="126">
                  <c:v>4.8152955147902165E-12</c:v>
                </c:pt>
                <c:pt idx="127">
                  <c:v>4.8152955147902165E-12</c:v>
                </c:pt>
                <c:pt idx="128">
                  <c:v>4.8152955147902165E-12</c:v>
                </c:pt>
                <c:pt idx="129">
                  <c:v>4.8152955147902165E-12</c:v>
                </c:pt>
                <c:pt idx="130">
                  <c:v>4.8152955147902165E-12</c:v>
                </c:pt>
                <c:pt idx="131">
                  <c:v>4.8152955147902165E-12</c:v>
                </c:pt>
                <c:pt idx="132">
                  <c:v>4.8152955147902165E-12</c:v>
                </c:pt>
                <c:pt idx="133">
                  <c:v>4.8152955147902165E-12</c:v>
                </c:pt>
                <c:pt idx="134">
                  <c:v>4.8152955147902165E-12</c:v>
                </c:pt>
                <c:pt idx="135">
                  <c:v>4.8152955147902165E-12</c:v>
                </c:pt>
                <c:pt idx="136">
                  <c:v>4.8152955147902165E-12</c:v>
                </c:pt>
                <c:pt idx="137">
                  <c:v>4.8152955147902165E-12</c:v>
                </c:pt>
                <c:pt idx="138">
                  <c:v>4.8152955147902165E-12</c:v>
                </c:pt>
                <c:pt idx="139">
                  <c:v>4.8152955147902165E-12</c:v>
                </c:pt>
                <c:pt idx="140">
                  <c:v>4.8152955147902165E-12</c:v>
                </c:pt>
                <c:pt idx="141">
                  <c:v>4.8152955147902165E-12</c:v>
                </c:pt>
                <c:pt idx="142">
                  <c:v>4.8152955147902165E-12</c:v>
                </c:pt>
                <c:pt idx="143">
                  <c:v>4.8152955147902165E-12</c:v>
                </c:pt>
                <c:pt idx="144">
                  <c:v>4.8152955147902165E-12</c:v>
                </c:pt>
                <c:pt idx="145">
                  <c:v>4.8152955147902165E-12</c:v>
                </c:pt>
                <c:pt idx="146">
                  <c:v>4.8152955147902165E-12</c:v>
                </c:pt>
                <c:pt idx="147">
                  <c:v>4.8152955147902165E-12</c:v>
                </c:pt>
                <c:pt idx="148">
                  <c:v>4.8152955147902165E-12</c:v>
                </c:pt>
                <c:pt idx="149">
                  <c:v>4.8152955147902165E-12</c:v>
                </c:pt>
                <c:pt idx="150">
                  <c:v>4.8152955147902165E-12</c:v>
                </c:pt>
                <c:pt idx="151">
                  <c:v>4.8152955147902165E-12</c:v>
                </c:pt>
                <c:pt idx="152">
                  <c:v>4.8152955147902165E-12</c:v>
                </c:pt>
                <c:pt idx="153">
                  <c:v>4.8152955147902165E-12</c:v>
                </c:pt>
                <c:pt idx="154">
                  <c:v>4.8152955147902165E-12</c:v>
                </c:pt>
                <c:pt idx="155">
                  <c:v>4.8152955147902165E-12</c:v>
                </c:pt>
                <c:pt idx="156">
                  <c:v>4.8152955147902165E-12</c:v>
                </c:pt>
                <c:pt idx="157">
                  <c:v>4.8152955147902165E-12</c:v>
                </c:pt>
                <c:pt idx="158">
                  <c:v>4.8152955147902165E-12</c:v>
                </c:pt>
                <c:pt idx="159">
                  <c:v>4.8152955147902165E-12</c:v>
                </c:pt>
                <c:pt idx="160">
                  <c:v>4.8152955147902165E-12</c:v>
                </c:pt>
                <c:pt idx="161">
                  <c:v>4.8152955147902165E-12</c:v>
                </c:pt>
                <c:pt idx="162">
                  <c:v>4.8152955147902165E-12</c:v>
                </c:pt>
                <c:pt idx="163">
                  <c:v>4.8152955147902165E-12</c:v>
                </c:pt>
                <c:pt idx="164">
                  <c:v>4.8152955147902165E-12</c:v>
                </c:pt>
                <c:pt idx="165">
                  <c:v>4.8152955147902165E-12</c:v>
                </c:pt>
                <c:pt idx="166">
                  <c:v>4.8152955147902165E-12</c:v>
                </c:pt>
                <c:pt idx="167">
                  <c:v>4.8152955147902165E-12</c:v>
                </c:pt>
                <c:pt idx="168">
                  <c:v>4.8152955147902165E-12</c:v>
                </c:pt>
                <c:pt idx="169">
                  <c:v>4.8152955147902165E-12</c:v>
                </c:pt>
                <c:pt idx="170">
                  <c:v>4.8152955147902165E-12</c:v>
                </c:pt>
                <c:pt idx="171">
                  <c:v>4.8152955147902165E-12</c:v>
                </c:pt>
                <c:pt idx="172">
                  <c:v>4.8152955147902165E-12</c:v>
                </c:pt>
                <c:pt idx="173">
                  <c:v>4.8152955147902165E-12</c:v>
                </c:pt>
                <c:pt idx="174">
                  <c:v>4.8152955147902165E-12</c:v>
                </c:pt>
                <c:pt idx="175">
                  <c:v>4.8152955147902165E-12</c:v>
                </c:pt>
                <c:pt idx="176">
                  <c:v>4.8152955147902165E-12</c:v>
                </c:pt>
                <c:pt idx="177">
                  <c:v>4.8152955147902165E-12</c:v>
                </c:pt>
                <c:pt idx="178">
                  <c:v>4.8152955147902165E-12</c:v>
                </c:pt>
                <c:pt idx="179">
                  <c:v>4.8152955147902165E-12</c:v>
                </c:pt>
                <c:pt idx="180">
                  <c:v>4.8152955147902165E-12</c:v>
                </c:pt>
                <c:pt idx="181">
                  <c:v>4.8152955147902165E-12</c:v>
                </c:pt>
                <c:pt idx="182">
                  <c:v>4.8152955147902165E-12</c:v>
                </c:pt>
                <c:pt idx="183">
                  <c:v>4.8152955147902165E-12</c:v>
                </c:pt>
                <c:pt idx="184">
                  <c:v>4.8152955147902165E-12</c:v>
                </c:pt>
                <c:pt idx="185">
                  <c:v>4.8152955147902165E-12</c:v>
                </c:pt>
                <c:pt idx="186">
                  <c:v>4.8152955147902165E-12</c:v>
                </c:pt>
                <c:pt idx="187">
                  <c:v>4.8152955147902165E-12</c:v>
                </c:pt>
                <c:pt idx="188">
                  <c:v>4.8152955147902165E-12</c:v>
                </c:pt>
                <c:pt idx="189">
                  <c:v>4.8152955147902165E-12</c:v>
                </c:pt>
                <c:pt idx="190">
                  <c:v>4.8152955147902165E-12</c:v>
                </c:pt>
                <c:pt idx="191">
                  <c:v>4.8152955147902165E-12</c:v>
                </c:pt>
                <c:pt idx="192">
                  <c:v>4.8152955147902165E-12</c:v>
                </c:pt>
                <c:pt idx="193">
                  <c:v>4.8152955147902165E-12</c:v>
                </c:pt>
                <c:pt idx="194">
                  <c:v>4.8152955147902165E-12</c:v>
                </c:pt>
                <c:pt idx="195">
                  <c:v>4.8152955147902165E-12</c:v>
                </c:pt>
                <c:pt idx="196">
                  <c:v>4.8152955147902165E-12</c:v>
                </c:pt>
                <c:pt idx="197">
                  <c:v>4.8152955147902165E-12</c:v>
                </c:pt>
                <c:pt idx="198">
                  <c:v>4.8152955147902165E-12</c:v>
                </c:pt>
                <c:pt idx="199">
                  <c:v>4.8152955147902165E-12</c:v>
                </c:pt>
                <c:pt idx="200">
                  <c:v>4.8152955147902165E-12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9" zoomScale="125" zoomScaleNormal="143" workbookViewId="0">
      <selection activeCell="E22" sqref="E22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5" t="s">
        <v>231</v>
      </c>
      <c r="B5" s="305"/>
      <c r="C5" s="26">
        <v>31.7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36</v>
      </c>
      <c r="C9" s="35">
        <f>34580/54515</f>
        <v>0.63432082912959731</v>
      </c>
      <c r="D9" s="36">
        <f t="shared" ref="D9:D18" si="0">C9*$C$5</f>
        <v>20.107970283408235</v>
      </c>
      <c r="E9" s="37">
        <v>62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 t="s">
        <v>138</v>
      </c>
      <c r="C10" s="35">
        <f>10000/54515</f>
        <v>0.18343575162799231</v>
      </c>
      <c r="D10" s="36">
        <f t="shared" si="0"/>
        <v>5.814913326607356</v>
      </c>
      <c r="E10" s="37">
        <v>40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 t="s">
        <v>11</v>
      </c>
      <c r="C11" s="35">
        <f>1435/54515</f>
        <v>2.6323030358616894E-2</v>
      </c>
      <c r="D11" s="36">
        <f t="shared" si="0"/>
        <v>0.83444006236815549</v>
      </c>
      <c r="E11" s="37">
        <v>160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 t="s">
        <v>15</v>
      </c>
      <c r="C12" s="35">
        <f>2000/54515</f>
        <v>3.668715032559846E-2</v>
      </c>
      <c r="D12" s="36">
        <f t="shared" si="0"/>
        <v>1.1629826653214712</v>
      </c>
      <c r="E12" s="37">
        <v>100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 t="s">
        <v>10</v>
      </c>
      <c r="C13" s="35">
        <v>3.668715032559846E-2</v>
      </c>
      <c r="D13" s="36">
        <f t="shared" si="0"/>
        <v>1.1629826653214712</v>
      </c>
      <c r="E13" s="37">
        <v>72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 t="s">
        <v>5</v>
      </c>
      <c r="C14" s="35">
        <v>7.0000000000000007E-2</v>
      </c>
      <c r="D14" s="36">
        <f t="shared" si="0"/>
        <v>2.2190000000000003</v>
      </c>
      <c r="E14" s="37">
        <v>60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0.98745391176740349</v>
      </c>
      <c r="D19" s="41">
        <f>SUM(D9:D18)</f>
        <v>31.302289003026694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12</v>
      </c>
      <c r="B36" s="63">
        <v>35.6</v>
      </c>
      <c r="C36" s="63">
        <v>1</v>
      </c>
      <c r="D36" s="63">
        <v>2</v>
      </c>
      <c r="E36" s="54">
        <v>0</v>
      </c>
      <c r="F36" s="54">
        <v>0</v>
      </c>
      <c r="G36" s="54">
        <v>0</v>
      </c>
      <c r="H36" s="54">
        <v>0</v>
      </c>
      <c r="I36" s="52">
        <f>IFERROR(B36/A36,"")</f>
        <v>2.9666666666666668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16</v>
      </c>
      <c r="B37" s="63">
        <v>66.3</v>
      </c>
      <c r="C37" s="63">
        <v>2</v>
      </c>
      <c r="D37" s="63">
        <v>14.8</v>
      </c>
      <c r="E37" s="54">
        <v>0</v>
      </c>
      <c r="F37" s="54">
        <v>0</v>
      </c>
      <c r="G37" s="54">
        <v>0.3</v>
      </c>
      <c r="H37" s="54">
        <v>0.7</v>
      </c>
      <c r="I37" s="56">
        <f t="shared" ref="I37:I55" si="1">IF(A37&lt;&gt;0,(B37-(B36-D36))/(A37-A36),"")</f>
        <v>8.1749999999999989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20</v>
      </c>
      <c r="B38" s="63">
        <v>97.2</v>
      </c>
      <c r="C38" s="63">
        <v>3</v>
      </c>
      <c r="D38" s="63">
        <v>22.1</v>
      </c>
      <c r="E38" s="54">
        <v>0</v>
      </c>
      <c r="F38" s="54">
        <v>0.2</v>
      </c>
      <c r="G38" s="54">
        <v>0.3</v>
      </c>
      <c r="H38" s="54">
        <v>0.5</v>
      </c>
      <c r="I38" s="56">
        <f t="shared" si="1"/>
        <v>11.425000000000001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24</v>
      </c>
      <c r="B39" s="63">
        <v>125.7</v>
      </c>
      <c r="C39" s="63">
        <v>4</v>
      </c>
      <c r="D39" s="63">
        <v>30.8</v>
      </c>
      <c r="E39" s="54">
        <v>0</v>
      </c>
      <c r="F39" s="54">
        <v>0.2</v>
      </c>
      <c r="G39" s="54">
        <v>0.3</v>
      </c>
      <c r="H39" s="54">
        <v>0.5</v>
      </c>
      <c r="I39" s="52">
        <f t="shared" si="1"/>
        <v>12.650000000000002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28</v>
      </c>
      <c r="B40" s="63">
        <v>155.5</v>
      </c>
      <c r="C40" s="63">
        <v>5</v>
      </c>
      <c r="D40" s="63">
        <v>35.4</v>
      </c>
      <c r="E40" s="54">
        <v>0.1</v>
      </c>
      <c r="F40" s="54">
        <v>0.3</v>
      </c>
      <c r="G40" s="54">
        <v>0.2</v>
      </c>
      <c r="H40" s="54">
        <v>0.4</v>
      </c>
      <c r="I40" s="52">
        <f t="shared" si="1"/>
        <v>15.149999999999999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34</v>
      </c>
      <c r="B41" s="63">
        <v>198.1</v>
      </c>
      <c r="C41" s="63">
        <v>6</v>
      </c>
      <c r="D41" s="63">
        <v>46.2</v>
      </c>
      <c r="E41" s="54">
        <v>0.5</v>
      </c>
      <c r="F41" s="54">
        <v>0.2</v>
      </c>
      <c r="G41" s="54">
        <v>0.1</v>
      </c>
      <c r="H41" s="54">
        <v>0.2</v>
      </c>
      <c r="I41" s="56">
        <f t="shared" si="1"/>
        <v>13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40</v>
      </c>
      <c r="B42" s="63">
        <v>234.1</v>
      </c>
      <c r="C42" s="63">
        <v>7</v>
      </c>
      <c r="D42" s="63">
        <v>41.3</v>
      </c>
      <c r="E42" s="54">
        <v>0.6</v>
      </c>
      <c r="F42" s="54">
        <v>0.2</v>
      </c>
      <c r="G42" s="54">
        <v>0.1</v>
      </c>
      <c r="H42" s="54">
        <v>0.1</v>
      </c>
      <c r="I42" s="56">
        <f t="shared" si="1"/>
        <v>13.700000000000003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3">
        <v>46</v>
      </c>
      <c r="B43" s="63">
        <v>263.60000000000002</v>
      </c>
      <c r="C43" s="63">
        <v>8</v>
      </c>
      <c r="D43" s="63">
        <v>28.7</v>
      </c>
      <c r="E43" s="54">
        <v>0.6</v>
      </c>
      <c r="F43" s="54">
        <v>0.2</v>
      </c>
      <c r="G43" s="54">
        <v>0.1</v>
      </c>
      <c r="H43" s="54">
        <v>0.1</v>
      </c>
      <c r="I43" s="52">
        <f t="shared" si="1"/>
        <v>11.800000000000002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3">
        <v>54</v>
      </c>
      <c r="B44" s="63">
        <v>295.5</v>
      </c>
      <c r="C44" s="63">
        <v>9</v>
      </c>
      <c r="D44" s="63">
        <v>15.6</v>
      </c>
      <c r="E44" s="54">
        <v>0.6</v>
      </c>
      <c r="F44" s="54">
        <v>0.2</v>
      </c>
      <c r="G44" s="54">
        <v>0.1</v>
      </c>
      <c r="H44" s="54">
        <v>0.1</v>
      </c>
      <c r="I44" s="52">
        <f t="shared" si="1"/>
        <v>7.5749999999999957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3">
        <v>62</v>
      </c>
      <c r="B45" s="63">
        <v>308.8</v>
      </c>
      <c r="C45" s="63">
        <v>10</v>
      </c>
      <c r="D45" s="63">
        <v>308.8</v>
      </c>
      <c r="E45" s="54">
        <v>0.6</v>
      </c>
      <c r="F45" s="54">
        <v>0.2</v>
      </c>
      <c r="G45" s="54">
        <v>0.1</v>
      </c>
      <c r="H45" s="54">
        <v>0.1</v>
      </c>
      <c r="I45" s="52">
        <f t="shared" si="1"/>
        <v>3.6125000000000043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>Pin taeda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>
        <v>10</v>
      </c>
      <c r="B62" s="63">
        <v>44.569000000000003</v>
      </c>
      <c r="C62" s="63">
        <v>1</v>
      </c>
      <c r="D62" s="63">
        <v>6.74</v>
      </c>
      <c r="E62" s="54">
        <v>0</v>
      </c>
      <c r="F62" s="54">
        <v>0</v>
      </c>
      <c r="G62" s="54">
        <v>0.3</v>
      </c>
      <c r="H62" s="54">
        <v>0.7</v>
      </c>
      <c r="I62" s="56">
        <f>IFERROR(B62/A62,"")</f>
        <v>4.4569000000000001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>
        <v>13</v>
      </c>
      <c r="B63" s="63">
        <v>92.22</v>
      </c>
      <c r="C63" s="63">
        <v>2</v>
      </c>
      <c r="D63" s="63">
        <v>7.21</v>
      </c>
      <c r="E63" s="54">
        <v>0</v>
      </c>
      <c r="F63" s="54">
        <v>0</v>
      </c>
      <c r="G63" s="54">
        <v>0.3</v>
      </c>
      <c r="H63" s="54">
        <v>0.7</v>
      </c>
      <c r="I63" s="52">
        <f>IF(A63&lt;&gt;0,(B63-(B62-D62))/(A63-A62),"")</f>
        <v>18.130333333333333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>
        <v>20</v>
      </c>
      <c r="B64" s="63">
        <v>152.47800000000001</v>
      </c>
      <c r="C64" s="63">
        <v>3</v>
      </c>
      <c r="D64" s="63">
        <v>18.399999999999999</v>
      </c>
      <c r="E64" s="54">
        <v>0</v>
      </c>
      <c r="F64" s="54">
        <v>0.1</v>
      </c>
      <c r="G64" s="54">
        <v>0.3</v>
      </c>
      <c r="H64" s="54">
        <v>0.5</v>
      </c>
      <c r="I64" s="52">
        <f>IF(A64&lt;&gt;0,(B64-(B63-D63))/(A64-A63),"")</f>
        <v>9.6382857142857148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>
        <v>23</v>
      </c>
      <c r="B65" s="63">
        <v>201.82300000000001</v>
      </c>
      <c r="C65" s="63">
        <v>4</v>
      </c>
      <c r="D65" s="63">
        <v>30.98</v>
      </c>
      <c r="E65" s="54">
        <v>0.1</v>
      </c>
      <c r="F65" s="54">
        <v>0.3</v>
      </c>
      <c r="G65" s="54">
        <v>0.2</v>
      </c>
      <c r="H65" s="54">
        <v>0.4</v>
      </c>
      <c r="I65" s="52">
        <f>IF(A65&lt;&gt;0,(B65-(B64-D64))/(A65-A64),"")</f>
        <v>22.581666666666667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>
        <v>30</v>
      </c>
      <c r="B66" s="63">
        <v>214.12899999999999</v>
      </c>
      <c r="C66" s="63">
        <v>5</v>
      </c>
      <c r="D66" s="63">
        <v>38.83</v>
      </c>
      <c r="E66" s="54">
        <v>0.5</v>
      </c>
      <c r="F66" s="54">
        <v>0.2</v>
      </c>
      <c r="G66" s="54">
        <v>0.1</v>
      </c>
      <c r="H66" s="54">
        <v>0.2</v>
      </c>
      <c r="I66" s="52">
        <f t="shared" ref="I66:I81" si="2">IF(A66&lt;&gt;0,(B66-(B65-D65))/(A66-A65),"")</f>
        <v>6.1837142857142817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>
        <v>33</v>
      </c>
      <c r="B67" s="63">
        <v>204.476</v>
      </c>
      <c r="C67" s="63">
        <v>6</v>
      </c>
      <c r="D67" s="63">
        <v>41.17</v>
      </c>
      <c r="E67" s="54">
        <v>0.5</v>
      </c>
      <c r="F67" s="54">
        <v>0.2</v>
      </c>
      <c r="G67" s="54">
        <v>0.1</v>
      </c>
      <c r="H67" s="54">
        <v>0.2</v>
      </c>
      <c r="I67" s="52">
        <f t="shared" si="2"/>
        <v>9.7256666666666742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>
        <v>40</v>
      </c>
      <c r="B68" s="63">
        <v>245.18199999999999</v>
      </c>
      <c r="C68" s="63">
        <v>7</v>
      </c>
      <c r="D68" s="63">
        <v>245.18</v>
      </c>
      <c r="E68" s="54">
        <v>0.6</v>
      </c>
      <c r="F68" s="54">
        <v>0.2</v>
      </c>
      <c r="G68" s="54">
        <v>0.1</v>
      </c>
      <c r="H68" s="54">
        <v>0.1</v>
      </c>
      <c r="I68" s="52">
        <f t="shared" si="2"/>
        <v>11.69657142857143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/>
      <c r="B69" s="53"/>
      <c r="C69" s="6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6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6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6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>Chêne pédonculé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>
        <v>30</v>
      </c>
      <c r="B88" s="63">
        <v>22.400000000000002</v>
      </c>
      <c r="C88" s="63">
        <v>1</v>
      </c>
      <c r="D88" s="63">
        <v>5</v>
      </c>
      <c r="E88" s="54">
        <v>0</v>
      </c>
      <c r="F88" s="54">
        <v>0</v>
      </c>
      <c r="G88" s="54">
        <v>0.3</v>
      </c>
      <c r="H88" s="93">
        <v>0.7</v>
      </c>
      <c r="I88" s="56">
        <f>IFERROR(B88/A88,"")</f>
        <v>0.7466666666666667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>
        <v>36</v>
      </c>
      <c r="B89" s="63">
        <v>55.199999999999996</v>
      </c>
      <c r="C89" s="63">
        <v>2</v>
      </c>
      <c r="D89" s="63">
        <v>12</v>
      </c>
      <c r="E89" s="54">
        <v>0</v>
      </c>
      <c r="F89" s="54">
        <v>0</v>
      </c>
      <c r="G89" s="54">
        <v>0.3</v>
      </c>
      <c r="H89" s="93">
        <v>0.7</v>
      </c>
      <c r="I89" s="56">
        <f t="shared" ref="I89:I107" si="3">IF(A89&lt;&gt;0,(B89-(B88-D88))/(A89-A88),"")</f>
        <v>6.3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>
        <v>42</v>
      </c>
      <c r="B90" s="63">
        <v>76</v>
      </c>
      <c r="C90" s="63">
        <v>3</v>
      </c>
      <c r="D90" s="63">
        <v>16</v>
      </c>
      <c r="E90" s="54">
        <v>0</v>
      </c>
      <c r="F90" s="54">
        <v>0</v>
      </c>
      <c r="G90" s="54">
        <v>0.3</v>
      </c>
      <c r="H90" s="93">
        <v>0.7</v>
      </c>
      <c r="I90" s="56">
        <f t="shared" si="3"/>
        <v>5.4666666666666677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>
        <v>48</v>
      </c>
      <c r="B91" s="63">
        <v>108</v>
      </c>
      <c r="C91" s="63">
        <v>4</v>
      </c>
      <c r="D91" s="63">
        <v>28.799999999999997</v>
      </c>
      <c r="E91" s="54">
        <v>0</v>
      </c>
      <c r="F91" s="54">
        <v>0.1</v>
      </c>
      <c r="G91" s="54">
        <v>0.3</v>
      </c>
      <c r="H91" s="93">
        <v>0.6</v>
      </c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>
        <v>54</v>
      </c>
      <c r="B92" s="63">
        <v>140.80000000000001</v>
      </c>
      <c r="C92" s="63">
        <v>5</v>
      </c>
      <c r="D92" s="63">
        <v>51.2</v>
      </c>
      <c r="E92" s="54">
        <v>0</v>
      </c>
      <c r="F92" s="54">
        <v>0.1</v>
      </c>
      <c r="G92" s="54">
        <v>0.3</v>
      </c>
      <c r="H92" s="93">
        <v>0.6</v>
      </c>
      <c r="I92" s="56">
        <f t="shared" si="3"/>
        <v>10.266666666666667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>
        <v>60</v>
      </c>
      <c r="B93" s="63">
        <v>169.28</v>
      </c>
      <c r="C93" s="63">
        <v>6</v>
      </c>
      <c r="D93" s="63">
        <v>33.120000000000005</v>
      </c>
      <c r="E93" s="93">
        <v>0</v>
      </c>
      <c r="F93" s="93">
        <v>0.1</v>
      </c>
      <c r="G93" s="93">
        <v>0.3</v>
      </c>
      <c r="H93" s="93">
        <v>0.6</v>
      </c>
      <c r="I93" s="56">
        <f t="shared" si="3"/>
        <v>13.28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>
        <v>66</v>
      </c>
      <c r="B94" s="63">
        <v>197.16</v>
      </c>
      <c r="C94" s="63">
        <v>7</v>
      </c>
      <c r="D94" s="63">
        <v>31</v>
      </c>
      <c r="E94" s="93">
        <v>0.4</v>
      </c>
      <c r="F94" s="93">
        <v>0.3</v>
      </c>
      <c r="G94" s="93">
        <v>0</v>
      </c>
      <c r="H94" s="93">
        <v>0.3</v>
      </c>
      <c r="I94" s="56">
        <f t="shared" si="3"/>
        <v>10.166666666666666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>
        <v>72</v>
      </c>
      <c r="B95" s="63">
        <v>220.8</v>
      </c>
      <c r="C95" s="63">
        <v>8</v>
      </c>
      <c r="D95" s="63">
        <v>33.6</v>
      </c>
      <c r="E95" s="93">
        <v>0.4</v>
      </c>
      <c r="F95" s="93">
        <v>0.3</v>
      </c>
      <c r="G95" s="93">
        <v>0</v>
      </c>
      <c r="H95" s="93">
        <v>0.3</v>
      </c>
      <c r="I95" s="56">
        <f t="shared" si="3"/>
        <v>9.1066666666666691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>
        <v>78</v>
      </c>
      <c r="B96" s="63">
        <v>241.07999999999998</v>
      </c>
      <c r="C96" s="63">
        <v>9</v>
      </c>
      <c r="D96" s="63">
        <v>29.4</v>
      </c>
      <c r="E96" s="93">
        <v>0.4</v>
      </c>
      <c r="F96" s="93">
        <v>0.3</v>
      </c>
      <c r="G96" s="93">
        <v>0</v>
      </c>
      <c r="H96" s="93">
        <v>0.3</v>
      </c>
      <c r="I96" s="56">
        <f t="shared" si="3"/>
        <v>8.9799999999999951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>
        <v>84</v>
      </c>
      <c r="B97" s="63">
        <v>266.39999999999998</v>
      </c>
      <c r="C97" s="63">
        <v>10</v>
      </c>
      <c r="D97" s="63">
        <v>28.799999999999997</v>
      </c>
      <c r="E97" s="93">
        <v>0.6</v>
      </c>
      <c r="F97" s="93">
        <v>0.2</v>
      </c>
      <c r="G97" s="93">
        <v>0</v>
      </c>
      <c r="H97" s="93">
        <v>0.2</v>
      </c>
      <c r="I97" s="56">
        <f t="shared" si="3"/>
        <v>9.1199999999999992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>
        <v>90</v>
      </c>
      <c r="B98" s="63">
        <v>284</v>
      </c>
      <c r="C98" s="63">
        <v>11</v>
      </c>
      <c r="D98" s="63">
        <v>31.24</v>
      </c>
      <c r="E98" s="93">
        <v>0.6</v>
      </c>
      <c r="F98" s="93">
        <v>0.2</v>
      </c>
      <c r="G98" s="93">
        <v>0</v>
      </c>
      <c r="H98" s="93">
        <v>0.2</v>
      </c>
      <c r="I98" s="56">
        <f t="shared" si="3"/>
        <v>7.7333333333333387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>
        <v>98</v>
      </c>
      <c r="B99" s="63">
        <v>313.28000000000003</v>
      </c>
      <c r="C99" s="63">
        <v>12</v>
      </c>
      <c r="D99" s="63">
        <v>38.72</v>
      </c>
      <c r="E99" s="93">
        <v>0.8</v>
      </c>
      <c r="F99" s="93">
        <v>0</v>
      </c>
      <c r="G99" s="93">
        <v>0</v>
      </c>
      <c r="H99" s="93">
        <v>0.2</v>
      </c>
      <c r="I99" s="56">
        <f t="shared" si="3"/>
        <v>7.5650000000000048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>
        <v>106</v>
      </c>
      <c r="B100" s="63">
        <v>342.26000000000005</v>
      </c>
      <c r="C100" s="63">
        <v>13</v>
      </c>
      <c r="D100" s="63">
        <v>45.78</v>
      </c>
      <c r="E100" s="68">
        <v>0.8</v>
      </c>
      <c r="F100" s="68">
        <v>0</v>
      </c>
      <c r="G100" s="68">
        <v>0</v>
      </c>
      <c r="H100" s="68">
        <v>0.2</v>
      </c>
      <c r="I100" s="56">
        <f t="shared" si="3"/>
        <v>8.4624999999999986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>
        <v>114</v>
      </c>
      <c r="B101" s="63">
        <v>364.48</v>
      </c>
      <c r="C101" s="63">
        <v>14</v>
      </c>
      <c r="D101" s="63">
        <v>56.28</v>
      </c>
      <c r="E101" s="68">
        <v>0.8</v>
      </c>
      <c r="F101" s="68">
        <v>0</v>
      </c>
      <c r="G101" s="68">
        <v>0</v>
      </c>
      <c r="H101" s="68">
        <v>0.2</v>
      </c>
      <c r="I101" s="56">
        <f t="shared" si="3"/>
        <v>8.5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>
        <v>122</v>
      </c>
      <c r="B102" s="53">
        <v>387.96000000000004</v>
      </c>
      <c r="C102" s="63">
        <v>15</v>
      </c>
      <c r="D102" s="53">
        <v>44.52</v>
      </c>
      <c r="E102" s="57">
        <v>0.8</v>
      </c>
      <c r="F102" s="57">
        <v>0</v>
      </c>
      <c r="G102" s="57">
        <v>0</v>
      </c>
      <c r="H102" s="57">
        <v>0.2</v>
      </c>
      <c r="I102" s="56">
        <f t="shared" si="3"/>
        <v>9.9699999999999989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>
        <v>130</v>
      </c>
      <c r="B103" s="53">
        <v>411.40000000000003</v>
      </c>
      <c r="C103" s="63">
        <v>16</v>
      </c>
      <c r="D103" s="53">
        <v>44.88</v>
      </c>
      <c r="E103" s="57">
        <v>0.8</v>
      </c>
      <c r="F103" s="57">
        <v>0</v>
      </c>
      <c r="G103" s="57">
        <v>0</v>
      </c>
      <c r="H103" s="57">
        <v>0.2</v>
      </c>
      <c r="I103" s="56">
        <f t="shared" si="3"/>
        <v>8.4949999999999974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>
        <v>140</v>
      </c>
      <c r="B104" s="53">
        <v>440.38</v>
      </c>
      <c r="C104" s="63">
        <v>17</v>
      </c>
      <c r="D104" s="53">
        <v>59.02</v>
      </c>
      <c r="E104" s="57">
        <v>0.8</v>
      </c>
      <c r="F104" s="57">
        <v>0</v>
      </c>
      <c r="G104" s="57">
        <v>0</v>
      </c>
      <c r="H104" s="57">
        <v>0.2</v>
      </c>
      <c r="I104" s="56">
        <f t="shared" si="3"/>
        <v>7.3859999999999957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>
        <v>150</v>
      </c>
      <c r="B105" s="53">
        <v>468.16</v>
      </c>
      <c r="C105" s="53">
        <v>18</v>
      </c>
      <c r="D105" s="53">
        <v>47.88</v>
      </c>
      <c r="E105" s="57">
        <v>0.8</v>
      </c>
      <c r="F105" s="57">
        <v>0</v>
      </c>
      <c r="G105" s="57">
        <v>0</v>
      </c>
      <c r="H105" s="57">
        <v>0.2</v>
      </c>
      <c r="I105" s="56">
        <f t="shared" si="3"/>
        <v>8.6800000000000015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>
        <v>160</v>
      </c>
      <c r="B106" s="53">
        <v>491.2</v>
      </c>
      <c r="C106" s="53">
        <v>19</v>
      </c>
      <c r="D106" s="53">
        <v>491.2</v>
      </c>
      <c r="E106" s="57">
        <v>0.8</v>
      </c>
      <c r="F106" s="57">
        <v>0</v>
      </c>
      <c r="G106" s="57">
        <v>0</v>
      </c>
      <c r="H106" s="57">
        <v>0.2</v>
      </c>
      <c r="I106" s="56">
        <f t="shared" si="3"/>
        <v>7.0919999999999961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>Chêne tauzin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>
        <v>30</v>
      </c>
      <c r="B114" s="63">
        <v>8.4700000000000006</v>
      </c>
      <c r="C114" s="53">
        <v>1</v>
      </c>
      <c r="D114" s="63">
        <v>1.55</v>
      </c>
      <c r="E114" s="54">
        <v>0</v>
      </c>
      <c r="F114" s="54">
        <v>0</v>
      </c>
      <c r="G114" s="54">
        <v>0.3</v>
      </c>
      <c r="H114" s="54">
        <v>0.7</v>
      </c>
      <c r="I114" s="56">
        <f>IFERROR(B114/A114,"")</f>
        <v>0.28233333333333338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>
        <v>35</v>
      </c>
      <c r="B115" s="63">
        <v>21.39</v>
      </c>
      <c r="C115" s="53">
        <v>2</v>
      </c>
      <c r="D115" s="63">
        <v>3.82</v>
      </c>
      <c r="E115" s="54">
        <v>0</v>
      </c>
      <c r="F115" s="54">
        <v>0</v>
      </c>
      <c r="G115" s="54">
        <v>0.3</v>
      </c>
      <c r="H115" s="54">
        <v>0.7</v>
      </c>
      <c r="I115" s="56">
        <f t="shared" ref="I115:I133" si="4">IF(A115&lt;&gt;0,(B115-(B114-D114))/(A115-A114),"")</f>
        <v>2.8939999999999997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>
        <v>45</v>
      </c>
      <c r="B116" s="63">
        <v>41.53</v>
      </c>
      <c r="C116" s="53">
        <v>3</v>
      </c>
      <c r="D116" s="63">
        <v>7.22</v>
      </c>
      <c r="E116" s="54">
        <v>0</v>
      </c>
      <c r="F116" s="54">
        <v>0</v>
      </c>
      <c r="G116" s="54">
        <v>0.3</v>
      </c>
      <c r="H116" s="54">
        <v>0.7</v>
      </c>
      <c r="I116" s="56">
        <f t="shared" si="4"/>
        <v>2.3959999999999999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>
        <v>50</v>
      </c>
      <c r="B117" s="63">
        <v>59.13</v>
      </c>
      <c r="C117" s="53">
        <v>4</v>
      </c>
      <c r="D117" s="63">
        <v>12.45</v>
      </c>
      <c r="E117" s="54">
        <v>0</v>
      </c>
      <c r="F117" s="54">
        <v>0.1</v>
      </c>
      <c r="G117" s="54">
        <v>0.3</v>
      </c>
      <c r="H117" s="54">
        <v>0.6</v>
      </c>
      <c r="I117" s="56">
        <f t="shared" si="4"/>
        <v>4.9640000000000004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>
        <v>60</v>
      </c>
      <c r="B118" s="63">
        <v>98.55</v>
      </c>
      <c r="C118" s="53">
        <v>5</v>
      </c>
      <c r="D118" s="63">
        <v>38.11</v>
      </c>
      <c r="E118" s="54">
        <v>0.4</v>
      </c>
      <c r="F118" s="54">
        <v>0.3</v>
      </c>
      <c r="G118" s="54">
        <v>0</v>
      </c>
      <c r="H118" s="54">
        <v>0.3</v>
      </c>
      <c r="I118" s="56">
        <f t="shared" si="4"/>
        <v>5.1869999999999994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>
        <v>70</v>
      </c>
      <c r="B119" s="63">
        <v>116.6</v>
      </c>
      <c r="C119" s="53">
        <v>6</v>
      </c>
      <c r="D119" s="63">
        <v>29.15</v>
      </c>
      <c r="E119" s="54">
        <v>0.4</v>
      </c>
      <c r="F119" s="54">
        <v>0.3</v>
      </c>
      <c r="G119" s="54">
        <v>0</v>
      </c>
      <c r="H119" s="54">
        <v>0.3</v>
      </c>
      <c r="I119" s="56">
        <f t="shared" si="4"/>
        <v>5.6159999999999997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>
        <v>80</v>
      </c>
      <c r="B120" s="63">
        <v>124.24</v>
      </c>
      <c r="C120" s="63">
        <v>7</v>
      </c>
      <c r="D120" s="63">
        <v>13.5</v>
      </c>
      <c r="E120" s="93">
        <v>0.6</v>
      </c>
      <c r="F120" s="93">
        <v>0.2</v>
      </c>
      <c r="G120" s="54">
        <v>0</v>
      </c>
      <c r="H120" s="93">
        <v>0.2</v>
      </c>
      <c r="I120" s="56">
        <f t="shared" si="4"/>
        <v>3.6790000000000007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>
        <v>90</v>
      </c>
      <c r="B121" s="63">
        <v>172.35</v>
      </c>
      <c r="C121" s="63">
        <v>8</v>
      </c>
      <c r="D121" s="63">
        <v>32.229999999999997</v>
      </c>
      <c r="E121" s="93">
        <v>0.6</v>
      </c>
      <c r="F121" s="93">
        <v>0.2</v>
      </c>
      <c r="G121" s="54">
        <v>0</v>
      </c>
      <c r="H121" s="93">
        <v>0.2</v>
      </c>
      <c r="I121" s="56">
        <f t="shared" si="4"/>
        <v>6.1609999999999996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>
        <v>100</v>
      </c>
      <c r="B122" s="63">
        <v>182.38</v>
      </c>
      <c r="C122" s="63">
        <v>9</v>
      </c>
      <c r="D122" s="63">
        <v>182.38</v>
      </c>
      <c r="E122" s="93">
        <v>0.8</v>
      </c>
      <c r="F122" s="93">
        <v>0</v>
      </c>
      <c r="G122" s="54">
        <v>0</v>
      </c>
      <c r="H122" s="93">
        <v>0.2</v>
      </c>
      <c r="I122" s="56">
        <f t="shared" si="4"/>
        <v>4.2259999999999991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54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54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54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54"/>
      <c r="H126" s="93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54"/>
      <c r="H127" s="93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4"/>
      <c r="H128" s="93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4"/>
      <c r="H129" s="93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4"/>
      <c r="H130" s="93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>Chêne-liège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>
        <v>16</v>
      </c>
      <c r="B140" s="63">
        <v>71.28</v>
      </c>
      <c r="C140" s="53">
        <v>1</v>
      </c>
      <c r="D140" s="63">
        <v>42.77</v>
      </c>
      <c r="E140" s="54">
        <v>0</v>
      </c>
      <c r="F140" s="54">
        <v>0</v>
      </c>
      <c r="G140" s="54">
        <v>0.3</v>
      </c>
      <c r="H140" s="54">
        <v>0.7</v>
      </c>
      <c r="I140" s="60">
        <f>IFERROR(B140/A140,"")</f>
        <v>4.4550000000000001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>
        <v>28</v>
      </c>
      <c r="B141" s="63">
        <v>106.54</v>
      </c>
      <c r="C141" s="53">
        <v>2</v>
      </c>
      <c r="D141" s="63">
        <v>44.39</v>
      </c>
      <c r="E141" s="54">
        <v>0</v>
      </c>
      <c r="F141" s="54">
        <v>0.1</v>
      </c>
      <c r="G141" s="54">
        <v>0.3</v>
      </c>
      <c r="H141" s="54">
        <v>0.6</v>
      </c>
      <c r="I141" s="60">
        <f t="shared" ref="I141:I159" si="5">IF(A141&lt;&gt;0,(B141-(B140-D140))/(A141-A140),"")</f>
        <v>6.5025000000000004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>
        <v>46</v>
      </c>
      <c r="B142" s="63">
        <v>156.94</v>
      </c>
      <c r="C142" s="53">
        <v>3</v>
      </c>
      <c r="D142" s="63">
        <v>67.260000000000005</v>
      </c>
      <c r="E142" s="54">
        <v>0</v>
      </c>
      <c r="F142" s="54">
        <v>0.2</v>
      </c>
      <c r="G142" s="54">
        <v>0.2</v>
      </c>
      <c r="H142" s="54">
        <v>0.6</v>
      </c>
      <c r="I142" s="60">
        <f t="shared" si="5"/>
        <v>5.266111111111111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>
        <v>72</v>
      </c>
      <c r="B143" s="63">
        <v>180.74</v>
      </c>
      <c r="C143" s="53">
        <v>4</v>
      </c>
      <c r="D143" s="63">
        <v>180.74</v>
      </c>
      <c r="E143" s="54">
        <v>0.6</v>
      </c>
      <c r="F143" s="54">
        <v>0.2</v>
      </c>
      <c r="G143" s="54">
        <v>0</v>
      </c>
      <c r="H143" s="54">
        <v>0.2</v>
      </c>
      <c r="I143" s="60">
        <f t="shared" si="5"/>
        <v>3.502307692307693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>Bouleau verruqueux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>
        <v>20</v>
      </c>
      <c r="B166" s="63">
        <v>133.69999999999999</v>
      </c>
      <c r="C166" s="63">
        <v>1</v>
      </c>
      <c r="D166" s="292">
        <v>79.2</v>
      </c>
      <c r="E166" s="54">
        <v>0</v>
      </c>
      <c r="F166" s="54">
        <v>0</v>
      </c>
      <c r="G166" s="54">
        <v>0</v>
      </c>
      <c r="H166" s="54">
        <v>1</v>
      </c>
      <c r="I166" s="52">
        <f>IFERROR(B166/A166,"")</f>
        <v>6.6849999999999996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>
        <v>35</v>
      </c>
      <c r="B167" s="63">
        <v>218.1</v>
      </c>
      <c r="C167" s="63">
        <v>2</v>
      </c>
      <c r="D167" s="63">
        <v>114.1</v>
      </c>
      <c r="E167" s="54">
        <v>0.15</v>
      </c>
      <c r="F167" s="54">
        <v>0</v>
      </c>
      <c r="G167" s="54">
        <v>0.85</v>
      </c>
      <c r="H167" s="54">
        <v>0</v>
      </c>
      <c r="I167" s="52">
        <f t="shared" ref="I167:I185" si="6">IF(A167&lt;&gt;0,(B167-(B166-D166))/(A167-A166),"")</f>
        <v>10.906666666666668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>
        <v>60</v>
      </c>
      <c r="B168" s="63">
        <v>311.2</v>
      </c>
      <c r="C168" s="63">
        <v>3</v>
      </c>
      <c r="D168" s="63">
        <v>311.2</v>
      </c>
      <c r="E168" s="54">
        <v>0.6</v>
      </c>
      <c r="F168" s="54">
        <v>0</v>
      </c>
      <c r="G168" s="54">
        <v>0.4</v>
      </c>
      <c r="H168" s="54">
        <v>0</v>
      </c>
      <c r="I168" s="52">
        <f t="shared" si="6"/>
        <v>8.2880000000000003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292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2" zoomScale="115" zoomScaleNormal="115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1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Pin taeda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Chêne pédonculé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Chêne tauzin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Chêne-liège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>Bouleau verruqueux</v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192.24617268603629</v>
      </c>
      <c r="T3" s="62">
        <f>IF('Données projet'!E9&gt;30,$R$33-$H$33,LOOKUP('Données projet'!$E$9,$A$3:$A$203,R3:R203)-LOOKUP('Données projet'!$E$9,$A$3:$A$203,$H$3:$H$203))</f>
        <v>192.48585280662832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164.64952352018145</v>
      </c>
      <c r="AO3" s="62">
        <f>IF('Données projet'!E10&gt;30,$AM$33-$H$33,LOOKUP('Données projet'!$E$10,$A$3:$A$203,AM3:AM203)-LOOKUP('Données projet'!$E$10,$A$3:$A$203,$H$3:$H$203))</f>
        <v>280.08682720086921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339.58585574836434</v>
      </c>
      <c r="BJ3" s="62">
        <f>IF('Données projet'!E11&gt;30,$BH$33-$H$33,LOOKUP('Données projet'!$E$11,$A$3:$A$203,BH3:BH203)-LOOKUP('Données projet'!$E$11,$A$3:$A$203,$H$3:$H$203))</f>
        <v>42.267525972379588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112.34884104798977</v>
      </c>
      <c r="CE3" s="62">
        <f>IF('Données projet'!E12&gt;30,$CC$33-$H$33,LOOKUP('Données projet'!$E$12,$A$3:$A$203,CC3:CC203)-LOOKUP('Données projet'!$E$12,$A$3:$A$203,$H$3:$H$203))</f>
        <v>18.665658139749326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205.21073681197737</v>
      </c>
      <c r="CZ3" s="62">
        <f>IF('Données projet'!E13&gt;30,$CX$33-$H$33,LOOKUP('Données projet'!$E$13,$A$3:$A$203,CX3:CX203)-LOOKUP('Données projet'!$E$13,$A$3:$A$203,$H$3:$H$203))</f>
        <v>175.16446313750316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223.63222290670075</v>
      </c>
      <c r="DU3" s="62">
        <f>IF('Données projet'!E14&gt;30,$DS$33-$H$33,LOOKUP('Données projet'!$E$14,$A$3:$A$203,DS3:DS203)-LOOKUP('Données projet'!$E$14,$A$3:$A$203,$H$3:$H$203))</f>
        <v>290.02663909417248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258.08783604613262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2.9666666666666668</v>
      </c>
      <c r="N4" s="14">
        <f>IF('Données projet'!$A$36&gt;35,N3+M4-V3,IF(A4&lt;'Données projet'!$A$36,$K$205^A4,IF(A4='Données projet'!$A$36,'Données projet'!$B$36,N3+M4-V3)))</f>
        <v>1.3467515989204495</v>
      </c>
      <c r="O4" s="14">
        <f>N4*VLOOKUP('Données projet'!$B$9,Paramètres!$A$1:$I$89,3,0)*VLOOKUP('Données projet'!$B$9,Paramètres!$A$1:$I$89,5,0)</f>
        <v>0.80535745615442889</v>
      </c>
      <c r="P4" s="14">
        <f>EXP(-1.0587+0.8836*LN(O4)+0.284)</f>
        <v>0.38061304221949904</v>
      </c>
      <c r="Q4" s="22">
        <f t="shared" ref="Q4:Q34" si="2">(O4+P4)*0.475*44/12</f>
        <v>2.0655652846679247</v>
      </c>
      <c r="R4" s="62">
        <f t="shared" si="0"/>
        <v>259.95445417355677</v>
      </c>
      <c r="S4" s="62">
        <f ca="1">AVERAGE(OFFSET($R$3,0,0,'Données projet'!$E$9+1,1))-AVERAGE(OFFSET($H$3,0,0,'Données projet'!$E$9+1,1))</f>
        <v>192.24617268603629</v>
      </c>
      <c r="T4" s="62">
        <f>$T$3</f>
        <v>192.48585280662832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4.4569000000000001</v>
      </c>
      <c r="AI4" s="14">
        <f>IF('Données projet'!$A$62&gt;35,AI3+AH4-AQ3,IF(A4&lt;'Données projet'!$A$62,$AF$205^A4,IF(A4='Données projet'!$A$62,'Données projet'!$B$62,AI3+AH4-AQ3)))</f>
        <v>1.4618516052938832</v>
      </c>
      <c r="AJ4" s="14">
        <f>AI4*VLOOKUP('Données projet'!$B$10,Paramètres!$A$1:$I$89,3,0)*VLOOKUP('Données projet'!$B$10,Paramètres!$A$1:$I$89,5,0)</f>
        <v>0.87418725996574231</v>
      </c>
      <c r="AK4" s="14">
        <f>EXP(-1.0587+0.8836*LN(AJ4)+0.284)</f>
        <v>0.40921710363778568</v>
      </c>
      <c r="AL4" s="22">
        <f t="shared" ref="AL4:AL67" si="4">(AJ4+AK4)*0.475*44/12</f>
        <v>2.2352625999428111</v>
      </c>
      <c r="AM4" s="62">
        <f t="shared" ref="AM4:AM67" si="5">AL4+(AD4+AE4)*44/12</f>
        <v>260.12415148883167</v>
      </c>
      <c r="AN4" s="62">
        <f ca="1">AVERAGE(OFFSET($AM$3,0,0,'Données projet'!$E$10+1,1))-AVERAGE(OFFSET($H$3,0,0,'Données projet'!$E$10+1,1))</f>
        <v>164.64952352018145</v>
      </c>
      <c r="AO4" s="62">
        <f>$AO$3</f>
        <v>280.08682720086921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0.7466666666666667</v>
      </c>
      <c r="BD4" s="13">
        <f>IF('Données projet'!$A$88&gt;35,BD3+BC4-BL3,IF(A4&lt;'Données projet'!$A$88,$BA$205^A4,IF(A4='Données projet'!$A$88,'Données projet'!$B$88,BD3+BC4-BL3)))</f>
        <v>1.1091959298378664</v>
      </c>
      <c r="BE4" s="14">
        <f>BD4*VLOOKUP('Données projet'!$B$11,Paramètres!$A$1:$I$89,3,0)*VLOOKUP('Données projet'!$B$11,Paramètres!$A$1:$I$89,5,0)</f>
        <v>0.93438665129541876</v>
      </c>
      <c r="BF4" s="14">
        <f>EXP(-1.0587+0.8836*LN(BE4)+0.284)</f>
        <v>0.43401964872211624</v>
      </c>
      <c r="BG4" s="22">
        <f t="shared" ref="BG4:BG67" si="7">(BE4+BF4)*0.475*44/12</f>
        <v>2.3833076391972066</v>
      </c>
      <c r="BH4" s="62">
        <f t="shared" ref="BH4:BH67" si="8">BG4+(AY4+AZ4)*44/12</f>
        <v>260.27219652808606</v>
      </c>
      <c r="BI4" s="62">
        <f ca="1">AVERAGE(OFFSET($BH$3,0,0,'Données projet'!$E$11+1,1))-AVERAGE(OFFSET($H$3,0,0,'Données projet'!$E$11+1,1))</f>
        <v>339.58585574836434</v>
      </c>
      <c r="BJ4" s="62">
        <f>$BJ$3</f>
        <v>42.267525972379588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0.28233333333333338</v>
      </c>
      <c r="BY4" s="13">
        <f>IF('Données projet'!$A$114&gt;35,BY3+BX4-CG3,IF(A4&lt;'Données projet'!$A$114,$BV$205^A4,IF(A4='Données projet'!$A$114,'Données projet'!$B$114,BY3+BX4-CG3)))</f>
        <v>1.0738149523565488</v>
      </c>
      <c r="BZ4" s="14">
        <f>BY4*VLOOKUP('Données projet'!$B$12,Paramètres!$A$1:$I$89,3,0)*VLOOKUP('Données projet'!$B$12,Paramètres!$A$1:$I$89,5,0)</f>
        <v>1.0720968484327784</v>
      </c>
      <c r="CA4" s="14">
        <f>EXP(-1.0587+0.8836*LN(BZ4)+0.284)</f>
        <v>0.49007984755099981</v>
      </c>
      <c r="CB4" s="22">
        <f t="shared" ref="CB4:CB67" si="10">(BZ4+CA4)*0.475*44/12</f>
        <v>2.7207910788384133</v>
      </c>
      <c r="CC4" s="62">
        <f t="shared" ref="CC4:CC67" si="11">CB4+(BT4+BU4)*44/12</f>
        <v>260.60967996772729</v>
      </c>
      <c r="CD4" s="62">
        <f ca="1">AVERAGE(OFFSET($CC$3,0,0,'Données projet'!$E$12+1,1))-AVERAGE(OFFSET($H$3,0,0,'Données projet'!$E$12+1,1))</f>
        <v>112.34884104798977</v>
      </c>
      <c r="CE4" s="62">
        <f>$CE$3</f>
        <v>18.665658139749326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4.4550000000000001</v>
      </c>
      <c r="CT4" s="13">
        <f>IF('Données projet'!$A$140&gt;35,CT3+CS4-DB3,IF(A4&lt;'Données projet'!$A$140,$CQ$205^A4,IF(A4='Données projet'!$A$140,'Données projet'!$B$140,CT3+CS4-DB3)))</f>
        <v>1.3056010199611705</v>
      </c>
      <c r="CU4" s="18">
        <f>CT4*VLOOKUP('Données projet'!$B$13,Paramètres!$A$1:$I$89,3,0)*VLOOKUP('Données projet'!$B$13,Paramètres!$A$1:$I$89,5,0)</f>
        <v>1.4257163137975981</v>
      </c>
      <c r="CV4" s="14">
        <f>EXP(-1.0587+0.8836*LN(CU4)+0.284)</f>
        <v>0.63045737422159165</v>
      </c>
      <c r="CW4" s="22">
        <f t="shared" ref="CW4:CW67" si="13">(CU4+CV4)*0.475*44/12</f>
        <v>3.5811691733000885</v>
      </c>
      <c r="CX4" s="62">
        <f t="shared" ref="CX4:CX67" si="14">CW4+(CO4+CP4)*44/12</f>
        <v>261.47005806218897</v>
      </c>
      <c r="CY4" s="62">
        <f ca="1">AVERAGE(OFFSET($CX$3,0,0,'Données projet'!$E$13+1,1))-AVERAGE(OFFSET($H$3,0,0,'Données projet'!$E$13+1,1))</f>
        <v>205.21073681197737</v>
      </c>
      <c r="CZ4" s="62">
        <f>$CZ$3</f>
        <v>175.16446313750316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6.6849999999999996</v>
      </c>
      <c r="DO4" s="13">
        <f>IF('Données projet'!$A$166&gt;35,DO3+DN4-DW3,IF(A4&lt;'Données projet'!$A$166,$DL$205^A4,IF(A4='Données projet'!$A$166,'Données projet'!$B$166,DO3+DN4-DW3)))</f>
        <v>1.2773401706166525</v>
      </c>
      <c r="DP4" s="18">
        <f>DO4*VLOOKUP('Données projet'!$B$14,Paramètres!$A$1:$I$89,3,0)*VLOOKUP('Données projet'!$B$14,Paramètres!$A$1:$I$89,5,0)</f>
        <v>1.0361783464042285</v>
      </c>
      <c r="DQ4" s="14">
        <f>EXP(-1.0587+0.8836*LN(DP4)+0.284)</f>
        <v>0.47554322638428698</v>
      </c>
      <c r="DR4" s="22">
        <f t="shared" ref="DR4:DR67" si="16">(DP4+DQ4)*0.475*44/12</f>
        <v>2.6329150726066644</v>
      </c>
      <c r="DS4" s="62">
        <f t="shared" ref="DS4:DS67" si="17">DR4+(DJ4+DK4)*44/12</f>
        <v>260.52180396149549</v>
      </c>
      <c r="DT4" s="62">
        <f ca="1">AVERAGE(OFFSET($DS$3,0,0,'Données projet'!$E$14+1,1))-AVERAGE(OFFSET($H$3,0,0,'Données projet'!$E$14+1,1))</f>
        <v>223.63222290670075</v>
      </c>
      <c r="DU4" s="62">
        <f>$DU$3</f>
        <v>290.02663909417248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259.43610890414124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2.9666666666666668</v>
      </c>
      <c r="N5" s="14">
        <f>IF('Données projet'!$A$36&gt;35,N4+M5-V4,IF(A5&lt;'Données projet'!$A$36,$K$205^A5,IF(A5='Données projet'!$A$36,'Données projet'!$B$36,N4+M5-V4)))</f>
        <v>1.8137398691947872</v>
      </c>
      <c r="O5" s="14">
        <f>N5*VLOOKUP('Données projet'!$B$9,Paramètres!$A$1:$I$89,3,0)*VLOOKUP('Données projet'!$B$9,Paramètres!$A$1:$I$89,5,0)</f>
        <v>1.0846164417784829</v>
      </c>
      <c r="P5" s="14">
        <f t="shared" ref="P5:P68" si="33">EXP(-1.0587+0.8836*LN(O5)+0.284)</f>
        <v>0.49513326023470799</v>
      </c>
      <c r="Q5" s="22">
        <f t="shared" si="2"/>
        <v>2.7513973976729744</v>
      </c>
      <c r="R5" s="62">
        <f t="shared" si="0"/>
        <v>261.86250850878412</v>
      </c>
      <c r="S5" s="62">
        <f ca="1">AVERAGE(OFFSET($R$3,0,0,'Données projet'!$E$9+1,1))-AVERAGE(OFFSET($H$3,0,0,'Données projet'!$E$9+1,1))</f>
        <v>192.24617268603629</v>
      </c>
      <c r="T5" s="62">
        <f t="shared" ref="T5:T68" si="34">$T$3</f>
        <v>192.48585280662832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4.4569000000000001</v>
      </c>
      <c r="AI5" s="14">
        <f>IF('Données projet'!$A$62&gt;35,AI4+AH5-AQ4,IF(A5&lt;'Données projet'!$A$62,$AF$205^A5,IF(A5='Données projet'!$A$62,'Données projet'!$B$62,AI4+AH5-AQ4)))</f>
        <v>2.1370101159003032</v>
      </c>
      <c r="AJ5" s="14">
        <f>AI5*VLOOKUP('Données projet'!$B$10,Paramètres!$A$1:$I$89,3,0)*VLOOKUP('Données projet'!$B$10,Paramètres!$A$1:$I$89,5,0)</f>
        <v>1.2779320493083814</v>
      </c>
      <c r="AK5" s="14">
        <f t="shared" ref="AK5:AK68" si="35">EXP(-1.0587+0.8836*LN(AJ5)+0.284)</f>
        <v>0.57235083841996259</v>
      </c>
      <c r="AL5" s="22">
        <f t="shared" si="4"/>
        <v>3.2225760294601993</v>
      </c>
      <c r="AM5" s="62">
        <f t="shared" si="5"/>
        <v>262.33368714057133</v>
      </c>
      <c r="AN5" s="62">
        <f ca="1">AVERAGE(OFFSET($AM$3,0,0,'Données projet'!$E$10+1,1))-AVERAGE(OFFSET($H$3,0,0,'Données projet'!$E$10+1,1))</f>
        <v>164.64952352018145</v>
      </c>
      <c r="AO5" s="62">
        <f t="shared" ref="AO5:AO68" si="36">$AO$3</f>
        <v>280.08682720086921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0.7466666666666667</v>
      </c>
      <c r="BD5" s="13">
        <f>IF('Données projet'!$A$88&gt;35,BD4+BC5-BL4,IF(A5&lt;'Données projet'!$A$88,$BA$205^A5,IF(A5='Données projet'!$A$88,'Données projet'!$B$88,BD4+BC5-BL4)))</f>
        <v>1.2303156107688891</v>
      </c>
      <c r="BE5" s="14">
        <f>BD5*VLOOKUP('Données projet'!$B$11,Paramètres!$A$1:$I$89,3,0)*VLOOKUP('Données projet'!$B$11,Paramètres!$A$1:$I$89,5,0)</f>
        <v>1.0364178705117122</v>
      </c>
      <c r="BF5" s="14">
        <f t="shared" ref="BF5:BF68" si="37">EXP(-1.0587+0.8836*LN(BE5)+0.284)</f>
        <v>0.47564035665139609</v>
      </c>
      <c r="BG5" s="22">
        <f t="shared" si="7"/>
        <v>2.6335014123090796</v>
      </c>
      <c r="BH5" s="62">
        <f t="shared" si="8"/>
        <v>261.74461252342024</v>
      </c>
      <c r="BI5" s="62">
        <f ca="1">AVERAGE(OFFSET($BH$3,0,0,'Données projet'!$E$11+1,1))-AVERAGE(OFFSET($H$3,0,0,'Données projet'!$E$11+1,1))</f>
        <v>339.58585574836434</v>
      </c>
      <c r="BJ5" s="62">
        <f t="shared" ref="BJ5:BJ68" si="38">$BJ$3</f>
        <v>42.267525972379588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0.28233333333333338</v>
      </c>
      <c r="BY5" s="13">
        <f>IF('Données projet'!$A$114&gt;35,BY4+BX5-CG4,IF(A5&lt;'Données projet'!$A$114,$BV$205^A5,IF(A5='Données projet'!$A$114,'Données projet'!$B$114,BY4+BX5-CG4)))</f>
        <v>1.153078551904497</v>
      </c>
      <c r="BZ5" s="14">
        <f>BY5*VLOOKUP('Données projet'!$B$12,Paramètres!$A$1:$I$89,3,0)*VLOOKUP('Données projet'!$B$12,Paramètres!$A$1:$I$89,5,0)</f>
        <v>1.1512336262214498</v>
      </c>
      <c r="CA5" s="14">
        <f t="shared" ref="CA5:CA68" si="39">EXP(-1.0587+0.8836*LN(BZ5)+0.284)</f>
        <v>0.52191058351592612</v>
      </c>
      <c r="CB5" s="22">
        <f t="shared" si="10"/>
        <v>2.9140594986259294</v>
      </c>
      <c r="CC5" s="62">
        <f t="shared" si="11"/>
        <v>262.02517060973707</v>
      </c>
      <c r="CD5" s="62">
        <f ca="1">AVERAGE(OFFSET($CC$3,0,0,'Données projet'!$E$12+1,1))-AVERAGE(OFFSET($H$3,0,0,'Données projet'!$E$12+1,1))</f>
        <v>112.34884104798977</v>
      </c>
      <c r="CE5" s="62">
        <f t="shared" ref="CE5:CE68" si="40">$CE$3</f>
        <v>18.665658139749326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4.4550000000000001</v>
      </c>
      <c r="CT5" s="13">
        <f>IF('Données projet'!$A$140&gt;35,CT4+CS5-DB4,IF(A5&lt;'Données projet'!$A$140,$CQ$205^A5,IF(A5='Données projet'!$A$140,'Données projet'!$B$140,CT4+CS5-DB4)))</f>
        <v>1.7045940233236487</v>
      </c>
      <c r="CU5" s="18">
        <f>CT5*VLOOKUP('Données projet'!$B$13,Paramètres!$A$1:$I$89,3,0)*VLOOKUP('Données projet'!$B$13,Paramètres!$A$1:$I$89,5,0)</f>
        <v>1.8614166734694244</v>
      </c>
      <c r="CV5" s="14">
        <f t="shared" ref="CV5:CV68" si="41">EXP(-1.0587+0.8836*LN(CU5)+0.284)</f>
        <v>0.79796872378893968</v>
      </c>
      <c r="CW5" s="22">
        <f t="shared" si="13"/>
        <v>4.6317629002249845</v>
      </c>
      <c r="CX5" s="62">
        <f t="shared" si="14"/>
        <v>263.74287401133614</v>
      </c>
      <c r="CY5" s="62">
        <f ca="1">AVERAGE(OFFSET($CX$3,0,0,'Données projet'!$E$13+1,1))-AVERAGE(OFFSET($H$3,0,0,'Données projet'!$E$13+1,1))</f>
        <v>205.21073681197737</v>
      </c>
      <c r="CZ5" s="62">
        <f t="shared" ref="CZ5:CZ68" si="42">$CZ$3</f>
        <v>175.16446313750316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6.6849999999999996</v>
      </c>
      <c r="DO5" s="13">
        <f>IF('Données projet'!$A$166&gt;35,DO4+DN5-DW4,IF(A5&lt;'Données projet'!$A$166,$DL$205^A5,IF(A5='Données projet'!$A$166,'Données projet'!$B$166,DO4+DN5-DW4)))</f>
        <v>1.6315979114709789</v>
      </c>
      <c r="DP5" s="18">
        <f>DO5*VLOOKUP('Données projet'!$B$14,Paramètres!$A$1:$I$89,3,0)*VLOOKUP('Données projet'!$B$14,Paramètres!$A$1:$I$89,5,0)</f>
        <v>1.3235522257852581</v>
      </c>
      <c r="DQ5" s="14">
        <f t="shared" ref="DQ5:DQ68" si="43">EXP(-1.0587+0.8836*LN(DP5)+0.284)</f>
        <v>0.59036756007483904</v>
      </c>
      <c r="DR5" s="22">
        <f t="shared" si="16"/>
        <v>3.3334102937063359</v>
      </c>
      <c r="DS5" s="62">
        <f t="shared" si="17"/>
        <v>262.44452140481746</v>
      </c>
      <c r="DT5" s="62">
        <f ca="1">AVERAGE(OFFSET($DS$3,0,0,'Données projet'!$E$14+1,1))-AVERAGE(OFFSET($H$3,0,0,'Données projet'!$E$14+1,1))</f>
        <v>223.63222290670075</v>
      </c>
      <c r="DU5" s="62">
        <f t="shared" ref="DU5:DU68" si="44">$DU$3</f>
        <v>290.02663909417248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260.7608398448956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2.9666666666666668</v>
      </c>
      <c r="N6" s="14">
        <f>IF('Données projet'!$A$36&gt;35,N5+M6-V5,IF(A6&lt;'Données projet'!$A$36,$K$205^A6,IF(A6='Données projet'!$A$36,'Données projet'!$B$36,N5+M6-V5)))</f>
        <v>2.4426570688638467</v>
      </c>
      <c r="O6" s="14">
        <f>N6*VLOOKUP('Données projet'!$B$9,Paramètres!$A$1:$I$89,3,0)*VLOOKUP('Données projet'!$B$9,Paramètres!$A$1:$I$89,5,0)</f>
        <v>1.4607089271805804</v>
      </c>
      <c r="P6" s="14">
        <f t="shared" si="33"/>
        <v>0.64411073241486383</v>
      </c>
      <c r="Q6" s="22">
        <f t="shared" si="2"/>
        <v>3.6658942404620647</v>
      </c>
      <c r="R6" s="62">
        <f t="shared" si="0"/>
        <v>263.99922757379539</v>
      </c>
      <c r="S6" s="62">
        <f ca="1">AVERAGE(OFFSET($R$3,0,0,'Données projet'!$E$9+1,1))-AVERAGE(OFFSET($H$3,0,0,'Données projet'!$E$9+1,1))</f>
        <v>192.24617268603629</v>
      </c>
      <c r="T6" s="62">
        <f t="shared" si="34"/>
        <v>192.48585280662832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4.4569000000000001</v>
      </c>
      <c r="AI6" s="14">
        <f>IF('Données projet'!$A$62&gt;35,AI5+AH6-AQ5,IF(A6&lt;'Données projet'!$A$62,$AF$205^A6,IF(A6='Données projet'!$A$62,'Données projet'!$B$62,AI5+AH6-AQ5)))</f>
        <v>3.1239916684581259</v>
      </c>
      <c r="AJ6" s="14">
        <f>AI6*VLOOKUP('Données projet'!$B$10,Paramètres!$A$1:$I$89,3,0)*VLOOKUP('Données projet'!$B$10,Paramètres!$A$1:$I$89,5,0)</f>
        <v>1.8681470177379593</v>
      </c>
      <c r="AK6" s="14">
        <f t="shared" si="35"/>
        <v>0.80051757203675689</v>
      </c>
      <c r="AL6" s="22">
        <f t="shared" si="4"/>
        <v>4.6479241605242967</v>
      </c>
      <c r="AM6" s="62">
        <f t="shared" si="5"/>
        <v>264.98125749385758</v>
      </c>
      <c r="AN6" s="62">
        <f ca="1">AVERAGE(OFFSET($AM$3,0,0,'Données projet'!$E$10+1,1))-AVERAGE(OFFSET($H$3,0,0,'Données projet'!$E$10+1,1))</f>
        <v>164.64952352018145</v>
      </c>
      <c r="AO6" s="62">
        <f t="shared" si="36"/>
        <v>280.08682720086921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0.7466666666666667</v>
      </c>
      <c r="BD6" s="13">
        <f>IF('Données projet'!$A$88&gt;35,BD5+BC6-BL5,IF(A6&lt;'Données projet'!$A$88,$BA$205^A6,IF(A6='Données projet'!$A$88,'Données projet'!$B$88,BD5+BC6-BL5)))</f>
        <v>1.3646610678808404</v>
      </c>
      <c r="BE6" s="14">
        <f>BD6*VLOOKUP('Données projet'!$B$11,Paramètres!$A$1:$I$89,3,0)*VLOOKUP('Données projet'!$B$11,Paramètres!$A$1:$I$89,5,0)</f>
        <v>1.1495904835828201</v>
      </c>
      <c r="BF6" s="14">
        <f t="shared" si="37"/>
        <v>0.52125232012321809</v>
      </c>
      <c r="BG6" s="22">
        <f t="shared" si="7"/>
        <v>2.9100512164546828</v>
      </c>
      <c r="BH6" s="62">
        <f t="shared" si="8"/>
        <v>263.243384549788</v>
      </c>
      <c r="BI6" s="62">
        <f ca="1">AVERAGE(OFFSET($BH$3,0,0,'Données projet'!$E$11+1,1))-AVERAGE(OFFSET($H$3,0,0,'Données projet'!$E$11+1,1))</f>
        <v>339.58585574836434</v>
      </c>
      <c r="BJ6" s="62">
        <f t="shared" si="38"/>
        <v>42.267525972379588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0.28233333333333338</v>
      </c>
      <c r="BY6" s="13">
        <f>IF('Données projet'!$A$114&gt;35,BY5+BX6-CG5,IF(A6&lt;'Données projet'!$A$114,$BV$205^A6,IF(A6='Données projet'!$A$114,'Données projet'!$B$114,BY5+BX6-CG5)))</f>
        <v>1.2381929902766857</v>
      </c>
      <c r="BZ6" s="14">
        <f>BY6*VLOOKUP('Données projet'!$B$12,Paramètres!$A$1:$I$89,3,0)*VLOOKUP('Données projet'!$B$12,Paramètres!$A$1:$I$89,5,0)</f>
        <v>1.2362118814922431</v>
      </c>
      <c r="CA6" s="14">
        <f t="shared" si="39"/>
        <v>0.55580872902060807</v>
      </c>
      <c r="CB6" s="22">
        <f t="shared" si="10"/>
        <v>3.1211025633098823</v>
      </c>
      <c r="CC6" s="62">
        <f t="shared" si="11"/>
        <v>263.45443589664319</v>
      </c>
      <c r="CD6" s="62">
        <f ca="1">AVERAGE(OFFSET($CC$3,0,0,'Données projet'!$E$12+1,1))-AVERAGE(OFFSET($H$3,0,0,'Données projet'!$E$12+1,1))</f>
        <v>112.34884104798977</v>
      </c>
      <c r="CE6" s="62">
        <f t="shared" si="40"/>
        <v>18.665658139749326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4.4550000000000001</v>
      </c>
      <c r="CT6" s="13">
        <f>IF('Données projet'!$A$140&gt;35,CT5+CS6-DB5,IF(A6&lt;'Données projet'!$A$140,$CQ$205^A6,IF(A6='Données projet'!$A$140,'Données projet'!$B$140,CT5+CS6-DB5)))</f>
        <v>2.2255196954710712</v>
      </c>
      <c r="CU6" s="18">
        <f>CT6*VLOOKUP('Données projet'!$B$13,Paramètres!$A$1:$I$89,3,0)*VLOOKUP('Données projet'!$B$13,Paramètres!$A$1:$I$89,5,0)</f>
        <v>2.4302675074544098</v>
      </c>
      <c r="CV6" s="14">
        <f t="shared" si="41"/>
        <v>1.0099875268039047</v>
      </c>
      <c r="CW6" s="22">
        <f t="shared" si="13"/>
        <v>5.9917775179998971</v>
      </c>
      <c r="CX6" s="62">
        <f t="shared" si="14"/>
        <v>266.32511085133319</v>
      </c>
      <c r="CY6" s="62">
        <f ca="1">AVERAGE(OFFSET($CX$3,0,0,'Données projet'!$E$13+1,1))-AVERAGE(OFFSET($H$3,0,0,'Données projet'!$E$13+1,1))</f>
        <v>205.21073681197737</v>
      </c>
      <c r="CZ6" s="62">
        <f t="shared" si="42"/>
        <v>175.16446313750316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6.6849999999999996</v>
      </c>
      <c r="DO6" s="13">
        <f>IF('Données projet'!$A$166&gt;35,DO5+DN6-DW5,IF(A6&lt;'Données projet'!$A$166,$DL$205^A6,IF(A6='Données projet'!$A$166,'Données projet'!$B$166,DO5+DN6-DW5)))</f>
        <v>2.084105554616114</v>
      </c>
      <c r="DP6" s="18">
        <f>DO6*VLOOKUP('Données projet'!$B$14,Paramètres!$A$1:$I$89,3,0)*VLOOKUP('Données projet'!$B$14,Paramètres!$A$1:$I$89,5,0)</f>
        <v>1.6906264259045918</v>
      </c>
      <c r="DQ6" s="14">
        <f t="shared" si="43"/>
        <v>0.73291729679074036</v>
      </c>
      <c r="DR6" s="22">
        <f t="shared" si="16"/>
        <v>4.2210053170277035</v>
      </c>
      <c r="DS6" s="62">
        <f t="shared" si="17"/>
        <v>264.55433865036105</v>
      </c>
      <c r="DT6" s="62">
        <f ca="1">AVERAGE(OFFSET($DS$3,0,0,'Données projet'!$E$14+1,1))-AVERAGE(OFFSET($H$3,0,0,'Données projet'!$E$14+1,1))</f>
        <v>223.63222290670075</v>
      </c>
      <c r="DU6" s="62">
        <f t="shared" si="44"/>
        <v>290.02663909417248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262.07105900009446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2.9666666666666668</v>
      </c>
      <c r="N7" s="14">
        <f>IF('Données projet'!$A$36&gt;35,N6+M7-V6,IF(A7&lt;'Données projet'!$A$36,$K$205^A7,IF(A7='Données projet'!$A$36,'Données projet'!$B$36,N6+M7-V6)))</f>
        <v>3.2896523131067239</v>
      </c>
      <c r="O7" s="14">
        <f>N7*VLOOKUP('Données projet'!$B$9,Paramètres!$A$1:$I$89,3,0)*VLOOKUP('Données projet'!$B$9,Paramètres!$A$1:$I$89,5,0)</f>
        <v>1.967212083237821</v>
      </c>
      <c r="P7" s="14">
        <f t="shared" si="33"/>
        <v>0.83791308104680229</v>
      </c>
      <c r="Q7" s="22">
        <f t="shared" si="2"/>
        <v>4.8855929944623862</v>
      </c>
      <c r="R7" s="62">
        <f t="shared" si="0"/>
        <v>266.44114855001794</v>
      </c>
      <c r="S7" s="62">
        <f ca="1">AVERAGE(OFFSET($R$3,0,0,'Données projet'!$E$9+1,1))-AVERAGE(OFFSET($H$3,0,0,'Données projet'!$E$9+1,1))</f>
        <v>192.24617268603629</v>
      </c>
      <c r="T7" s="62">
        <f t="shared" si="34"/>
        <v>192.48585280662832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4.4569000000000001</v>
      </c>
      <c r="AI7" s="14">
        <f>IF('Données projet'!$A$62&gt;35,AI6+AH7-AQ6,IF(A7&lt;'Données projet'!$A$62,$AF$205^A7,IF(A7='Données projet'!$A$62,'Données projet'!$B$62,AI6+AH7-AQ6)))</f>
        <v>4.566812235460227</v>
      </c>
      <c r="AJ7" s="14">
        <f>AI7*VLOOKUP('Données projet'!$B$10,Paramètres!$A$1:$I$89,3,0)*VLOOKUP('Données projet'!$B$10,Paramètres!$A$1:$I$89,5,0)</f>
        <v>2.730953716805216</v>
      </c>
      <c r="AK7" s="14">
        <f t="shared" si="35"/>
        <v>1.119642604016623</v>
      </c>
      <c r="AL7" s="22">
        <f t="shared" si="4"/>
        <v>6.7064552587647022</v>
      </c>
      <c r="AM7" s="62">
        <f t="shared" si="5"/>
        <v>268.26201081432026</v>
      </c>
      <c r="AN7" s="62">
        <f ca="1">AVERAGE(OFFSET($AM$3,0,0,'Données projet'!$E$10+1,1))-AVERAGE(OFFSET($H$3,0,0,'Données projet'!$E$10+1,1))</f>
        <v>164.64952352018145</v>
      </c>
      <c r="AO7" s="62">
        <f t="shared" si="36"/>
        <v>280.08682720086921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0.7466666666666667</v>
      </c>
      <c r="BD7" s="13">
        <f>IF('Données projet'!$A$88&gt;35,BD6+BC7-BL6,IF(A7&lt;'Données projet'!$A$88,$BA$205^A7,IF(A7='Données projet'!$A$88,'Données projet'!$B$88,BD6+BC7-BL6)))</f>
        <v>1.5136765021016245</v>
      </c>
      <c r="BE7" s="14">
        <f>BD7*VLOOKUP('Données projet'!$B$11,Paramètres!$A$1:$I$89,3,0)*VLOOKUP('Données projet'!$B$11,Paramètres!$A$1:$I$89,5,0)</f>
        <v>1.2751210853704087</v>
      </c>
      <c r="BF7" s="14">
        <f t="shared" si="37"/>
        <v>0.57123828420844835</v>
      </c>
      <c r="BG7" s="22">
        <f t="shared" si="7"/>
        <v>3.2157425686831758</v>
      </c>
      <c r="BH7" s="62">
        <f t="shared" si="8"/>
        <v>264.77129812423874</v>
      </c>
      <c r="BI7" s="62">
        <f ca="1">AVERAGE(OFFSET($BH$3,0,0,'Données projet'!$E$11+1,1))-AVERAGE(OFFSET($H$3,0,0,'Données projet'!$E$11+1,1))</f>
        <v>339.58585574836434</v>
      </c>
      <c r="BJ7" s="62">
        <f t="shared" si="38"/>
        <v>42.267525972379588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0.28233333333333338</v>
      </c>
      <c r="BY7" s="13">
        <f>IF('Données projet'!$A$114&gt;35,BY6+BX7-CG6,IF(A7&lt;'Données projet'!$A$114,$BV$205^A7,IF(A7='Données projet'!$A$114,'Données projet'!$B$114,BY6+BX7-CG6)))</f>
        <v>1.3295901468621718</v>
      </c>
      <c r="BZ7" s="14">
        <f>BY7*VLOOKUP('Données projet'!$B$12,Paramètres!$A$1:$I$89,3,0)*VLOOKUP('Données projet'!$B$12,Paramètres!$A$1:$I$89,5,0)</f>
        <v>1.3274628026271924</v>
      </c>
      <c r="CA7" s="14">
        <f t="shared" si="39"/>
        <v>0.59190856252501522</v>
      </c>
      <c r="CB7" s="22">
        <f t="shared" si="10"/>
        <v>3.3429051276400945</v>
      </c>
      <c r="CC7" s="62">
        <f t="shared" si="11"/>
        <v>264.89846068319565</v>
      </c>
      <c r="CD7" s="62">
        <f ca="1">AVERAGE(OFFSET($CC$3,0,0,'Données projet'!$E$12+1,1))-AVERAGE(OFFSET($H$3,0,0,'Données projet'!$E$12+1,1))</f>
        <v>112.34884104798977</v>
      </c>
      <c r="CE7" s="62">
        <f t="shared" si="40"/>
        <v>18.665658139749326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4.4550000000000001</v>
      </c>
      <c r="CT7" s="13">
        <f>IF('Données projet'!$A$140&gt;35,CT6+CS7-DB6,IF(A7&lt;'Données projet'!$A$140,$CQ$205^A7,IF(A7='Données projet'!$A$140,'Données projet'!$B$140,CT6+CS7-DB6)))</f>
        <v>2.9056407843507039</v>
      </c>
      <c r="CU7" s="18">
        <f>CT7*VLOOKUP('Données projet'!$B$13,Paramètres!$A$1:$I$89,3,0)*VLOOKUP('Données projet'!$B$13,Paramètres!$A$1:$I$89,5,0)</f>
        <v>3.1729597365109687</v>
      </c>
      <c r="CV7" s="14">
        <f t="shared" si="41"/>
        <v>1.2783393307145141</v>
      </c>
      <c r="CW7" s="22">
        <f t="shared" si="13"/>
        <v>7.7526792087510481</v>
      </c>
      <c r="CX7" s="62">
        <f t="shared" si="14"/>
        <v>269.30823476430658</v>
      </c>
      <c r="CY7" s="62">
        <f ca="1">AVERAGE(OFFSET($CX$3,0,0,'Données projet'!$E$13+1,1))-AVERAGE(OFFSET($H$3,0,0,'Données projet'!$E$13+1,1))</f>
        <v>205.21073681197737</v>
      </c>
      <c r="CZ7" s="62">
        <f t="shared" si="42"/>
        <v>175.16446313750316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6.6849999999999996</v>
      </c>
      <c r="DO7" s="13">
        <f>IF('Données projet'!$A$166&gt;35,DO6+DN7-DW6,IF(A7&lt;'Données projet'!$A$166,$DL$205^A7,IF(A7='Données projet'!$A$166,'Données projet'!$B$166,DO6+DN7-DW6)))</f>
        <v>2.6621117447164604</v>
      </c>
      <c r="DP7" s="18">
        <f>DO7*VLOOKUP('Données projet'!$B$14,Paramètres!$A$1:$I$89,3,0)*VLOOKUP('Données projet'!$B$14,Paramètres!$A$1:$I$89,5,0)</f>
        <v>2.159505047313993</v>
      </c>
      <c r="DQ7" s="14">
        <f t="shared" si="43"/>
        <v>0.90988699288787356</v>
      </c>
      <c r="DR7" s="22">
        <f t="shared" si="16"/>
        <v>5.345857803351584</v>
      </c>
      <c r="DS7" s="62">
        <f t="shared" si="17"/>
        <v>266.90141335890712</v>
      </c>
      <c r="DT7" s="62">
        <f ca="1">AVERAGE(OFFSET($DS$3,0,0,'Données projet'!$E$14+1,1))-AVERAGE(OFFSET($H$3,0,0,'Données projet'!$E$14+1,1))</f>
        <v>223.63222290670075</v>
      </c>
      <c r="DU7" s="62">
        <f t="shared" si="44"/>
        <v>290.02663909417248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263.37085912145096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2.9666666666666668</v>
      </c>
      <c r="N8" s="14">
        <f>IF('Données projet'!$A$36&gt;35,N7+M8-V7,IF(A8&lt;'Données projet'!$A$36,$K$205^A8,IF(A8='Données projet'!$A$36,'Données projet'!$B$36,N7+M8-V7)))</f>
        <v>4.4303445125688352</v>
      </c>
      <c r="O8" s="14">
        <f>N8*VLOOKUP('Données projet'!$B$9,Paramètres!$A$1:$I$89,3,0)*VLOOKUP('Données projet'!$B$9,Paramètres!$A$1:$I$89,5,0)</f>
        <v>2.6493460185161637</v>
      </c>
      <c r="P8" s="14">
        <f t="shared" si="33"/>
        <v>1.090027375816387</v>
      </c>
      <c r="Q8" s="22">
        <f t="shared" si="2"/>
        <v>6.5127419951291925</v>
      </c>
      <c r="R8" s="62">
        <f t="shared" si="0"/>
        <v>269.29051977290698</v>
      </c>
      <c r="S8" s="62">
        <f ca="1">AVERAGE(OFFSET($R$3,0,0,'Données projet'!$E$9+1,1))-AVERAGE(OFFSET($H$3,0,0,'Données projet'!$E$9+1,1))</f>
        <v>192.24617268603629</v>
      </c>
      <c r="T8" s="62">
        <f t="shared" si="34"/>
        <v>192.48585280662832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4.4569000000000001</v>
      </c>
      <c r="AI8" s="14">
        <f>IF('Données projet'!$A$62&gt;35,AI7+AH8-AQ7,IF(A8&lt;'Données projet'!$A$62,$AF$205^A8,IF(A8='Données projet'!$A$62,'Données projet'!$B$62,AI7+AH8-AQ7)))</f>
        <v>6.6760017974832806</v>
      </c>
      <c r="AJ8" s="14">
        <f>AI8*VLOOKUP('Données projet'!$B$10,Paramètres!$A$1:$I$89,3,0)*VLOOKUP('Données projet'!$B$10,Paramètres!$A$1:$I$89,5,0)</f>
        <v>3.9922490748950019</v>
      </c>
      <c r="AK8" s="14">
        <f t="shared" si="35"/>
        <v>1.5659863125047846</v>
      </c>
      <c r="AL8" s="22">
        <f t="shared" si="4"/>
        <v>9.6805932997212949</v>
      </c>
      <c r="AM8" s="62">
        <f t="shared" si="5"/>
        <v>272.45837107749907</v>
      </c>
      <c r="AN8" s="62">
        <f ca="1">AVERAGE(OFFSET($AM$3,0,0,'Données projet'!$E$10+1,1))-AVERAGE(OFFSET($H$3,0,0,'Données projet'!$E$10+1,1))</f>
        <v>164.64952352018145</v>
      </c>
      <c r="AO8" s="62">
        <f t="shared" si="36"/>
        <v>280.08682720086921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0.7466666666666667</v>
      </c>
      <c r="BD8" s="13">
        <f>IF('Données projet'!$A$88&gt;35,BD7+BC8-BL7,IF(A8&lt;'Données projet'!$A$88,$BA$205^A8,IF(A8='Données projet'!$A$88,'Données projet'!$B$88,BD7+BC8-BL7)))</f>
        <v>1.6789638152223405</v>
      </c>
      <c r="BE8" s="14">
        <f>BD8*VLOOKUP('Données projet'!$B$11,Paramètres!$A$1:$I$89,3,0)*VLOOKUP('Données projet'!$B$11,Paramètres!$A$1:$I$89,5,0)</f>
        <v>1.4143591179432997</v>
      </c>
      <c r="BF8" s="14">
        <f t="shared" si="37"/>
        <v>0.62601769766372484</v>
      </c>
      <c r="BG8" s="22">
        <f t="shared" si="7"/>
        <v>3.553656287182235</v>
      </c>
      <c r="BH8" s="62">
        <f t="shared" si="8"/>
        <v>266.33143406495998</v>
      </c>
      <c r="BI8" s="62">
        <f ca="1">AVERAGE(OFFSET($BH$3,0,0,'Données projet'!$E$11+1,1))-AVERAGE(OFFSET($H$3,0,0,'Données projet'!$E$11+1,1))</f>
        <v>339.58585574836434</v>
      </c>
      <c r="BJ8" s="62">
        <f t="shared" si="38"/>
        <v>42.267525972379588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0.28233333333333338</v>
      </c>
      <c r="BY8" s="13">
        <f>IF('Données projet'!$A$114&gt;35,BY7+BX8-CG7,IF(A8&lt;'Données projet'!$A$114,$BV$205^A8,IF(A8='Données projet'!$A$114,'Données projet'!$B$114,BY7+BX8-CG7)))</f>
        <v>1.4277337802065397</v>
      </c>
      <c r="BZ8" s="14">
        <f>BY8*VLOOKUP('Données projet'!$B$12,Paramètres!$A$1:$I$89,3,0)*VLOOKUP('Données projet'!$B$12,Paramètres!$A$1:$I$89,5,0)</f>
        <v>1.4254494061582093</v>
      </c>
      <c r="CA8" s="14">
        <f t="shared" si="39"/>
        <v>0.63035308388875522</v>
      </c>
      <c r="CB8" s="22">
        <f t="shared" si="10"/>
        <v>3.5805226701651303</v>
      </c>
      <c r="CC8" s="62">
        <f t="shared" si="11"/>
        <v>266.3583004479429</v>
      </c>
      <c r="CD8" s="62">
        <f ca="1">AVERAGE(OFFSET($CC$3,0,0,'Données projet'!$E$12+1,1))-AVERAGE(OFFSET($H$3,0,0,'Données projet'!$E$12+1,1))</f>
        <v>112.34884104798977</v>
      </c>
      <c r="CE8" s="62">
        <f t="shared" si="40"/>
        <v>18.665658139749326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4.4550000000000001</v>
      </c>
      <c r="CT8" s="13">
        <f>IF('Données projet'!$A$140&gt;35,CT7+CS8-DB7,IF(A8&lt;'Données projet'!$A$140,$CQ$205^A8,IF(A8='Données projet'!$A$140,'Données projet'!$B$140,CT7+CS8-DB7)))</f>
        <v>3.7936075716890545</v>
      </c>
      <c r="CU8" s="18">
        <f>CT8*VLOOKUP('Données projet'!$B$13,Paramètres!$A$1:$I$89,3,0)*VLOOKUP('Données projet'!$B$13,Paramètres!$A$1:$I$89,5,0)</f>
        <v>4.1426194682844475</v>
      </c>
      <c r="CV8" s="14">
        <f t="shared" si="41"/>
        <v>1.6179917088905915</v>
      </c>
      <c r="CW8" s="22">
        <f t="shared" si="13"/>
        <v>10.033064466913192</v>
      </c>
      <c r="CX8" s="62">
        <f t="shared" si="14"/>
        <v>272.81084224469095</v>
      </c>
      <c r="CY8" s="62">
        <f ca="1">AVERAGE(OFFSET($CX$3,0,0,'Données projet'!$E$13+1,1))-AVERAGE(OFFSET($H$3,0,0,'Données projet'!$E$13+1,1))</f>
        <v>205.21073681197737</v>
      </c>
      <c r="CZ8" s="62">
        <f t="shared" si="42"/>
        <v>175.16446313750316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6.6849999999999996</v>
      </c>
      <c r="DO8" s="13">
        <f>IF('Données projet'!$A$166&gt;35,DO7+DN8-DW7,IF(A8&lt;'Données projet'!$A$166,$DL$205^A8,IF(A8='Données projet'!$A$166,'Données projet'!$B$166,DO7+DN8-DW7)))</f>
        <v>3.4004222701967182</v>
      </c>
      <c r="DP8" s="18">
        <f>DO8*VLOOKUP('Données projet'!$B$14,Paramètres!$A$1:$I$89,3,0)*VLOOKUP('Données projet'!$B$14,Paramètres!$A$1:$I$89,5,0)</f>
        <v>2.7584225455835782</v>
      </c>
      <c r="DQ8" s="14">
        <f t="shared" si="43"/>
        <v>1.1295876676013479</v>
      </c>
      <c r="DR8" s="22">
        <f t="shared" si="16"/>
        <v>6.7716177879637458</v>
      </c>
      <c r="DS8" s="62">
        <f t="shared" si="17"/>
        <v>269.54939556574152</v>
      </c>
      <c r="DT8" s="62">
        <f ca="1">AVERAGE(OFFSET($DS$3,0,0,'Données projet'!$E$14+1,1))-AVERAGE(OFFSET($H$3,0,0,'Données projet'!$E$14+1,1))</f>
        <v>223.63222290670075</v>
      </c>
      <c r="DU8" s="62">
        <f t="shared" si="44"/>
        <v>290.02663909417248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264.66257488541947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2.9666666666666668</v>
      </c>
      <c r="N9" s="14">
        <f>IF('Données projet'!$A$36&gt;35,N8+M9-V8,IF(A9&lt;'Données projet'!$A$36,$K$205^A9,IF(A9='Données projet'!$A$36,'Données projet'!$B$36,N8+M9-V8)))</f>
        <v>5.9665735560705189</v>
      </c>
      <c r="O9" s="14">
        <f>N9*VLOOKUP('Données projet'!$B$9,Paramètres!$A$1:$I$89,3,0)*VLOOKUP('Données projet'!$B$9,Paramètres!$A$1:$I$89,5,0)</f>
        <v>3.5680109865301701</v>
      </c>
      <c r="P9" s="14">
        <f t="shared" si="33"/>
        <v>1.4179987243364132</v>
      </c>
      <c r="Q9" s="22">
        <f t="shared" si="2"/>
        <v>8.6839669130926342</v>
      </c>
      <c r="R9" s="62">
        <f t="shared" si="0"/>
        <v>272.68396691309266</v>
      </c>
      <c r="S9" s="62">
        <f ca="1">AVERAGE(OFFSET($R$3,0,0,'Données projet'!$E$9+1,1))-AVERAGE(OFFSET($H$3,0,0,'Données projet'!$E$9+1,1))</f>
        <v>192.24617268603629</v>
      </c>
      <c r="T9" s="62">
        <f t="shared" si="34"/>
        <v>192.48585280662832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4.4569000000000001</v>
      </c>
      <c r="AI9" s="14">
        <f>IF('Données projet'!$A$62&gt;35,AI8+AH9-AQ8,IF(A9&lt;'Données projet'!$A$62,$AF$205^A9,IF(A9='Données projet'!$A$62,'Données projet'!$B$62,AI8+AH9-AQ8)))</f>
        <v>9.7593239445957831</v>
      </c>
      <c r="AJ9" s="14">
        <f>AI9*VLOOKUP('Données projet'!$B$10,Paramètres!$A$1:$I$89,3,0)*VLOOKUP('Données projet'!$B$10,Paramètres!$A$1:$I$89,5,0)</f>
        <v>5.8360757188682788</v>
      </c>
      <c r="AK9" s="14">
        <f t="shared" si="35"/>
        <v>2.1902642165945347</v>
      </c>
      <c r="AL9" s="22">
        <f t="shared" si="4"/>
        <v>13.979208720931064</v>
      </c>
      <c r="AM9" s="62">
        <f t="shared" si="5"/>
        <v>277.97920872093107</v>
      </c>
      <c r="AN9" s="62">
        <f ca="1">AVERAGE(OFFSET($AM$3,0,0,'Données projet'!$E$10+1,1))-AVERAGE(OFFSET($H$3,0,0,'Données projet'!$E$10+1,1))</f>
        <v>164.64952352018145</v>
      </c>
      <c r="AO9" s="62">
        <f t="shared" si="36"/>
        <v>280.08682720086921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0.7466666666666667</v>
      </c>
      <c r="BD9" s="13">
        <f>IF('Données projet'!$A$88&gt;35,BD8+BC9-BL8,IF(A9&lt;'Données projet'!$A$88,$BA$205^A9,IF(A9='Données projet'!$A$88,'Données projet'!$B$88,BD8+BC9-BL8)))</f>
        <v>1.8622998301896758</v>
      </c>
      <c r="BE9" s="14">
        <f>BD9*VLOOKUP('Données projet'!$B$11,Paramètres!$A$1:$I$89,3,0)*VLOOKUP('Données projet'!$B$11,Paramètres!$A$1:$I$89,5,0)</f>
        <v>1.5688013769517832</v>
      </c>
      <c r="BF9" s="14">
        <f t="shared" si="37"/>
        <v>0.68605023266470178</v>
      </c>
      <c r="BG9" s="22">
        <f t="shared" si="7"/>
        <v>3.9271998867487112</v>
      </c>
      <c r="BH9" s="62">
        <f t="shared" si="8"/>
        <v>267.92719988674872</v>
      </c>
      <c r="BI9" s="62">
        <f ca="1">AVERAGE(OFFSET($BH$3,0,0,'Données projet'!$E$11+1,1))-AVERAGE(OFFSET($H$3,0,0,'Données projet'!$E$11+1,1))</f>
        <v>339.58585574836434</v>
      </c>
      <c r="BJ9" s="62">
        <f t="shared" si="38"/>
        <v>42.267525972379588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0.28233333333333338</v>
      </c>
      <c r="BY9" s="13">
        <f>IF('Données projet'!$A$114&gt;35,BY8+BX9-CG8,IF(A9&lt;'Données projet'!$A$114,$BV$205^A9,IF(A9='Données projet'!$A$114,'Données projet'!$B$114,BY8+BX9-CG8)))</f>
        <v>1.5331218811703207</v>
      </c>
      <c r="BZ9" s="14">
        <f>BY9*VLOOKUP('Données projet'!$B$12,Paramètres!$A$1:$I$89,3,0)*VLOOKUP('Données projet'!$B$12,Paramètres!$A$1:$I$89,5,0)</f>
        <v>1.5306688861604483</v>
      </c>
      <c r="CA9" s="14">
        <f t="shared" si="39"/>
        <v>0.67129458082686821</v>
      </c>
      <c r="CB9" s="22">
        <f t="shared" si="10"/>
        <v>3.835086371669576</v>
      </c>
      <c r="CC9" s="62">
        <f t="shared" si="11"/>
        <v>267.8350863716696</v>
      </c>
      <c r="CD9" s="62">
        <f ca="1">AVERAGE(OFFSET($CC$3,0,0,'Données projet'!$E$12+1,1))-AVERAGE(OFFSET($H$3,0,0,'Données projet'!$E$12+1,1))</f>
        <v>112.34884104798977</v>
      </c>
      <c r="CE9" s="62">
        <f t="shared" si="40"/>
        <v>18.665658139749326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4.4550000000000001</v>
      </c>
      <c r="CT9" s="13">
        <f>IF('Données projet'!$A$140&gt;35,CT8+CS9-DB8,IF(A9&lt;'Données projet'!$A$140,$CQ$205^A9,IF(A9='Données projet'!$A$140,'Données projet'!$B$140,CT8+CS9-DB8)))</f>
        <v>4.9529379149296489</v>
      </c>
      <c r="CU9" s="18">
        <f>CT9*VLOOKUP('Données projet'!$B$13,Paramètres!$A$1:$I$89,3,0)*VLOOKUP('Données projet'!$B$13,Paramètres!$A$1:$I$89,5,0)</f>
        <v>5.4086082031031761</v>
      </c>
      <c r="CV9" s="14">
        <f t="shared" si="41"/>
        <v>2.0478890910564811</v>
      </c>
      <c r="CW9" s="22">
        <f t="shared" si="13"/>
        <v>12.986732787328071</v>
      </c>
      <c r="CX9" s="62">
        <f t="shared" si="14"/>
        <v>276.98673278732809</v>
      </c>
      <c r="CY9" s="62">
        <f ca="1">AVERAGE(OFFSET($CX$3,0,0,'Données projet'!$E$13+1,1))-AVERAGE(OFFSET($H$3,0,0,'Données projet'!$E$13+1,1))</f>
        <v>205.21073681197737</v>
      </c>
      <c r="CZ9" s="62">
        <f t="shared" si="42"/>
        <v>175.16446313750316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6.6849999999999996</v>
      </c>
      <c r="DO9" s="13">
        <f>IF('Données projet'!$A$166&gt;35,DO8+DN9-DW8,IF(A9&lt;'Données projet'!$A$166,$DL$205^A9,IF(A9='Données projet'!$A$166,'Données projet'!$B$166,DO8+DN9-DW8)))</f>
        <v>4.3434959627817404</v>
      </c>
      <c r="DP9" s="18">
        <f>DO9*VLOOKUP('Données projet'!$B$14,Paramètres!$A$1:$I$89,3,0)*VLOOKUP('Données projet'!$B$14,Paramètres!$A$1:$I$89,5,0)</f>
        <v>3.5234439250085479</v>
      </c>
      <c r="DQ9" s="14">
        <f t="shared" si="43"/>
        <v>1.4023371130378295</v>
      </c>
      <c r="DR9" s="22">
        <f t="shared" si="16"/>
        <v>8.5790686412641062</v>
      </c>
      <c r="DS9" s="62">
        <f t="shared" si="17"/>
        <v>272.57906864126409</v>
      </c>
      <c r="DT9" s="62">
        <f ca="1">AVERAGE(OFFSET($DS$3,0,0,'Données projet'!$E$14+1,1))-AVERAGE(OFFSET($H$3,0,0,'Données projet'!$E$14+1,1))</f>
        <v>223.63222290670075</v>
      </c>
      <c r="DU9" s="62">
        <f t="shared" si="44"/>
        <v>290.02663909417248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265.94771136763848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2.9666666666666668</v>
      </c>
      <c r="N10" s="14">
        <f>IF('Données projet'!$A$36&gt;35,N9+M10-V9,IF(A10&lt;'Données projet'!$A$36,$K$205^A10,IF(A10='Données projet'!$A$36,'Données projet'!$B$36,N9+M10-V9)))</f>
        <v>8.0354924767144436</v>
      </c>
      <c r="O10" s="14">
        <f>N10*VLOOKUP('Données projet'!$B$9,Paramètres!$A$1:$I$89,3,0)*VLOOKUP('Données projet'!$B$9,Paramètres!$A$1:$I$89,5,0)</f>
        <v>4.8052245010752381</v>
      </c>
      <c r="P10" s="14">
        <f t="shared" si="33"/>
        <v>1.8446512691607819</v>
      </c>
      <c r="Q10" s="22">
        <f t="shared" si="2"/>
        <v>11.581866966494403</v>
      </c>
      <c r="R10" s="62">
        <f t="shared" si="0"/>
        <v>276.8040891887166</v>
      </c>
      <c r="S10" s="62">
        <f ca="1">AVERAGE(OFFSET($R$3,0,0,'Données projet'!$E$9+1,1))-AVERAGE(OFFSET($H$3,0,0,'Données projet'!$E$9+1,1))</f>
        <v>192.24617268603629</v>
      </c>
      <c r="T10" s="62">
        <f t="shared" si="34"/>
        <v>192.48585280662832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4.4569000000000001</v>
      </c>
      <c r="AI10" s="14">
        <f>IF('Données projet'!$A$62&gt;35,AI9+AH10-AQ9,IF(A10&lt;'Données projet'!$A$62,$AF$205^A10,IF(A10='Données projet'!$A$62,'Données projet'!$B$62,AI9+AH10-AQ9)))</f>
        <v>14.266683374990379</v>
      </c>
      <c r="AJ10" s="14">
        <f>AI10*VLOOKUP('Données projet'!$B$10,Paramètres!$A$1:$I$89,3,0)*VLOOKUP('Données projet'!$B$10,Paramètres!$A$1:$I$89,5,0)</f>
        <v>8.5314766582442463</v>
      </c>
      <c r="AK10" s="14">
        <f t="shared" si="35"/>
        <v>3.0634094948258439</v>
      </c>
      <c r="AL10" s="22">
        <f t="shared" si="4"/>
        <v>20.194426716597075</v>
      </c>
      <c r="AM10" s="62">
        <f t="shared" si="5"/>
        <v>285.41664893881932</v>
      </c>
      <c r="AN10" s="62">
        <f ca="1">AVERAGE(OFFSET($AM$3,0,0,'Données projet'!$E$10+1,1))-AVERAGE(OFFSET($H$3,0,0,'Données projet'!$E$10+1,1))</f>
        <v>164.64952352018145</v>
      </c>
      <c r="AO10" s="62">
        <f t="shared" si="36"/>
        <v>280.08682720086921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0.7466666666666667</v>
      </c>
      <c r="BD10" s="13">
        <f>IF('Données projet'!$A$88&gt;35,BD9+BC10-BL9,IF(A10&lt;'Données projet'!$A$88,$BA$205^A10,IF(A10='Données projet'!$A$88,'Données projet'!$B$88,BD9+BC10-BL9)))</f>
        <v>2.065655391784138</v>
      </c>
      <c r="BE10" s="14">
        <f>BD10*VLOOKUP('Données projet'!$B$11,Paramètres!$A$1:$I$89,3,0)*VLOOKUP('Données projet'!$B$11,Paramètres!$A$1:$I$89,5,0)</f>
        <v>1.7401081020389579</v>
      </c>
      <c r="BF10" s="14">
        <f t="shared" si="37"/>
        <v>0.75183964206730169</v>
      </c>
      <c r="BG10" s="22">
        <f t="shared" si="7"/>
        <v>4.3401423209850689</v>
      </c>
      <c r="BH10" s="62">
        <f t="shared" si="8"/>
        <v>269.56236454320731</v>
      </c>
      <c r="BI10" s="62">
        <f ca="1">AVERAGE(OFFSET($BH$3,0,0,'Données projet'!$E$11+1,1))-AVERAGE(OFFSET($H$3,0,0,'Données projet'!$E$11+1,1))</f>
        <v>339.58585574836434</v>
      </c>
      <c r="BJ10" s="62">
        <f t="shared" si="38"/>
        <v>42.267525972379588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0.28233333333333338</v>
      </c>
      <c r="BY10" s="13">
        <f>IF('Données projet'!$A$114&gt;35,BY9+BX10-CG9,IF(A10&lt;'Données projet'!$A$114,$BV$205^A10,IF(A10='Données projet'!$A$114,'Données projet'!$B$114,BY9+BX10-CG9)))</f>
        <v>1.6462891997856903</v>
      </c>
      <c r="BZ10" s="14">
        <f>BY10*VLOOKUP('Données projet'!$B$12,Paramètres!$A$1:$I$89,3,0)*VLOOKUP('Données projet'!$B$12,Paramètres!$A$1:$I$89,5,0)</f>
        <v>1.6436551370660335</v>
      </c>
      <c r="CA10" s="14">
        <f t="shared" si="39"/>
        <v>0.71489523215698114</v>
      </c>
      <c r="CB10" s="22">
        <f t="shared" si="10"/>
        <v>4.107808559730084</v>
      </c>
      <c r="CC10" s="62">
        <f t="shared" si="11"/>
        <v>269.3300307819523</v>
      </c>
      <c r="CD10" s="62">
        <f ca="1">AVERAGE(OFFSET($CC$3,0,0,'Données projet'!$E$12+1,1))-AVERAGE(OFFSET($H$3,0,0,'Données projet'!$E$12+1,1))</f>
        <v>112.34884104798977</v>
      </c>
      <c r="CE10" s="62">
        <f t="shared" si="40"/>
        <v>18.665658139749326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4.4550000000000001</v>
      </c>
      <c r="CT10" s="13">
        <f>IF('Données projet'!$A$140&gt;35,CT9+CS10-DB9,IF(A10&lt;'Données projet'!$A$140,$CQ$205^A10,IF(A10='Données projet'!$A$140,'Données projet'!$B$140,CT9+CS10-DB9)))</f>
        <v>6.4665607935365035</v>
      </c>
      <c r="CU10" s="18">
        <f>CT10*VLOOKUP('Données projet'!$B$13,Paramètres!$A$1:$I$89,3,0)*VLOOKUP('Données projet'!$B$13,Paramètres!$A$1:$I$89,5,0)</f>
        <v>7.0614843865418608</v>
      </c>
      <c r="CV10" s="14">
        <f t="shared" si="41"/>
        <v>2.5920094066141641</v>
      </c>
      <c r="CW10" s="22">
        <f t="shared" si="13"/>
        <v>16.81316835641341</v>
      </c>
      <c r="CX10" s="62">
        <f t="shared" si="14"/>
        <v>282.03539057863566</v>
      </c>
      <c r="CY10" s="62">
        <f ca="1">AVERAGE(OFFSET($CX$3,0,0,'Données projet'!$E$13+1,1))-AVERAGE(OFFSET($H$3,0,0,'Données projet'!$E$13+1,1))</f>
        <v>205.21073681197737</v>
      </c>
      <c r="CZ10" s="62">
        <f t="shared" si="42"/>
        <v>175.16446313750316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6.6849999999999996</v>
      </c>
      <c r="DO10" s="13">
        <f>IF('Données projet'!$A$166&gt;35,DO9+DN10-DW9,IF(A10&lt;'Données projet'!$A$166,$DL$205^A10,IF(A10='Données projet'!$A$166,'Données projet'!$B$166,DO9+DN10-DW9)))</f>
        <v>5.5481218741723692</v>
      </c>
      <c r="DP10" s="18">
        <f>DO10*VLOOKUP('Données projet'!$B$14,Paramètres!$A$1:$I$89,3,0)*VLOOKUP('Données projet'!$B$14,Paramètres!$A$1:$I$89,5,0)</f>
        <v>4.5006364643286263</v>
      </c>
      <c r="DQ10" s="14">
        <f t="shared" si="43"/>
        <v>1.7409444481446887</v>
      </c>
      <c r="DR10" s="22">
        <f t="shared" si="16"/>
        <v>10.870753422557691</v>
      </c>
      <c r="DS10" s="62">
        <f t="shared" si="17"/>
        <v>276.09297564477993</v>
      </c>
      <c r="DT10" s="62">
        <f ca="1">AVERAGE(OFFSET($DS$3,0,0,'Données projet'!$E$14+1,1))-AVERAGE(OFFSET($H$3,0,0,'Données projet'!$E$14+1,1))</f>
        <v>223.63222290670075</v>
      </c>
      <c r="DU10" s="62">
        <f t="shared" si="44"/>
        <v>290.02663909417248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267.22731691271065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2.9666666666666668</v>
      </c>
      <c r="N11" s="14">
        <f>IF('Données projet'!$A$36&gt;35,N10+M11-V10,IF(A11&lt;'Données projet'!$A$36,$K$205^A11,IF(A11='Données projet'!$A$36,'Données projet'!$B$36,N10+M11-V10)))</f>
        <v>10.821812341128419</v>
      </c>
      <c r="O11" s="14">
        <f>N11*VLOOKUP('Données projet'!$B$9,Paramètres!$A$1:$I$89,3,0)*VLOOKUP('Données projet'!$B$9,Paramètres!$A$1:$I$89,5,0)</f>
        <v>6.4714437799947948</v>
      </c>
      <c r="P11" s="14">
        <f t="shared" si="33"/>
        <v>2.3996765627619849</v>
      </c>
      <c r="Q11" s="22">
        <f t="shared" si="2"/>
        <v>15.450534596968057</v>
      </c>
      <c r="R11" s="62">
        <f t="shared" si="0"/>
        <v>281.89497904141251</v>
      </c>
      <c r="S11" s="62">
        <f ca="1">AVERAGE(OFFSET($R$3,0,0,'Données projet'!$E$9+1,1))-AVERAGE(OFFSET($H$3,0,0,'Données projet'!$E$9+1,1))</f>
        <v>192.24617268603629</v>
      </c>
      <c r="T11" s="62">
        <f t="shared" si="34"/>
        <v>192.48585280662832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4.4569000000000001</v>
      </c>
      <c r="AI11" s="14">
        <f>IF('Données projet'!$A$62&gt;35,AI10+AH11-AQ10,IF(A11&lt;'Données projet'!$A$62,$AF$205^A11,IF(A11='Données projet'!$A$62,'Données projet'!$B$62,AI10+AH11-AQ10)))</f>
        <v>20.855773993949235</v>
      </c>
      <c r="AJ11" s="14">
        <f>AI11*VLOOKUP('Données projet'!$B$10,Paramètres!$A$1:$I$89,3,0)*VLOOKUP('Données projet'!$B$10,Paramètres!$A$1:$I$89,5,0)</f>
        <v>12.471752848381644</v>
      </c>
      <c r="AK11" s="14">
        <f t="shared" si="35"/>
        <v>4.2846327223389995</v>
      </c>
      <c r="AL11" s="22">
        <f t="shared" si="4"/>
        <v>29.184038202338456</v>
      </c>
      <c r="AM11" s="62">
        <f t="shared" si="5"/>
        <v>295.62848264678291</v>
      </c>
      <c r="AN11" s="62">
        <f ca="1">AVERAGE(OFFSET($AM$3,0,0,'Données projet'!$E$10+1,1))-AVERAGE(OFFSET($H$3,0,0,'Données projet'!$E$10+1,1))</f>
        <v>164.64952352018145</v>
      </c>
      <c r="AO11" s="62">
        <f t="shared" si="36"/>
        <v>280.08682720086921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0.7466666666666667</v>
      </c>
      <c r="BD11" s="13">
        <f>IF('Données projet'!$A$88&gt;35,BD10+BC11-BL10,IF(A11&lt;'Données projet'!$A$88,$BA$205^A11,IF(A11='Données projet'!$A$88,'Données projet'!$B$88,BD10+BC11-BL10)))</f>
        <v>2.2912165530146091</v>
      </c>
      <c r="BE11" s="14">
        <f>BD11*VLOOKUP('Données projet'!$B$11,Paramètres!$A$1:$I$89,3,0)*VLOOKUP('Données projet'!$B$11,Paramètres!$A$1:$I$89,5,0)</f>
        <v>1.9301208242595072</v>
      </c>
      <c r="BF11" s="14">
        <f t="shared" si="37"/>
        <v>0.82393798656453998</v>
      </c>
      <c r="BG11" s="22">
        <f t="shared" si="7"/>
        <v>4.796652428851881</v>
      </c>
      <c r="BH11" s="62">
        <f t="shared" si="8"/>
        <v>271.24109687329633</v>
      </c>
      <c r="BI11" s="62">
        <f ca="1">AVERAGE(OFFSET($BH$3,0,0,'Données projet'!$E$11+1,1))-AVERAGE(OFFSET($H$3,0,0,'Données projet'!$E$11+1,1))</f>
        <v>339.58585574836434</v>
      </c>
      <c r="BJ11" s="62">
        <f t="shared" si="38"/>
        <v>42.267525972379588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0.28233333333333338</v>
      </c>
      <c r="BY11" s="13">
        <f>IF('Données projet'!$A$114&gt;35,BY10+BX11-CG10,IF(A11&lt;'Données projet'!$A$114,$BV$205^A11,IF(A11='Données projet'!$A$114,'Données projet'!$B$114,BY10+BX11-CG10)))</f>
        <v>1.7678099586329716</v>
      </c>
      <c r="BZ11" s="14">
        <f>BY11*VLOOKUP('Données projet'!$B$12,Paramètres!$A$1:$I$89,3,0)*VLOOKUP('Données projet'!$B$12,Paramètres!$A$1:$I$89,5,0)</f>
        <v>1.7649814626991589</v>
      </c>
      <c r="CA11" s="14">
        <f t="shared" si="39"/>
        <v>0.76132775022742782</v>
      </c>
      <c r="CB11" s="22">
        <f t="shared" si="10"/>
        <v>4.3999885458471386</v>
      </c>
      <c r="CC11" s="62">
        <f t="shared" si="11"/>
        <v>270.84443299029158</v>
      </c>
      <c r="CD11" s="62">
        <f ca="1">AVERAGE(OFFSET($CC$3,0,0,'Données projet'!$E$12+1,1))-AVERAGE(OFFSET($H$3,0,0,'Données projet'!$E$12+1,1))</f>
        <v>112.34884104798977</v>
      </c>
      <c r="CE11" s="62">
        <f t="shared" si="40"/>
        <v>18.665658139749326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4.4550000000000001</v>
      </c>
      <c r="CT11" s="13">
        <f>IF('Données projet'!$A$140&gt;35,CT10+CS11-DB10,IF(A11&lt;'Données projet'!$A$140,$CQ$205^A11,IF(A11='Données projet'!$A$140,'Données projet'!$B$140,CT10+CS11-DB10)))</f>
        <v>8.4427483676821744</v>
      </c>
      <c r="CU11" s="18">
        <f>CT11*VLOOKUP('Données projet'!$B$13,Paramètres!$A$1:$I$89,3,0)*VLOOKUP('Données projet'!$B$13,Paramètres!$A$1:$I$89,5,0)</f>
        <v>9.2194812175089353</v>
      </c>
      <c r="CV11" s="14">
        <f t="shared" si="41"/>
        <v>3.2807014761284332</v>
      </c>
      <c r="CW11" s="22">
        <f t="shared" si="13"/>
        <v>21.771151524751748</v>
      </c>
      <c r="CX11" s="62">
        <f t="shared" si="14"/>
        <v>288.21559596919622</v>
      </c>
      <c r="CY11" s="62">
        <f ca="1">AVERAGE(OFFSET($CX$3,0,0,'Données projet'!$E$13+1,1))-AVERAGE(OFFSET($H$3,0,0,'Données projet'!$E$13+1,1))</f>
        <v>205.21073681197737</v>
      </c>
      <c r="CZ11" s="62">
        <f t="shared" si="42"/>
        <v>175.16446313750316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6.6849999999999996</v>
      </c>
      <c r="DO11" s="13">
        <f>IF('Données projet'!$A$166&gt;35,DO10+DN11-DW10,IF(A11&lt;'Données projet'!$A$166,$DL$205^A11,IF(A11='Données projet'!$A$166,'Données projet'!$B$166,DO10+DN11-DW10)))</f>
        <v>7.0868389413573167</v>
      </c>
      <c r="DP11" s="18">
        <f>DO11*VLOOKUP('Données projet'!$B$14,Paramètres!$A$1:$I$89,3,0)*VLOOKUP('Données projet'!$B$14,Paramètres!$A$1:$I$89,5,0)</f>
        <v>5.7488437492290556</v>
      </c>
      <c r="DQ11" s="14">
        <f t="shared" si="43"/>
        <v>2.1613116727404567</v>
      </c>
      <c r="DR11" s="22">
        <f t="shared" si="16"/>
        <v>13.776854026596901</v>
      </c>
      <c r="DS11" s="62">
        <f t="shared" si="17"/>
        <v>280.22129847104134</v>
      </c>
      <c r="DT11" s="62">
        <f ca="1">AVERAGE(OFFSET($DS$3,0,0,'Données projet'!$E$14+1,1))-AVERAGE(OFFSET($H$3,0,0,'Données projet'!$E$14+1,1))</f>
        <v>223.63222290670075</v>
      </c>
      <c r="DU11" s="62">
        <f t="shared" si="44"/>
        <v>290.02663909417248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268.5021620672548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2.9666666666666668</v>
      </c>
      <c r="N12" s="14">
        <f>IF('Données projet'!$A$36&gt;35,N11+M12-V11,IF(A12&lt;'Données projet'!$A$36,$K$205^A12,IF(A12='Données projet'!$A$36,'Données projet'!$B$36,N11+M12-V11)))</f>
        <v>14.574293073631752</v>
      </c>
      <c r="O12" s="14">
        <f>N12*VLOOKUP('Données projet'!$B$9,Paramètres!$A$1:$I$89,3,0)*VLOOKUP('Données projet'!$B$9,Paramètres!$A$1:$I$89,5,0)</f>
        <v>8.715427258031788</v>
      </c>
      <c r="P12" s="14">
        <f t="shared" si="33"/>
        <v>3.1216998584718731</v>
      </c>
      <c r="Q12" s="22">
        <f t="shared" si="2"/>
        <v>20.616329727910539</v>
      </c>
      <c r="R12" s="62">
        <f t="shared" si="0"/>
        <v>288.28299639457725</v>
      </c>
      <c r="S12" s="62">
        <f ca="1">AVERAGE(OFFSET($R$3,0,0,'Données projet'!$E$9+1,1))-AVERAGE(OFFSET($H$3,0,0,'Données projet'!$E$9+1,1))</f>
        <v>192.24617268603629</v>
      </c>
      <c r="T12" s="62">
        <f t="shared" si="34"/>
        <v>192.48585280662832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4.4569000000000001</v>
      </c>
      <c r="AI12" s="14">
        <f>IF('Données projet'!$A$62&gt;35,AI11+AH12-AQ11,IF(A12&lt;'Données projet'!$A$62,$AF$205^A12,IF(A12='Données projet'!$A$62,'Données projet'!$B$62,AI11+AH12-AQ11)))</f>
        <v>30.488046692701111</v>
      </c>
      <c r="AJ12" s="14">
        <f>AI12*VLOOKUP('Données projet'!$B$10,Paramètres!$A$1:$I$89,3,0)*VLOOKUP('Données projet'!$B$10,Paramètres!$A$1:$I$89,5,0)</f>
        <v>18.231851922235265</v>
      </c>
      <c r="AK12" s="14">
        <f t="shared" si="35"/>
        <v>5.9926946091749214</v>
      </c>
      <c r="AL12" s="22">
        <f t="shared" si="4"/>
        <v>42.191085208872742</v>
      </c>
      <c r="AM12" s="62">
        <f t="shared" si="5"/>
        <v>309.85775187553941</v>
      </c>
      <c r="AN12" s="62">
        <f ca="1">AVERAGE(OFFSET($AM$3,0,0,'Données projet'!$E$10+1,1))-AVERAGE(OFFSET($H$3,0,0,'Données projet'!$E$10+1,1))</f>
        <v>164.64952352018145</v>
      </c>
      <c r="AO12" s="62">
        <f t="shared" si="36"/>
        <v>280.08682720086921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0.7466666666666667</v>
      </c>
      <c r="BD12" s="13">
        <f>IF('Données projet'!$A$88&gt;35,BD11+BC12-BL11,IF(A12&lt;'Données projet'!$A$88,$BA$205^A12,IF(A12='Données projet'!$A$88,'Données projet'!$B$88,BD11+BC12-BL11)))</f>
        <v>2.5414080749809504</v>
      </c>
      <c r="BE12" s="14">
        <f>BD12*VLOOKUP('Données projet'!$B$11,Paramètres!$A$1:$I$89,3,0)*VLOOKUP('Données projet'!$B$11,Paramètres!$A$1:$I$89,5,0)</f>
        <v>2.1408821623639529</v>
      </c>
      <c r="BF12" s="14">
        <f t="shared" si="37"/>
        <v>0.90295026721038163</v>
      </c>
      <c r="BG12" s="22">
        <f t="shared" si="7"/>
        <v>5.3013414815086328</v>
      </c>
      <c r="BH12" s="62">
        <f t="shared" si="8"/>
        <v>272.96800814817533</v>
      </c>
      <c r="BI12" s="62">
        <f ca="1">AVERAGE(OFFSET($BH$3,0,0,'Données projet'!$E$11+1,1))-AVERAGE(OFFSET($H$3,0,0,'Données projet'!$E$11+1,1))</f>
        <v>339.58585574836434</v>
      </c>
      <c r="BJ12" s="62">
        <f t="shared" si="38"/>
        <v>42.267525972379588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0.28233333333333338</v>
      </c>
      <c r="BY12" s="13">
        <f>IF('Données projet'!$A$114&gt;35,BY11+BX12-CG11,IF(A12&lt;'Données projet'!$A$114,$BV$205^A12,IF(A12='Données projet'!$A$114,'Données projet'!$B$114,BY11+BX12-CG11)))</f>
        <v>1.898300766504897</v>
      </c>
      <c r="BZ12" s="14">
        <f>BY12*VLOOKUP('Données projet'!$B$12,Paramètres!$A$1:$I$89,3,0)*VLOOKUP('Données projet'!$B$12,Paramètres!$A$1:$I$89,5,0)</f>
        <v>1.8952634852784893</v>
      </c>
      <c r="CA12" s="14">
        <f t="shared" si="39"/>
        <v>0.81077606507114086</v>
      </c>
      <c r="CB12" s="22">
        <f t="shared" si="10"/>
        <v>4.7130188835256055</v>
      </c>
      <c r="CC12" s="62">
        <f t="shared" si="11"/>
        <v>272.37968555019228</v>
      </c>
      <c r="CD12" s="62">
        <f ca="1">AVERAGE(OFFSET($CC$3,0,0,'Données projet'!$E$12+1,1))-AVERAGE(OFFSET($H$3,0,0,'Données projet'!$E$12+1,1))</f>
        <v>112.34884104798977</v>
      </c>
      <c r="CE12" s="62">
        <f t="shared" si="40"/>
        <v>18.665658139749326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4.4550000000000001</v>
      </c>
      <c r="CT12" s="13">
        <f>IF('Données projet'!$A$140&gt;35,CT11+CS12-DB11,IF(A12&lt;'Données projet'!$A$140,$CQ$205^A12,IF(A12='Données projet'!$A$140,'Données projet'!$B$140,CT11+CS12-DB11)))</f>
        <v>11.022860880121355</v>
      </c>
      <c r="CU12" s="18">
        <f>CT12*VLOOKUP('Données projet'!$B$13,Paramètres!$A$1:$I$89,3,0)*VLOOKUP('Données projet'!$B$13,Paramètres!$A$1:$I$89,5,0)</f>
        <v>12.036964081092519</v>
      </c>
      <c r="CV12" s="14">
        <f t="shared" si="41"/>
        <v>4.1523777452376418</v>
      </c>
      <c r="CW12" s="22">
        <f t="shared" si="13"/>
        <v>28.196437014191691</v>
      </c>
      <c r="CX12" s="62">
        <f t="shared" si="14"/>
        <v>295.86310368085839</v>
      </c>
      <c r="CY12" s="62">
        <f ca="1">AVERAGE(OFFSET($CX$3,0,0,'Données projet'!$E$13+1,1))-AVERAGE(OFFSET($H$3,0,0,'Données projet'!$E$13+1,1))</f>
        <v>205.21073681197737</v>
      </c>
      <c r="CZ12" s="62">
        <f t="shared" si="42"/>
        <v>175.16446313750316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6.6849999999999996</v>
      </c>
      <c r="DO12" s="13">
        <f>IF('Données projet'!$A$166&gt;35,DO11+DN12-DW11,IF(A12&lt;'Données projet'!$A$166,$DL$205^A12,IF(A12='Données projet'!$A$166,'Données projet'!$B$166,DO11+DN12-DW11)))</f>
        <v>9.0523040624860922</v>
      </c>
      <c r="DP12" s="18">
        <f>DO12*VLOOKUP('Données projet'!$B$14,Paramètres!$A$1:$I$89,3,0)*VLOOKUP('Données projet'!$B$14,Paramètres!$A$1:$I$89,5,0)</f>
        <v>7.3432290554887185</v>
      </c>
      <c r="DQ12" s="14">
        <f t="shared" si="43"/>
        <v>2.6831804723592918</v>
      </c>
      <c r="DR12" s="22">
        <f t="shared" si="16"/>
        <v>17.46266326100195</v>
      </c>
      <c r="DS12" s="62">
        <f t="shared" si="17"/>
        <v>285.12932992766866</v>
      </c>
      <c r="DT12" s="62">
        <f ca="1">AVERAGE(OFFSET($DS$3,0,0,'Données projet'!$E$14+1,1))-AVERAGE(OFFSET($H$3,0,0,'Données projet'!$E$14+1,1))</f>
        <v>223.63222290670075</v>
      </c>
      <c r="DU12" s="62">
        <f t="shared" si="44"/>
        <v>290.02663909417248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269.77283609992622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2.9666666666666668</v>
      </c>
      <c r="N13" s="14">
        <f>IF('Données projet'!$A$36&gt;35,N12+M13-V12,IF(A13&lt;'Données projet'!$A$36,$K$205^A13,IF(A13='Données projet'!$A$36,'Données projet'!$B$36,N12+M13-V12)))</f>
        <v>19.627952500048792</v>
      </c>
      <c r="O13" s="14">
        <f>N13*VLOOKUP('Données projet'!$B$9,Paramètres!$A$1:$I$89,3,0)*VLOOKUP('Données projet'!$B$9,Paramètres!$A$1:$I$89,5,0)</f>
        <v>11.73751559502918</v>
      </c>
      <c r="P13" s="14">
        <f t="shared" si="33"/>
        <v>4.0609681144558003</v>
      </c>
      <c r="Q13" s="22">
        <f t="shared" si="2"/>
        <v>27.515692460686338</v>
      </c>
      <c r="R13" s="62">
        <f t="shared" si="0"/>
        <v>296.40458134957521</v>
      </c>
      <c r="S13" s="62">
        <f ca="1">AVERAGE(OFFSET($R$3,0,0,'Données projet'!$E$9+1,1))-AVERAGE(OFFSET($H$3,0,0,'Données projet'!$E$9+1,1))</f>
        <v>192.24617268603629</v>
      </c>
      <c r="T13" s="62">
        <f t="shared" si="34"/>
        <v>192.48585280662832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44.569000000000003</v>
      </c>
      <c r="AG13" s="13">
        <f>VLOOKUP(A13,'Données projet'!$A$61:$I$81,9,0)</f>
        <v>4.4569000000000001</v>
      </c>
      <c r="AH13" s="13">
        <f t="array" ref="AH13">INDEX(AG:AG,MIN(IF(ISNUMBER(AG13:AG209),ROW(AG13:AG209),"")))</f>
        <v>4.4569000000000001</v>
      </c>
      <c r="AI13" s="14">
        <f>IF('Données projet'!$A$62&gt;35,AI12+AH13-AQ12,IF(A13&lt;'Données projet'!$A$62,$AF$205^A13,IF(A13='Données projet'!$A$62,'Données projet'!$B$62,AI12+AH13-AQ12)))</f>
        <v>44.569000000000003</v>
      </c>
      <c r="AJ13" s="14">
        <f>AI13*VLOOKUP('Données projet'!$B$10,Paramètres!$A$1:$I$89,3,0)*VLOOKUP('Données projet'!$B$10,Paramètres!$A$1:$I$89,5,0)</f>
        <v>26.652262000000004</v>
      </c>
      <c r="AK13" s="14">
        <f t="shared" si="35"/>
        <v>8.3816725974191382</v>
      </c>
      <c r="AL13" s="22">
        <f t="shared" si="4"/>
        <v>61.017436090505008</v>
      </c>
      <c r="AM13" s="62">
        <f t="shared" si="5"/>
        <v>329.90632497939384</v>
      </c>
      <c r="AN13" s="62">
        <f ca="1">AVERAGE(OFFSET($AM$3,0,0,'Données projet'!$E$10+1,1))-AVERAGE(OFFSET($H$3,0,0,'Données projet'!$E$10+1,1))</f>
        <v>164.64952352018145</v>
      </c>
      <c r="AO13" s="62">
        <f t="shared" si="36"/>
        <v>280.08682720086921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6.74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0.3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1.3690454759479114</v>
      </c>
      <c r="AX13" s="23">
        <f t="shared" si="6"/>
        <v>1.3690454759479114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0.7466666666666667</v>
      </c>
      <c r="BD13" s="13">
        <f>IF('Données projet'!$A$88&gt;35,BD12+BC13-BL12,IF(A13&lt;'Données projet'!$A$88,$BA$205^A13,IF(A13='Données projet'!$A$88,'Données projet'!$B$88,BD12+BC13-BL12)))</f>
        <v>2.8189194928259576</v>
      </c>
      <c r="BE13" s="14">
        <f>BD13*VLOOKUP('Données projet'!$B$11,Paramètres!$A$1:$I$89,3,0)*VLOOKUP('Données projet'!$B$11,Paramètres!$A$1:$I$89,5,0)</f>
        <v>2.374657780756587</v>
      </c>
      <c r="BF13" s="14">
        <f t="shared" si="37"/>
        <v>0.9895395021836817</v>
      </c>
      <c r="BG13" s="22">
        <f t="shared" si="7"/>
        <v>5.8593102677876345</v>
      </c>
      <c r="BH13" s="62">
        <f t="shared" si="8"/>
        <v>274.74819915667649</v>
      </c>
      <c r="BI13" s="62">
        <f ca="1">AVERAGE(OFFSET($BH$3,0,0,'Données projet'!$E$11+1,1))-AVERAGE(OFFSET($H$3,0,0,'Données projet'!$E$11+1,1))</f>
        <v>339.58585574836434</v>
      </c>
      <c r="BJ13" s="62">
        <f t="shared" si="38"/>
        <v>42.267525972379588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0.28233333333333338</v>
      </c>
      <c r="BY13" s="13">
        <f>IF('Données projet'!$A$114&gt;35,BY12+BX13-CG12,IF(A13&lt;'Données projet'!$A$114,$BV$205^A13,IF(A13='Données projet'!$A$114,'Données projet'!$B$114,BY12+BX13-CG12)))</f>
        <v>2.0384237471428559</v>
      </c>
      <c r="BZ13" s="14">
        <f>BY13*VLOOKUP('Données projet'!$B$12,Paramètres!$A$1:$I$89,3,0)*VLOOKUP('Données projet'!$B$12,Paramètres!$A$1:$I$89,5,0)</f>
        <v>2.0351622691474276</v>
      </c>
      <c r="CA13" s="14">
        <f t="shared" si="39"/>
        <v>0.86343605299540638</v>
      </c>
      <c r="CB13" s="22">
        <f t="shared" si="10"/>
        <v>5.0483920777321023</v>
      </c>
      <c r="CC13" s="62">
        <f t="shared" si="11"/>
        <v>273.93728096662096</v>
      </c>
      <c r="CD13" s="62">
        <f ca="1">AVERAGE(OFFSET($CC$3,0,0,'Données projet'!$E$12+1,1))-AVERAGE(OFFSET($H$3,0,0,'Données projet'!$E$12+1,1))</f>
        <v>112.34884104798977</v>
      </c>
      <c r="CE13" s="62">
        <f t="shared" si="40"/>
        <v>18.665658139749326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4.4550000000000001</v>
      </c>
      <c r="CT13" s="13">
        <f>IF('Données projet'!$A$140&gt;35,CT12+CS13-DB12,IF(A13&lt;'Données projet'!$A$140,$CQ$205^A13,IF(A13='Données projet'!$A$140,'Données projet'!$B$140,CT12+CS13-DB12)))</f>
        <v>14.391458407976526</v>
      </c>
      <c r="CU13" s="18">
        <f>CT13*VLOOKUP('Données projet'!$B$13,Paramètres!$A$1:$I$89,3,0)*VLOOKUP('Données projet'!$B$13,Paramètres!$A$1:$I$89,5,0)</f>
        <v>15.715472581510364</v>
      </c>
      <c r="CV13" s="14">
        <f t="shared" si="41"/>
        <v>5.2556567748103875</v>
      </c>
      <c r="CW13" s="22">
        <f t="shared" si="13"/>
        <v>36.524716962258644</v>
      </c>
      <c r="CX13" s="62">
        <f t="shared" si="14"/>
        <v>305.41360585114751</v>
      </c>
      <c r="CY13" s="62">
        <f ca="1">AVERAGE(OFFSET($CX$3,0,0,'Données projet'!$E$13+1,1))-AVERAGE(OFFSET($H$3,0,0,'Données projet'!$E$13+1,1))</f>
        <v>205.21073681197737</v>
      </c>
      <c r="CZ13" s="62">
        <f t="shared" si="42"/>
        <v>175.16446313750316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6.6849999999999996</v>
      </c>
      <c r="DO13" s="13">
        <f>IF('Données projet'!$A$166&gt;35,DO12+DN13-DW12,IF(A13&lt;'Données projet'!$A$166,$DL$205^A13,IF(A13='Données projet'!$A$166,'Données projet'!$B$166,DO12+DN13-DW12)))</f>
        <v>11.562871615649801</v>
      </c>
      <c r="DP13" s="18">
        <f>DO13*VLOOKUP('Données projet'!$B$14,Paramètres!$A$1:$I$89,3,0)*VLOOKUP('Données projet'!$B$14,Paramètres!$A$1:$I$89,5,0)</f>
        <v>9.3798014546151194</v>
      </c>
      <c r="DQ13" s="14">
        <f t="shared" si="43"/>
        <v>3.3310593460690496</v>
      </c>
      <c r="DR13" s="22">
        <f t="shared" si="16"/>
        <v>22.138082561191595</v>
      </c>
      <c r="DS13" s="62">
        <f t="shared" si="17"/>
        <v>291.02697145008045</v>
      </c>
      <c r="DT13" s="62">
        <f ca="1">AVERAGE(OFFSET($DS$3,0,0,'Données projet'!$E$14+1,1))-AVERAGE(OFFSET($H$3,0,0,'Données projet'!$E$14+1,1))</f>
        <v>223.63222290670075</v>
      </c>
      <c r="DU13" s="62">
        <f t="shared" si="44"/>
        <v>290.02663909417248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271.03980360576855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2.9666666666666668</v>
      </c>
      <c r="N14" s="14">
        <f>IF('Données projet'!$A$36&gt;35,N13+M14-V13,IF(A14&lt;'Données projet'!$A$36,$K$205^A14,IF(A14='Données projet'!$A$36,'Données projet'!$B$36,N13+M14-V13)))</f>
        <v>26.433976412975348</v>
      </c>
      <c r="O14" s="14">
        <f>N14*VLOOKUP('Données projet'!$B$9,Paramètres!$A$1:$I$89,3,0)*VLOOKUP('Données projet'!$B$9,Paramètres!$A$1:$I$89,5,0)</f>
        <v>15.807517894959259</v>
      </c>
      <c r="P14" s="14">
        <f t="shared" si="33"/>
        <v>5.2828467739687062</v>
      </c>
      <c r="Q14" s="22">
        <f t="shared" si="2"/>
        <v>36.732385131716207</v>
      </c>
      <c r="R14" s="62">
        <f t="shared" si="0"/>
        <v>306.84349624282737</v>
      </c>
      <c r="S14" s="62">
        <f ca="1">AVERAGE(OFFSET($R$3,0,0,'Données projet'!$E$9+1,1))-AVERAGE(OFFSET($H$3,0,0,'Données projet'!$E$9+1,1))</f>
        <v>192.24617268603629</v>
      </c>
      <c r="T14" s="62">
        <f t="shared" si="34"/>
        <v>192.48585280662832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18.130333333333333</v>
      </c>
      <c r="AI14" s="14">
        <f>IF('Données projet'!$A$62&gt;35,AI13+AH14-AQ13,IF(A14&lt;'Données projet'!$A$62,$AF$205^A14,IF(A14='Données projet'!$A$62,'Données projet'!$B$62,AI13+AH14-AQ13)))</f>
        <v>55.959333333333333</v>
      </c>
      <c r="AJ14" s="14">
        <f>AI14*VLOOKUP('Données projet'!$B$10,Paramètres!$A$1:$I$89,3,0)*VLOOKUP('Données projet'!$B$10,Paramètres!$A$1:$I$89,5,0)</f>
        <v>33.463681333333334</v>
      </c>
      <c r="AK14" s="14">
        <f t="shared" si="35"/>
        <v>10.248620227925775</v>
      </c>
      <c r="AL14" s="22">
        <f t="shared" si="4"/>
        <v>76.132258552526281</v>
      </c>
      <c r="AM14" s="62">
        <f t="shared" si="5"/>
        <v>346.2433696636374</v>
      </c>
      <c r="AN14" s="62">
        <f ca="1">AVERAGE(OFFSET($AM$3,0,0,'Données projet'!$E$10+1,1))-AVERAGE(OFFSET($H$3,0,0,'Données projet'!$E$10+1,1))</f>
        <v>164.64952352018145</v>
      </c>
      <c r="AO14" s="62">
        <f t="shared" si="36"/>
        <v>280.08682720086921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0.96806133979553266</v>
      </c>
      <c r="AX14" s="23">
        <f t="shared" si="6"/>
        <v>0.96806133979553266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0.7466666666666667</v>
      </c>
      <c r="BD14" s="13">
        <f>IF('Données projet'!$A$88&gt;35,BD13+BC14-BL13,IF(A14&lt;'Données projet'!$A$88,$BA$205^A14,IF(A14='Données projet'!$A$88,'Données projet'!$B$88,BD13+BC14-BL13)))</f>
        <v>3.1267340279831748</v>
      </c>
      <c r="BE14" s="14">
        <f>BD14*VLOOKUP('Données projet'!$B$11,Paramètres!$A$1:$I$89,3,0)*VLOOKUP('Données projet'!$B$11,Paramètres!$A$1:$I$89,5,0)</f>
        <v>2.6339607451730269</v>
      </c>
      <c r="BF14" s="14">
        <f t="shared" si="37"/>
        <v>1.0844322903930035</v>
      </c>
      <c r="BG14" s="22">
        <f t="shared" si="7"/>
        <v>6.4762012036108354</v>
      </c>
      <c r="BH14" s="62">
        <f t="shared" si="8"/>
        <v>276.587312314722</v>
      </c>
      <c r="BI14" s="62">
        <f ca="1">AVERAGE(OFFSET($BH$3,0,0,'Données projet'!$E$11+1,1))-AVERAGE(OFFSET($H$3,0,0,'Données projet'!$E$11+1,1))</f>
        <v>339.58585574836434</v>
      </c>
      <c r="BJ14" s="62">
        <f t="shared" si="38"/>
        <v>42.267525972379588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0.28233333333333338</v>
      </c>
      <c r="BY14" s="13">
        <f>IF('Données projet'!$A$114&gt;35,BY13+BX14-CG13,IF(A14&lt;'Données projet'!$A$114,$BV$205^A14,IF(A14='Données projet'!$A$114,'Données projet'!$B$114,BY13+BX14-CG13)))</f>
        <v>2.1888898989206633</v>
      </c>
      <c r="BZ14" s="14">
        <f>BY14*VLOOKUP('Données projet'!$B$12,Paramètres!$A$1:$I$89,3,0)*VLOOKUP('Données projet'!$B$12,Paramètres!$A$1:$I$89,5,0)</f>
        <v>2.1853876750823904</v>
      </c>
      <c r="CA14" s="14">
        <f t="shared" si="39"/>
        <v>0.91951631249359933</v>
      </c>
      <c r="CB14" s="22">
        <f t="shared" si="10"/>
        <v>5.4077077783615151</v>
      </c>
      <c r="CC14" s="62">
        <f t="shared" si="11"/>
        <v>275.51881888947264</v>
      </c>
      <c r="CD14" s="62">
        <f ca="1">AVERAGE(OFFSET($CC$3,0,0,'Données projet'!$E$12+1,1))-AVERAGE(OFFSET($H$3,0,0,'Données projet'!$E$12+1,1))</f>
        <v>112.34884104798977</v>
      </c>
      <c r="CE14" s="62">
        <f t="shared" si="40"/>
        <v>18.665658139749326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4.4550000000000001</v>
      </c>
      <c r="CT14" s="13">
        <f>IF('Données projet'!$A$140&gt;35,CT13+CS14-DB13,IF(A14&lt;'Données projet'!$A$140,$CQ$205^A14,IF(A14='Données projet'!$A$140,'Données projet'!$B$140,CT13+CS14-DB13)))</f>
        <v>18.789502776182918</v>
      </c>
      <c r="CU14" s="18">
        <f>CT14*VLOOKUP('Données projet'!$B$13,Paramètres!$A$1:$I$89,3,0)*VLOOKUP('Données projet'!$B$13,Paramètres!$A$1:$I$89,5,0)</f>
        <v>20.518137031591746</v>
      </c>
      <c r="CV14" s="14">
        <f t="shared" si="41"/>
        <v>6.6520749867446165</v>
      </c>
      <c r="CW14" s="22">
        <f t="shared" si="13"/>
        <v>47.321452598602491</v>
      </c>
      <c r="CX14" s="62">
        <f t="shared" si="14"/>
        <v>317.43256370971363</v>
      </c>
      <c r="CY14" s="62">
        <f ca="1">AVERAGE(OFFSET($CX$3,0,0,'Données projet'!$E$13+1,1))-AVERAGE(OFFSET($H$3,0,0,'Données projet'!$E$13+1,1))</f>
        <v>205.21073681197737</v>
      </c>
      <c r="CZ14" s="62">
        <f t="shared" si="42"/>
        <v>175.16446313750316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6.6849999999999996</v>
      </c>
      <c r="DO14" s="13">
        <f>IF('Données projet'!$A$166&gt;35,DO13+DN14-DW13,IF(A14&lt;'Données projet'!$A$166,$DL$205^A14,IF(A14='Données projet'!$A$166,'Données projet'!$B$166,DO13+DN14-DW13)))</f>
        <v>14.769720402352565</v>
      </c>
      <c r="DP14" s="18">
        <f>DO14*VLOOKUP('Données projet'!$B$14,Paramètres!$A$1:$I$89,3,0)*VLOOKUP('Données projet'!$B$14,Paramètres!$A$1:$I$89,5,0)</f>
        <v>11.981197190388402</v>
      </c>
      <c r="DQ14" s="14">
        <f t="shared" si="43"/>
        <v>4.1353745979216274</v>
      </c>
      <c r="DR14" s="22">
        <f t="shared" si="16"/>
        <v>28.069695864639964</v>
      </c>
      <c r="DS14" s="62">
        <f t="shared" si="17"/>
        <v>298.18080697575112</v>
      </c>
      <c r="DT14" s="62">
        <f ca="1">AVERAGE(OFFSET($DS$3,0,0,'Données projet'!$E$14+1,1))-AVERAGE(OFFSET($H$3,0,0,'Données projet'!$E$14+1,1))</f>
        <v>223.63222290670075</v>
      </c>
      <c r="DU14" s="62">
        <f t="shared" si="44"/>
        <v>290.02663909417248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272.30343986297339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35.6</v>
      </c>
      <c r="L15" s="13">
        <f>VLOOKUP(A15,'Données projet'!$A$35:$I$55,9,0)</f>
        <v>2.9666666666666668</v>
      </c>
      <c r="M15" s="13">
        <f t="array" ref="M15">INDEX(L:L,MIN(IF(ISNUMBER(L15:L211),ROW(L15:L211),"")))</f>
        <v>2.9666666666666668</v>
      </c>
      <c r="N15" s="14">
        <f>IF('Données projet'!$A$36&gt;35,N14+M15-V14,IF(A15&lt;'Données projet'!$A$36,$K$205^A15,IF(A15='Données projet'!$A$36,'Données projet'!$B$36,N14+M15-V14)))</f>
        <v>35.6</v>
      </c>
      <c r="O15" s="14">
        <f>N15*VLOOKUP('Données projet'!$B$9,Paramètres!$A$1:$I$89,3,0)*VLOOKUP('Données projet'!$B$9,Paramètres!$A$1:$I$89,5,0)</f>
        <v>21.288800000000002</v>
      </c>
      <c r="P15" s="14">
        <f t="shared" si="33"/>
        <v>6.8723686694032304</v>
      </c>
      <c r="Q15" s="22">
        <f t="shared" si="2"/>
        <v>49.047368765877287</v>
      </c>
      <c r="R15" s="62">
        <f t="shared" si="0"/>
        <v>320.38070209921062</v>
      </c>
      <c r="S15" s="62">
        <f ca="1">AVERAGE(OFFSET($R$3,0,0,'Données projet'!$E$9+1,1))-AVERAGE(OFFSET($H$3,0,0,'Données projet'!$E$9+1,1))</f>
        <v>192.24617268603629</v>
      </c>
      <c r="T15" s="62">
        <f t="shared" si="34"/>
        <v>192.48585280662832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2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18.130333333333333</v>
      </c>
      <c r="AI15" s="14">
        <f>IF('Données projet'!$A$62&gt;35,AI14+AH15-AQ14,IF(A15&lt;'Données projet'!$A$62,$AF$205^A15,IF(A15='Données projet'!$A$62,'Données projet'!$B$62,AI14+AH15-AQ14)))</f>
        <v>74.089666666666659</v>
      </c>
      <c r="AJ15" s="14">
        <f>AI15*VLOOKUP('Données projet'!$B$10,Paramètres!$A$1:$I$89,3,0)*VLOOKUP('Données projet'!$B$10,Paramètres!$A$1:$I$89,5,0)</f>
        <v>44.30562066666667</v>
      </c>
      <c r="AK15" s="14">
        <f t="shared" si="35"/>
        <v>13.132973940943836</v>
      </c>
      <c r="AL15" s="22">
        <f t="shared" si="4"/>
        <v>100.03888560825494</v>
      </c>
      <c r="AM15" s="62">
        <f t="shared" si="5"/>
        <v>371.37221894158824</v>
      </c>
      <c r="AN15" s="62">
        <f ca="1">AVERAGE(OFFSET($AM$3,0,0,'Données projet'!$E$10+1,1))-AVERAGE(OFFSET($H$3,0,0,'Données projet'!$E$10+1,1))</f>
        <v>164.64952352018145</v>
      </c>
      <c r="AO15" s="62">
        <f t="shared" si="36"/>
        <v>280.08682720086921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0.6845227379739558</v>
      </c>
      <c r="AX15" s="23">
        <f t="shared" si="6"/>
        <v>0.6845227379739558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0.7466666666666667</v>
      </c>
      <c r="BD15" s="13">
        <f>IF('Données projet'!$A$88&gt;35,BD14+BC15-BL14,IF(A15&lt;'Données projet'!$A$88,$BA$205^A15,IF(A15='Données projet'!$A$88,'Données projet'!$B$88,BD14+BC15-BL14)))</f>
        <v>3.468160657524495</v>
      </c>
      <c r="BE15" s="14">
        <f>BD15*VLOOKUP('Données projet'!$B$11,Paramètres!$A$1:$I$89,3,0)*VLOOKUP('Données projet'!$B$11,Paramètres!$A$1:$I$89,5,0)</f>
        <v>2.9215785378986348</v>
      </c>
      <c r="BF15" s="14">
        <f t="shared" si="37"/>
        <v>1.1884249086083711</v>
      </c>
      <c r="BG15" s="22">
        <f t="shared" si="7"/>
        <v>7.1582560026663691</v>
      </c>
      <c r="BH15" s="62">
        <f t="shared" si="8"/>
        <v>278.49158933599966</v>
      </c>
      <c r="BI15" s="62">
        <f ca="1">AVERAGE(OFFSET($BH$3,0,0,'Données projet'!$E$11+1,1))-AVERAGE(OFFSET($H$3,0,0,'Données projet'!$E$11+1,1))</f>
        <v>339.58585574836434</v>
      </c>
      <c r="BJ15" s="62">
        <f t="shared" si="38"/>
        <v>42.267525972379588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0.28233333333333338</v>
      </c>
      <c r="BY15" s="13">
        <f>IF('Données projet'!$A$114&gt;35,BY14+BX15-CG14,IF(A15&lt;'Données projet'!$A$114,$BV$205^A15,IF(A15='Données projet'!$A$114,'Données projet'!$B$114,BY14+BX15-CG14)))</f>
        <v>2.3504627025232225</v>
      </c>
      <c r="BZ15" s="14">
        <f>BY15*VLOOKUP('Données projet'!$B$12,Paramètres!$A$1:$I$89,3,0)*VLOOKUP('Données projet'!$B$12,Paramètres!$A$1:$I$89,5,0)</f>
        <v>2.3467019621991856</v>
      </c>
      <c r="CA15" s="14">
        <f t="shared" si="39"/>
        <v>0.97923899055246533</v>
      </c>
      <c r="CB15" s="22">
        <f t="shared" si="10"/>
        <v>5.7926804927091249</v>
      </c>
      <c r="CC15" s="62">
        <f t="shared" si="11"/>
        <v>277.12601382604242</v>
      </c>
      <c r="CD15" s="62">
        <f ca="1">AVERAGE(OFFSET($CC$3,0,0,'Données projet'!$E$12+1,1))-AVERAGE(OFFSET($H$3,0,0,'Données projet'!$E$12+1,1))</f>
        <v>112.34884104798977</v>
      </c>
      <c r="CE15" s="62">
        <f t="shared" si="40"/>
        <v>18.665658139749326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4.4550000000000001</v>
      </c>
      <c r="CT15" s="13">
        <f>IF('Données projet'!$A$140&gt;35,CT14+CS15-DB14,IF(A15&lt;'Données projet'!$A$140,$CQ$205^A15,IF(A15='Données projet'!$A$140,'Données projet'!$B$140,CT14+CS15-DB14)))</f>
        <v>24.531593989147659</v>
      </c>
      <c r="CU15" s="18">
        <f>CT15*VLOOKUP('Données projet'!$B$13,Paramètres!$A$1:$I$89,3,0)*VLOOKUP('Données projet'!$B$13,Paramètres!$A$1:$I$89,5,0)</f>
        <v>26.788500636149244</v>
      </c>
      <c r="CV15" s="14">
        <f t="shared" si="41"/>
        <v>8.4195189155726116</v>
      </c>
      <c r="CW15" s="22">
        <f t="shared" si="13"/>
        <v>61.320634052582228</v>
      </c>
      <c r="CX15" s="62">
        <f t="shared" si="14"/>
        <v>332.65396738591556</v>
      </c>
      <c r="CY15" s="62">
        <f ca="1">AVERAGE(OFFSET($CX$3,0,0,'Données projet'!$E$13+1,1))-AVERAGE(OFFSET($H$3,0,0,'Données projet'!$E$13+1,1))</f>
        <v>205.21073681197737</v>
      </c>
      <c r="CZ15" s="62">
        <f t="shared" si="42"/>
        <v>175.16446313750316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6.6849999999999996</v>
      </c>
      <c r="DO15" s="13">
        <f>IF('Données projet'!$A$166&gt;35,DO14+DN15-DW14,IF(A15&lt;'Données projet'!$A$166,$DL$205^A15,IF(A15='Données projet'!$A$166,'Données projet'!$B$166,DO14+DN15-DW14)))</f>
        <v>18.865957178701279</v>
      </c>
      <c r="DP15" s="18">
        <f>DO15*VLOOKUP('Données projet'!$B$14,Paramètres!$A$1:$I$89,3,0)*VLOOKUP('Données projet'!$B$14,Paramètres!$A$1:$I$89,5,0)</f>
        <v>15.304064463362478</v>
      </c>
      <c r="DQ15" s="14">
        <f t="shared" si="43"/>
        <v>5.1338992459910875</v>
      </c>
      <c r="DR15" s="22">
        <f t="shared" si="16"/>
        <v>35.596120127124117</v>
      </c>
      <c r="DS15" s="62">
        <f t="shared" si="17"/>
        <v>306.92945346045741</v>
      </c>
      <c r="DT15" s="62">
        <f ca="1">AVERAGE(OFFSET($DS$3,0,0,'Données projet'!$E$14+1,1))-AVERAGE(OFFSET($H$3,0,0,'Données projet'!$E$14+1,1))</f>
        <v>223.63222290670075</v>
      </c>
      <c r="DU15" s="62">
        <f t="shared" si="44"/>
        <v>290.02663909417248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273.56405403670931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8.1749999999999989</v>
      </c>
      <c r="N16" s="14">
        <f>IF('Données projet'!$A$36&gt;35,N15+M16-V15,IF(A16&lt;'Données projet'!$A$36,$K$205^A16,IF(A16='Données projet'!$A$36,'Données projet'!$B$36,N15+M16-V15)))</f>
        <v>41.774999999999999</v>
      </c>
      <c r="O16" s="14">
        <f>N16*VLOOKUP('Données projet'!$B$9,Paramètres!$A$1:$I$89,3,0)*VLOOKUP('Données projet'!$B$9,Paramètres!$A$1:$I$89,5,0)</f>
        <v>24.981450000000002</v>
      </c>
      <c r="P16" s="14">
        <f t="shared" si="33"/>
        <v>7.9156578505932513</v>
      </c>
      <c r="Q16" s="22">
        <f t="shared" si="2"/>
        <v>57.295796173116578</v>
      </c>
      <c r="R16" s="62">
        <f t="shared" si="0"/>
        <v>329.85135172867211</v>
      </c>
      <c r="S16" s="62">
        <f ca="1">AVERAGE(OFFSET($R$3,0,0,'Données projet'!$E$9+1,1))-AVERAGE(OFFSET($H$3,0,0,'Données projet'!$E$9+1,1))</f>
        <v>192.24617268603629</v>
      </c>
      <c r="T16" s="62">
        <f t="shared" si="34"/>
        <v>192.48585280662832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92.22</v>
      </c>
      <c r="AG16" s="13">
        <f>VLOOKUP(A16,'Données projet'!$A$61:$I$81,9,0)</f>
        <v>18.130333333333333</v>
      </c>
      <c r="AH16" s="13">
        <f t="array" ref="AH16">INDEX(AG:AG,MIN(IF(ISNUMBER(AG16:AG212),ROW(AG16:AG212),"")))</f>
        <v>18.130333333333333</v>
      </c>
      <c r="AI16" s="14">
        <f>IF('Données projet'!$A$62&gt;35,AI15+AH16-AQ15,IF(A16&lt;'Données projet'!$A$62,$AF$205^A16,IF(A16='Données projet'!$A$62,'Données projet'!$B$62,AI15+AH16-AQ15)))</f>
        <v>92.22</v>
      </c>
      <c r="AJ16" s="14">
        <f>AI16*VLOOKUP('Données projet'!$B$10,Paramètres!$A$1:$I$89,3,0)*VLOOKUP('Données projet'!$B$10,Paramètres!$A$1:$I$89,5,0)</f>
        <v>55.147559999999999</v>
      </c>
      <c r="AK16" s="14">
        <f t="shared" si="35"/>
        <v>15.935463694122934</v>
      </c>
      <c r="AL16" s="22">
        <f t="shared" si="4"/>
        <v>123.80293293393078</v>
      </c>
      <c r="AM16" s="62">
        <f t="shared" si="5"/>
        <v>396.35848848948632</v>
      </c>
      <c r="AN16" s="62">
        <f ca="1">AVERAGE(OFFSET($AM$3,0,0,'Données projet'!$E$10+1,1))-AVERAGE(OFFSET($H$3,0,0,'Données projet'!$E$10+1,1))</f>
        <v>164.64952352018145</v>
      </c>
      <c r="AO16" s="62">
        <f t="shared" si="36"/>
        <v>280.08682720086921</v>
      </c>
      <c r="AP16" s="16">
        <f>IF(ISNA(VLOOKUP(A16,'Données projet'!$A$61:$I$81,3,0)),0,VLOOKUP(A16,'Données projet'!$A$61:$I$81,3,0))</f>
        <v>2</v>
      </c>
      <c r="AQ16" s="16">
        <f>IF(ISNA(VLOOKUP(A16,'Données projet'!$A$61:$I$81,4,0)),0,VLOOKUP(A16,'Données projet'!$A$61:$I$81,4,0))</f>
        <v>7.21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0.3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1.9485437087085142</v>
      </c>
      <c r="AX16" s="23">
        <f t="shared" si="6"/>
        <v>1.9485437087085142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0.7466666666666667</v>
      </c>
      <c r="BD16" s="13">
        <f>IF('Données projet'!$A$88&gt;35,BD15+BC16-BL15,IF(A16&lt;'Données projet'!$A$88,$BA$205^A16,IF(A16='Données projet'!$A$88,'Données projet'!$B$88,BD15+BC16-BL15)))</f>
        <v>3.8468696853499882</v>
      </c>
      <c r="BE16" s="14">
        <f>BD16*VLOOKUP('Données projet'!$B$11,Paramètres!$A$1:$I$89,3,0)*VLOOKUP('Données projet'!$B$11,Paramètres!$A$1:$I$89,5,0)</f>
        <v>3.2406030229388305</v>
      </c>
      <c r="BF16" s="14">
        <f t="shared" si="37"/>
        <v>1.302389993283003</v>
      </c>
      <c r="BG16" s="22">
        <f t="shared" si="7"/>
        <v>7.9123795032530273</v>
      </c>
      <c r="BH16" s="62">
        <f t="shared" si="8"/>
        <v>280.46793505880856</v>
      </c>
      <c r="BI16" s="62">
        <f ca="1">AVERAGE(OFFSET($BH$3,0,0,'Données projet'!$E$11+1,1))-AVERAGE(OFFSET($H$3,0,0,'Données projet'!$E$11+1,1))</f>
        <v>339.58585574836434</v>
      </c>
      <c r="BJ16" s="62">
        <f t="shared" si="38"/>
        <v>42.267525972379588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0.28233333333333338</v>
      </c>
      <c r="BY16" s="13">
        <f>IF('Données projet'!$A$114&gt;35,BY15+BX16-CG15,IF(A16&lt;'Données projet'!$A$114,$BV$205^A16,IF(A16='Données projet'!$A$114,'Données projet'!$B$114,BY15+BX16-CG15)))</f>
        <v>2.5239619949258194</v>
      </c>
      <c r="BZ16" s="14">
        <f>BY16*VLOOKUP('Données projet'!$B$12,Paramètres!$A$1:$I$89,3,0)*VLOOKUP('Données projet'!$B$12,Paramètres!$A$1:$I$89,5,0)</f>
        <v>2.5199236557339382</v>
      </c>
      <c r="CA16" s="14">
        <f t="shared" si="39"/>
        <v>1.0428406626281428</v>
      </c>
      <c r="CB16" s="22">
        <f t="shared" si="10"/>
        <v>6.2051478544806242</v>
      </c>
      <c r="CC16" s="62">
        <f t="shared" si="11"/>
        <v>278.76070341003617</v>
      </c>
      <c r="CD16" s="62">
        <f ca="1">AVERAGE(OFFSET($CC$3,0,0,'Données projet'!$E$12+1,1))-AVERAGE(OFFSET($H$3,0,0,'Données projet'!$E$12+1,1))</f>
        <v>112.34884104798977</v>
      </c>
      <c r="CE16" s="62">
        <f t="shared" si="40"/>
        <v>18.665658139749326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4.4550000000000001</v>
      </c>
      <c r="CT16" s="13">
        <f>IF('Données projet'!$A$140&gt;35,CT15+CS16-DB15,IF(A16&lt;'Données projet'!$A$140,$CQ$205^A16,IF(A16='Données projet'!$A$140,'Données projet'!$B$140,CT15+CS16-DB15)))</f>
        <v>32.028474133504503</v>
      </c>
      <c r="CU16" s="18">
        <f>CT16*VLOOKUP('Données projet'!$B$13,Paramètres!$A$1:$I$89,3,0)*VLOOKUP('Données projet'!$B$13,Paramètres!$A$1:$I$89,5,0)</f>
        <v>34.975093753786915</v>
      </c>
      <c r="CV16" s="14">
        <f t="shared" si="41"/>
        <v>10.656569402921924</v>
      </c>
      <c r="CW16" s="22">
        <f t="shared" si="13"/>
        <v>79.475146664601226</v>
      </c>
      <c r="CX16" s="62">
        <f t="shared" si="14"/>
        <v>352.03070222015674</v>
      </c>
      <c r="CY16" s="62">
        <f ca="1">AVERAGE(OFFSET($CX$3,0,0,'Données projet'!$E$13+1,1))-AVERAGE(OFFSET($H$3,0,0,'Données projet'!$E$13+1,1))</f>
        <v>205.21073681197737</v>
      </c>
      <c r="CZ16" s="62">
        <f t="shared" si="42"/>
        <v>175.16446313750316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6.6849999999999996</v>
      </c>
      <c r="DO16" s="13">
        <f>IF('Données projet'!$A$166&gt;35,DO15+DN16-DW15,IF(A16&lt;'Données projet'!$A$166,$DL$205^A16,IF(A16='Données projet'!$A$166,'Données projet'!$B$166,DO15+DN16-DW15)))</f>
        <v>24.098244961488753</v>
      </c>
      <c r="DP16" s="18">
        <f>DO16*VLOOKUP('Données projet'!$B$14,Paramètres!$A$1:$I$89,3,0)*VLOOKUP('Données projet'!$B$14,Paramètres!$A$1:$I$89,5,0)</f>
        <v>19.548496312759678</v>
      </c>
      <c r="DQ16" s="14">
        <f t="shared" si="43"/>
        <v>6.3735269547852864</v>
      </c>
      <c r="DR16" s="22">
        <f t="shared" si="16"/>
        <v>45.147523857640813</v>
      </c>
      <c r="DS16" s="62">
        <f t="shared" si="17"/>
        <v>317.70307941319635</v>
      </c>
      <c r="DT16" s="62">
        <f ca="1">AVERAGE(OFFSET($DS$3,0,0,'Données projet'!$E$14+1,1))-AVERAGE(OFFSET($H$3,0,0,'Données projet'!$E$14+1,1))</f>
        <v>223.63222290670075</v>
      </c>
      <c r="DU16" s="62">
        <f t="shared" si="44"/>
        <v>290.02663909417248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274.82190502633887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8.1749999999999989</v>
      </c>
      <c r="N17" s="14">
        <f>IF('Données projet'!$A$36&gt;35,N16+M17-V16,IF(A17&lt;'Données projet'!$A$36,$K$205^A17,IF(A17='Données projet'!$A$36,'Données projet'!$B$36,N16+M17-V16)))</f>
        <v>49.949999999999996</v>
      </c>
      <c r="O17" s="14">
        <f>N17*VLOOKUP('Données projet'!$B$9,Paramètres!$A$1:$I$89,3,0)*VLOOKUP('Données projet'!$B$9,Paramètres!$A$1:$I$89,5,0)</f>
        <v>29.870100000000001</v>
      </c>
      <c r="P17" s="14">
        <f t="shared" si="33"/>
        <v>9.2698176757802067</v>
      </c>
      <c r="Q17" s="22">
        <f t="shared" si="2"/>
        <v>68.168689951983865</v>
      </c>
      <c r="R17" s="62">
        <f t="shared" si="0"/>
        <v>341.94646772976165</v>
      </c>
      <c r="S17" s="62">
        <f ca="1">AVERAGE(OFFSET($R$3,0,0,'Données projet'!$E$9+1,1))-AVERAGE(OFFSET($H$3,0,0,'Données projet'!$E$9+1,1))</f>
        <v>192.24617268603629</v>
      </c>
      <c r="T17" s="62">
        <f t="shared" si="34"/>
        <v>192.48585280662832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9.6382857142857148</v>
      </c>
      <c r="AI17" s="14">
        <f>IF('Données projet'!$A$62&gt;35,AI16+AH17-AQ16,IF(A17&lt;'Données projet'!$A$62,$AF$205^A17,IF(A17='Données projet'!$A$62,'Données projet'!$B$62,AI16+AH17-AQ16)))</f>
        <v>94.64828571428572</v>
      </c>
      <c r="AJ17" s="14">
        <f>AI17*VLOOKUP('Données projet'!$B$10,Paramètres!$A$1:$I$89,3,0)*VLOOKUP('Données projet'!$B$10,Paramètres!$A$1:$I$89,5,0)</f>
        <v>56.599674857142872</v>
      </c>
      <c r="AK17" s="14">
        <f t="shared" si="35"/>
        <v>16.305662879713452</v>
      </c>
      <c r="AL17" s="22">
        <f t="shared" si="4"/>
        <v>126.97679655835809</v>
      </c>
      <c r="AM17" s="62">
        <f t="shared" si="5"/>
        <v>400.75457433613587</v>
      </c>
      <c r="AN17" s="62">
        <f ca="1">AVERAGE(OFFSET($AM$3,0,0,'Données projet'!$E$10+1,1))-AVERAGE(OFFSET($H$3,0,0,'Données projet'!$E$10+1,1))</f>
        <v>164.64952352018145</v>
      </c>
      <c r="AO17" s="62">
        <f t="shared" si="36"/>
        <v>280.08682720086921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1.3778284698661754</v>
      </c>
      <c r="AX17" s="23">
        <f t="shared" si="6"/>
        <v>1.3778284698661754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0.7466666666666667</v>
      </c>
      <c r="BD17" s="13">
        <f>IF('Données projet'!$A$88&gt;35,BD16+BC17-BL16,IF(A17&lt;'Données projet'!$A$88,$BA$205^A17,IF(A17='Données projet'!$A$88,'Données projet'!$B$88,BD16+BC17-BL16)))</f>
        <v>4.2669321976068808</v>
      </c>
      <c r="BE17" s="14">
        <f>BD17*VLOOKUP('Données projet'!$B$11,Paramètres!$A$1:$I$89,3,0)*VLOOKUP('Données projet'!$B$11,Paramètres!$A$1:$I$89,5,0)</f>
        <v>3.5944636832640371</v>
      </c>
      <c r="BF17" s="14">
        <f t="shared" si="37"/>
        <v>1.4272838631343991</v>
      </c>
      <c r="BG17" s="22">
        <f t="shared" si="7"/>
        <v>8.7462103099772772</v>
      </c>
      <c r="BH17" s="62">
        <f t="shared" si="8"/>
        <v>282.52398808775507</v>
      </c>
      <c r="BI17" s="62">
        <f ca="1">AVERAGE(OFFSET($BH$3,0,0,'Données projet'!$E$11+1,1))-AVERAGE(OFFSET($H$3,0,0,'Données projet'!$E$11+1,1))</f>
        <v>339.58585574836434</v>
      </c>
      <c r="BJ17" s="62">
        <f t="shared" si="38"/>
        <v>42.267525972379588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0.28233333333333338</v>
      </c>
      <c r="BY17" s="13">
        <f>IF('Données projet'!$A$114&gt;35,BY16+BX17-CG16,IF(A17&lt;'Données projet'!$A$114,$BV$205^A17,IF(A17='Données projet'!$A$114,'Données projet'!$B$114,BY16+BX17-CG16)))</f>
        <v>2.7102681293310082</v>
      </c>
      <c r="BZ17" s="14">
        <f>BY17*VLOOKUP('Données projet'!$B$12,Paramètres!$A$1:$I$89,3,0)*VLOOKUP('Données projet'!$B$12,Paramètres!$A$1:$I$89,5,0)</f>
        <v>2.7059317003240788</v>
      </c>
      <c r="CA17" s="14">
        <f t="shared" si="39"/>
        <v>1.1105732697767177</v>
      </c>
      <c r="CB17" s="22">
        <f t="shared" si="10"/>
        <v>6.6470794895922198</v>
      </c>
      <c r="CC17" s="62">
        <f t="shared" si="11"/>
        <v>280.42485726736999</v>
      </c>
      <c r="CD17" s="62">
        <f ca="1">AVERAGE(OFFSET($CC$3,0,0,'Données projet'!$E$12+1,1))-AVERAGE(OFFSET($H$3,0,0,'Données projet'!$E$12+1,1))</f>
        <v>112.34884104798977</v>
      </c>
      <c r="CE17" s="62">
        <f t="shared" si="40"/>
        <v>18.665658139749326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4.4550000000000001</v>
      </c>
      <c r="CT17" s="13">
        <f>IF('Données projet'!$A$140&gt;35,CT16+CS17-DB16,IF(A17&lt;'Données projet'!$A$140,$CQ$205^A17,IF(A17='Données projet'!$A$140,'Données projet'!$B$140,CT16+CS17-DB16)))</f>
        <v>41.816408496503442</v>
      </c>
      <c r="CU17" s="18">
        <f>CT17*VLOOKUP('Données projet'!$B$13,Paramètres!$A$1:$I$89,3,0)*VLOOKUP('Données projet'!$B$13,Paramètres!$A$1:$I$89,5,0)</f>
        <v>45.663518078181752</v>
      </c>
      <c r="CV17" s="14">
        <f t="shared" si="41"/>
        <v>13.488000036349865</v>
      </c>
      <c r="CW17" s="22">
        <f t="shared" si="13"/>
        <v>103.02222738280922</v>
      </c>
      <c r="CX17" s="62">
        <f t="shared" si="14"/>
        <v>376.80000516058698</v>
      </c>
      <c r="CY17" s="62">
        <f ca="1">AVERAGE(OFFSET($CX$3,0,0,'Données projet'!$E$13+1,1))-AVERAGE(OFFSET($H$3,0,0,'Données projet'!$E$13+1,1))</f>
        <v>205.21073681197737</v>
      </c>
      <c r="CZ17" s="62">
        <f t="shared" si="42"/>
        <v>175.16446313750316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6.6849999999999996</v>
      </c>
      <c r="DO17" s="13">
        <f>IF('Données projet'!$A$166&gt;35,DO16+DN17-DW16,IF(A17&lt;'Données projet'!$A$166,$DL$205^A17,IF(A17='Données projet'!$A$166,'Données projet'!$B$166,DO16+DN17-DW16)))</f>
        <v>30.781656330669929</v>
      </c>
      <c r="DP17" s="18">
        <f>DO17*VLOOKUP('Données projet'!$B$14,Paramètres!$A$1:$I$89,3,0)*VLOOKUP('Données projet'!$B$14,Paramètres!$A$1:$I$89,5,0)</f>
        <v>24.970079615439445</v>
      </c>
      <c r="DQ17" s="14">
        <f t="shared" si="43"/>
        <v>7.9124743001325957</v>
      </c>
      <c r="DR17" s="22">
        <f t="shared" si="16"/>
        <v>57.270448069621295</v>
      </c>
      <c r="DS17" s="62">
        <f t="shared" si="17"/>
        <v>331.04822584739907</v>
      </c>
      <c r="DT17" s="62">
        <f ca="1">AVERAGE(OFFSET($DS$3,0,0,'Données projet'!$E$14+1,1))-AVERAGE(OFFSET($H$3,0,0,'Données projet'!$E$14+1,1))</f>
        <v>223.63222290670075</v>
      </c>
      <c r="DU17" s="62">
        <f t="shared" si="44"/>
        <v>290.02663909417248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276.07721264982155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8.1749999999999989</v>
      </c>
      <c r="N18" s="14">
        <f>IF('Données projet'!$A$36&gt;35,N17+M18-V17,IF(A18&lt;'Données projet'!$A$36,$K$205^A18,IF(A18='Données projet'!$A$36,'Données projet'!$B$36,N17+M18-V17)))</f>
        <v>58.124999999999993</v>
      </c>
      <c r="O18" s="14">
        <f>N18*VLOOKUP('Données projet'!$B$9,Paramètres!$A$1:$I$89,3,0)*VLOOKUP('Données projet'!$B$9,Paramètres!$A$1:$I$89,5,0)</f>
        <v>34.758749999999999</v>
      </c>
      <c r="P18" s="14">
        <f t="shared" si="33"/>
        <v>10.598303392867599</v>
      </c>
      <c r="Q18" s="22">
        <f t="shared" si="2"/>
        <v>78.996867992577734</v>
      </c>
      <c r="R18" s="62">
        <f t="shared" si="0"/>
        <v>353.99686799257773</v>
      </c>
      <c r="S18" s="62">
        <f ca="1">AVERAGE(OFFSET($R$3,0,0,'Données projet'!$E$9+1,1))-AVERAGE(OFFSET($H$3,0,0,'Données projet'!$E$9+1,1))</f>
        <v>192.24617268603629</v>
      </c>
      <c r="T18" s="62">
        <f t="shared" si="34"/>
        <v>192.48585280662832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9.6382857142857148</v>
      </c>
      <c r="AI18" s="14">
        <f>IF('Données projet'!$A$62&gt;35,AI17+AH18-AQ17,IF(A18&lt;'Données projet'!$A$62,$AF$205^A18,IF(A18='Données projet'!$A$62,'Données projet'!$B$62,AI17+AH18-AQ17)))</f>
        <v>104.28657142857143</v>
      </c>
      <c r="AJ18" s="14">
        <f>AI18*VLOOKUP('Données projet'!$B$10,Paramètres!$A$1:$I$89,3,0)*VLOOKUP('Données projet'!$B$10,Paramètres!$A$1:$I$89,5,0)</f>
        <v>62.363369714285724</v>
      </c>
      <c r="AK18" s="14">
        <f t="shared" si="35"/>
        <v>17.76445286966322</v>
      </c>
      <c r="AL18" s="22">
        <f t="shared" si="4"/>
        <v>139.5559576670444</v>
      </c>
      <c r="AM18" s="62">
        <f t="shared" si="5"/>
        <v>414.55595766704437</v>
      </c>
      <c r="AN18" s="62">
        <f ca="1">AVERAGE(OFFSET($AM$3,0,0,'Données projet'!$E$10+1,1))-AVERAGE(OFFSET($H$3,0,0,'Données projet'!$E$10+1,1))</f>
        <v>164.64952352018145</v>
      </c>
      <c r="AO18" s="62">
        <f t="shared" si="36"/>
        <v>280.08682720086921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0.97427185435425734</v>
      </c>
      <c r="AX18" s="23">
        <f t="shared" si="6"/>
        <v>0.97427185435425734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0.7466666666666667</v>
      </c>
      <c r="BD18" s="13">
        <f>IF('Données projet'!$A$88&gt;35,BD17+BC18-BL17,IF(A18&lt;'Données projet'!$A$88,$BA$205^A18,IF(A18='Données projet'!$A$88,'Données projet'!$B$88,BD17+BC18-BL17)))</f>
        <v>4.7328638264796945</v>
      </c>
      <c r="BE18" s="14">
        <f>BD18*VLOOKUP('Données projet'!$B$11,Paramètres!$A$1:$I$89,3,0)*VLOOKUP('Données projet'!$B$11,Paramètres!$A$1:$I$89,5,0)</f>
        <v>3.9869644874264947</v>
      </c>
      <c r="BF18" s="14">
        <f t="shared" si="37"/>
        <v>1.5641545439309845</v>
      </c>
      <c r="BG18" s="22">
        <f t="shared" si="7"/>
        <v>9.6681989796142762</v>
      </c>
      <c r="BH18" s="62">
        <f t="shared" si="8"/>
        <v>284.66819897961426</v>
      </c>
      <c r="BI18" s="62">
        <f ca="1">AVERAGE(OFFSET($BH$3,0,0,'Données projet'!$E$11+1,1))-AVERAGE(OFFSET($H$3,0,0,'Données projet'!$E$11+1,1))</f>
        <v>339.58585574836434</v>
      </c>
      <c r="BJ18" s="62">
        <f t="shared" si="38"/>
        <v>42.267525972379588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0.28233333333333338</v>
      </c>
      <c r="BY18" s="13">
        <f>IF('Données projet'!$A$114&gt;35,BY17+BX18-CG17,IF(A18&lt;'Données projet'!$A$114,$BV$205^A18,IF(A18='Données projet'!$A$114,'Données projet'!$B$114,BY17+BX18-CG17)))</f>
        <v>2.9103264421710491</v>
      </c>
      <c r="BZ18" s="14">
        <f>BY18*VLOOKUP('Données projet'!$B$12,Paramètres!$A$1:$I$89,3,0)*VLOOKUP('Données projet'!$B$12,Paramètres!$A$1:$I$89,5,0)</f>
        <v>2.9056699198635756</v>
      </c>
      <c r="CA18" s="14">
        <f t="shared" si="39"/>
        <v>1.1827051166515048</v>
      </c>
      <c r="CB18" s="22">
        <f t="shared" si="10"/>
        <v>7.1205865219304307</v>
      </c>
      <c r="CC18" s="62">
        <f t="shared" si="11"/>
        <v>282.12058652193042</v>
      </c>
      <c r="CD18" s="62">
        <f ca="1">AVERAGE(OFFSET($CC$3,0,0,'Données projet'!$E$12+1,1))-AVERAGE(OFFSET($H$3,0,0,'Données projet'!$E$12+1,1))</f>
        <v>112.34884104798977</v>
      </c>
      <c r="CE18" s="62">
        <f t="shared" si="40"/>
        <v>18.665658139749326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4.4550000000000001</v>
      </c>
      <c r="CT18" s="13">
        <f>IF('Données projet'!$A$140&gt;35,CT17+CS18-DB17,IF(A18&lt;'Données projet'!$A$140,$CQ$205^A18,IF(A18='Données projet'!$A$140,'Données projet'!$B$140,CT17+CS18-DB17)))</f>
        <v>54.595545584147864</v>
      </c>
      <c r="CU18" s="18">
        <f>CT18*VLOOKUP('Données projet'!$B$13,Paramètres!$A$1:$I$89,3,0)*VLOOKUP('Données projet'!$B$13,Paramètres!$A$1:$I$89,5,0)</f>
        <v>59.618335777889463</v>
      </c>
      <c r="CV18" s="14">
        <f t="shared" si="41"/>
        <v>17.071736513130745</v>
      </c>
      <c r="CW18" s="22">
        <f t="shared" si="13"/>
        <v>133.56854257352688</v>
      </c>
      <c r="CX18" s="62">
        <f t="shared" si="14"/>
        <v>408.56854257352688</v>
      </c>
      <c r="CY18" s="62">
        <f ca="1">AVERAGE(OFFSET($CX$3,0,0,'Données projet'!$E$13+1,1))-AVERAGE(OFFSET($H$3,0,0,'Données projet'!$E$13+1,1))</f>
        <v>205.21073681197737</v>
      </c>
      <c r="CZ18" s="62">
        <f t="shared" si="42"/>
        <v>175.16446313750316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6.6849999999999996</v>
      </c>
      <c r="DO18" s="13">
        <f>IF('Données projet'!$A$166&gt;35,DO17+DN18-DW17,IF(A18&lt;'Données projet'!$A$166,$DL$205^A18,IF(A18='Données projet'!$A$166,'Données projet'!$B$166,DO17+DN18-DW17)))</f>
        <v>39.318646149281086</v>
      </c>
      <c r="DP18" s="18">
        <f>DO18*VLOOKUP('Données projet'!$B$14,Paramètres!$A$1:$I$89,3,0)*VLOOKUP('Données projet'!$B$14,Paramètres!$A$1:$I$89,5,0)</f>
        <v>31.895285756296822</v>
      </c>
      <c r="DQ18" s="14">
        <f t="shared" si="43"/>
        <v>9.8230147914025672</v>
      </c>
      <c r="DR18" s="22">
        <f t="shared" si="16"/>
        <v>72.659373453909765</v>
      </c>
      <c r="DS18" s="62">
        <f t="shared" si="17"/>
        <v>347.65937345390978</v>
      </c>
      <c r="DT18" s="62">
        <f ca="1">AVERAGE(OFFSET($DS$3,0,0,'Données projet'!$E$14+1,1))-AVERAGE(OFFSET($H$3,0,0,'Données projet'!$E$14+1,1))</f>
        <v>223.63222290670075</v>
      </c>
      <c r="DU18" s="62">
        <f t="shared" si="44"/>
        <v>290.02663909417248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277.33016575790663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66.3</v>
      </c>
      <c r="L19" s="13">
        <f>VLOOKUP(A19,'Données projet'!$A$35:$I$55,9,0)</f>
        <v>8.1749999999999989</v>
      </c>
      <c r="M19" s="13">
        <f t="array" ref="M19">INDEX(L:L,MIN(IF(ISNUMBER(L19:L215),ROW(L19:L215),"")))</f>
        <v>8.1749999999999989</v>
      </c>
      <c r="N19" s="14">
        <f>IF('Données projet'!$A$36&gt;35,N18+M19-V18,IF(A19&lt;'Données projet'!$A$36,$K$205^A19,IF(A19='Données projet'!$A$36,'Données projet'!$B$36,N18+M19-V18)))</f>
        <v>66.3</v>
      </c>
      <c r="O19" s="14">
        <f>N19*VLOOKUP('Données projet'!$B$9,Paramètres!$A$1:$I$89,3,0)*VLOOKUP('Données projet'!$B$9,Paramètres!$A$1:$I$89,5,0)</f>
        <v>39.647400000000005</v>
      </c>
      <c r="P19" s="14">
        <f t="shared" si="33"/>
        <v>11.905142133477069</v>
      </c>
      <c r="Q19" s="22">
        <f t="shared" si="2"/>
        <v>89.787344215805888</v>
      </c>
      <c r="R19" s="62">
        <f t="shared" si="0"/>
        <v>366.00956643802812</v>
      </c>
      <c r="S19" s="62">
        <f ca="1">AVERAGE(OFFSET($R$3,0,0,'Données projet'!$E$9+1,1))-AVERAGE(OFFSET($H$3,0,0,'Données projet'!$E$9+1,1))</f>
        <v>192.24617268603629</v>
      </c>
      <c r="T19" s="62">
        <f t="shared" si="34"/>
        <v>192.48585280662832</v>
      </c>
      <c r="U19" s="16">
        <f>IF(ISNA(VLOOKUP(A19,'Données projet'!$A$35:$I$55,3,0)),0,VLOOKUP(A19,'Données projet'!$A$35:$I$55,3,0))</f>
        <v>2</v>
      </c>
      <c r="V19" s="16">
        <f>IF(ISNA(VLOOKUP(A19,'Données projet'!$A$35:$I$55,4,0)),0,VLOOKUP(A19,'Données projet'!$A$35:$I$55,4,0))</f>
        <v>14.8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0.3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3.0062126178084703</v>
      </c>
      <c r="AC19" s="24">
        <f t="shared" si="3"/>
        <v>3.0062126178084703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9.6382857142857148</v>
      </c>
      <c r="AI19" s="14">
        <f>IF('Données projet'!$A$62&gt;35,AI18+AH19-AQ18,IF(A19&lt;'Données projet'!$A$62,$AF$205^A19,IF(A19='Données projet'!$A$62,'Données projet'!$B$62,AI18+AH19-AQ18)))</f>
        <v>113.92485714285715</v>
      </c>
      <c r="AJ19" s="14">
        <f>AI19*VLOOKUP('Données projet'!$B$10,Paramètres!$A$1:$I$89,3,0)*VLOOKUP('Données projet'!$B$10,Paramètres!$A$1:$I$89,5,0)</f>
        <v>68.127064571428576</v>
      </c>
      <c r="AK19" s="14">
        <f t="shared" si="35"/>
        <v>19.207610094447762</v>
      </c>
      <c r="AL19" s="22">
        <f t="shared" si="4"/>
        <v>152.10789170973462</v>
      </c>
      <c r="AM19" s="62">
        <f t="shared" si="5"/>
        <v>428.33011393195682</v>
      </c>
      <c r="AN19" s="62">
        <f ca="1">AVERAGE(OFFSET($AM$3,0,0,'Données projet'!$E$10+1,1))-AVERAGE(OFFSET($H$3,0,0,'Données projet'!$E$10+1,1))</f>
        <v>164.64952352018145</v>
      </c>
      <c r="AO19" s="62">
        <f t="shared" si="36"/>
        <v>280.08682720086921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0.68891423493308779</v>
      </c>
      <c r="AX19" s="23">
        <f t="shared" si="6"/>
        <v>0.68891423493308779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0.7466666666666667</v>
      </c>
      <c r="BD19" s="13">
        <f>IF('Données projet'!$A$88&gt;35,BD18+BC19-BL18,IF(A19&lt;'Données projet'!$A$88,$BA$205^A19,IF(A19='Données projet'!$A$88,'Données projet'!$B$88,BD18+BC19-BL18)))</f>
        <v>5.2496732928081471</v>
      </c>
      <c r="BE19" s="14">
        <f>BD19*VLOOKUP('Données projet'!$B$11,Paramètres!$A$1:$I$89,3,0)*VLOOKUP('Données projet'!$B$11,Paramètres!$A$1:$I$89,5,0)</f>
        <v>4.4223247818615841</v>
      </c>
      <c r="BF19" s="14">
        <f t="shared" si="37"/>
        <v>1.7141505628229519</v>
      </c>
      <c r="BG19" s="22">
        <f t="shared" si="7"/>
        <v>10.687694558658899</v>
      </c>
      <c r="BH19" s="62">
        <f t="shared" si="8"/>
        <v>286.90991678088113</v>
      </c>
      <c r="BI19" s="62">
        <f ca="1">AVERAGE(OFFSET($BH$3,0,0,'Données projet'!$E$11+1,1))-AVERAGE(OFFSET($H$3,0,0,'Données projet'!$E$11+1,1))</f>
        <v>339.58585574836434</v>
      </c>
      <c r="BJ19" s="62">
        <f t="shared" si="38"/>
        <v>42.267525972379588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0.28233333333333338</v>
      </c>
      <c r="BY19" s="13">
        <f>IF('Données projet'!$A$114&gt;35,BY18+BX19-CG18,IF(A19&lt;'Données projet'!$A$114,$BV$205^A19,IF(A19='Données projet'!$A$114,'Données projet'!$B$114,BY18+BX19-CG18)))</f>
        <v>3.1251520498419088</v>
      </c>
      <c r="BZ19" s="14">
        <f>BY19*VLOOKUP('Données projet'!$B$12,Paramètres!$A$1:$I$89,3,0)*VLOOKUP('Données projet'!$B$12,Paramètres!$A$1:$I$89,5,0)</f>
        <v>3.1201518065621618</v>
      </c>
      <c r="CA19" s="14">
        <f t="shared" si="39"/>
        <v>1.2595219343203516</v>
      </c>
      <c r="CB19" s="22">
        <f t="shared" si="10"/>
        <v>7.6279317653703762</v>
      </c>
      <c r="CC19" s="62">
        <f t="shared" si="11"/>
        <v>283.85015398759259</v>
      </c>
      <c r="CD19" s="62">
        <f ca="1">AVERAGE(OFFSET($CC$3,0,0,'Données projet'!$E$12+1,1))-AVERAGE(OFFSET($H$3,0,0,'Données projet'!$E$12+1,1))</f>
        <v>112.34884104798977</v>
      </c>
      <c r="CE19" s="62">
        <f t="shared" si="40"/>
        <v>18.665658139749326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>
        <f>VLOOKUP(A19,'Données projet'!$A$139:$I$159,2,0)</f>
        <v>71.28</v>
      </c>
      <c r="CR19" s="13">
        <f>VLOOKUP(A19,'Données projet'!$A$139:$I$159,9,0)</f>
        <v>4.4550000000000001</v>
      </c>
      <c r="CS19" s="13">
        <f t="array" ref="CS19">INDEX(CR:CR,MIN(IF(ISNUMBER(CR19:CR215),ROW(CR19:CR215),"")))</f>
        <v>4.4550000000000001</v>
      </c>
      <c r="CT19" s="13">
        <f>IF('Données projet'!$A$140&gt;35,CT18+CS19-DB18,IF(A19&lt;'Données projet'!$A$140,$CQ$205^A19,IF(A19='Données projet'!$A$140,'Données projet'!$B$140,CT18+CS19-DB18)))</f>
        <v>71.28</v>
      </c>
      <c r="CU19" s="18">
        <f>CT19*VLOOKUP('Données projet'!$B$13,Paramètres!$A$1:$I$89,3,0)*VLOOKUP('Données projet'!$B$13,Paramètres!$A$1:$I$89,5,0)</f>
        <v>77.837760000000003</v>
      </c>
      <c r="CV19" s="14">
        <f t="shared" si="41"/>
        <v>21.607665094033621</v>
      </c>
      <c r="CW19" s="22">
        <f t="shared" si="13"/>
        <v>173.2007820387752</v>
      </c>
      <c r="CX19" s="62">
        <f t="shared" si="14"/>
        <v>449.42300426099746</v>
      </c>
      <c r="CY19" s="62">
        <f ca="1">AVERAGE(OFFSET($CX$3,0,0,'Données projet'!$E$13+1,1))-AVERAGE(OFFSET($H$3,0,0,'Données projet'!$E$13+1,1))</f>
        <v>205.21073681197737</v>
      </c>
      <c r="CZ19" s="62">
        <f t="shared" si="42"/>
        <v>175.16446313750316</v>
      </c>
      <c r="DA19" s="16">
        <f>IF(ISNA(VLOOKUP(A19,'Données projet'!$A$139:$I$159,3,0)),0,VLOOKUP(A19,'Données projet'!$A$139:$I$159,3,0))</f>
        <v>1</v>
      </c>
      <c r="DB19" s="16">
        <f>IF(ISNA(VLOOKUP(A19,'Données projet'!$A$139:$I$159,4,0)),0,VLOOKUP(A19,'Données projet'!$A$139:$I$159,4,0))</f>
        <v>42.77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0.3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13.220182074701498</v>
      </c>
      <c r="DI19" s="24">
        <f t="shared" si="15"/>
        <v>13.220182074701498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6.6849999999999996</v>
      </c>
      <c r="DO19" s="13">
        <f>IF('Données projet'!$A$166&gt;35,DO18+DN19-DW18,IF(A19&lt;'Données projet'!$A$166,$DL$205^A19,IF(A19='Données projet'!$A$166,'Données projet'!$B$166,DO18+DN19-DW18)))</f>
        <v>50.223286180738491</v>
      </c>
      <c r="DP19" s="18">
        <f>DO19*VLOOKUP('Données projet'!$B$14,Paramètres!$A$1:$I$89,3,0)*VLOOKUP('Données projet'!$B$14,Paramètres!$A$1:$I$89,5,0)</f>
        <v>40.741129749815066</v>
      </c>
      <c r="DQ19" s="14">
        <f t="shared" si="43"/>
        <v>12.194873048813141</v>
      </c>
      <c r="DR19" s="22">
        <f t="shared" si="16"/>
        <v>92.19687154094413</v>
      </c>
      <c r="DS19" s="62">
        <f t="shared" si="17"/>
        <v>368.41909376316636</v>
      </c>
      <c r="DT19" s="62">
        <f ca="1">AVERAGE(OFFSET($DS$3,0,0,'Données projet'!$E$14+1,1))-AVERAGE(OFFSET($H$3,0,0,'Données projet'!$E$14+1,1))</f>
        <v>223.63222290670075</v>
      </c>
      <c r="DU19" s="62">
        <f t="shared" si="44"/>
        <v>290.02663909417248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278.58092826076489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11.425000000000001</v>
      </c>
      <c r="N20" s="14">
        <f>IF('Données projet'!$A$36&gt;35,N19+M20-V19,IF(A20&lt;'Données projet'!$A$36,$K$205^A20,IF(A20='Données projet'!$A$36,'Données projet'!$B$36,N19+M20-V19)))</f>
        <v>62.924999999999997</v>
      </c>
      <c r="O20" s="14">
        <f>N20*VLOOKUP('Données projet'!$B$9,Paramètres!$A$1:$I$89,3,0)*VLOOKUP('Données projet'!$B$9,Paramètres!$A$1:$I$89,5,0)</f>
        <v>37.629150000000003</v>
      </c>
      <c r="P20" s="14">
        <f t="shared" si="33"/>
        <v>11.368035783494761</v>
      </c>
      <c r="Q20" s="22">
        <f t="shared" si="2"/>
        <v>85.336765239586711</v>
      </c>
      <c r="R20" s="62">
        <f t="shared" si="0"/>
        <v>362.78120968403118</v>
      </c>
      <c r="S20" s="62">
        <f ca="1">AVERAGE(OFFSET($R$3,0,0,'Données projet'!$E$9+1,1))-AVERAGE(OFFSET($H$3,0,0,'Données projet'!$E$9+1,1))</f>
        <v>192.24617268603629</v>
      </c>
      <c r="T20" s="62">
        <f t="shared" si="34"/>
        <v>192.48585280662832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2.1257133277409324</v>
      </c>
      <c r="AC20" s="24">
        <f t="shared" si="3"/>
        <v>2.1257133277409324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9.6382857142857148</v>
      </c>
      <c r="AI20" s="14">
        <f>IF('Données projet'!$A$62&gt;35,AI19+AH20-AQ19,IF(A20&lt;'Données projet'!$A$62,$AF$205^A20,IF(A20='Données projet'!$A$62,'Données projet'!$B$62,AI19+AH20-AQ19)))</f>
        <v>123.56314285714286</v>
      </c>
      <c r="AJ20" s="14">
        <f>AI20*VLOOKUP('Données projet'!$B$10,Paramètres!$A$1:$I$89,3,0)*VLOOKUP('Données projet'!$B$10,Paramètres!$A$1:$I$89,5,0)</f>
        <v>73.890759428571428</v>
      </c>
      <c r="AK20" s="14">
        <f t="shared" si="35"/>
        <v>20.636607486669345</v>
      </c>
      <c r="AL20" s="22">
        <f t="shared" si="4"/>
        <v>164.63516404404436</v>
      </c>
      <c r="AM20" s="62">
        <f t="shared" si="5"/>
        <v>442.07960848848882</v>
      </c>
      <c r="AN20" s="62">
        <f ca="1">AVERAGE(OFFSET($AM$3,0,0,'Données projet'!$E$10+1,1))-AVERAGE(OFFSET($H$3,0,0,'Données projet'!$E$10+1,1))</f>
        <v>164.64952352018145</v>
      </c>
      <c r="AO20" s="62">
        <f t="shared" si="36"/>
        <v>280.08682720086921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0.48713592717712872</v>
      </c>
      <c r="AX20" s="23">
        <f t="shared" si="6"/>
        <v>0.48713592717712872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0.7466666666666667</v>
      </c>
      <c r="BD20" s="13">
        <f>IF('Données projet'!$A$88&gt;35,BD19+BC20-BL19,IF(A20&lt;'Données projet'!$A$88,$BA$205^A20,IF(A20='Données projet'!$A$88,'Données projet'!$B$88,BD19+BC20-BL19)))</f>
        <v>5.8229162493613469</v>
      </c>
      <c r="BE20" s="14">
        <f>BD20*VLOOKUP('Données projet'!$B$11,Paramètres!$A$1:$I$89,3,0)*VLOOKUP('Données projet'!$B$11,Paramètres!$A$1:$I$89,5,0)</f>
        <v>4.9052246484619992</v>
      </c>
      <c r="BF20" s="14">
        <f t="shared" si="37"/>
        <v>1.8785305860134294</v>
      </c>
      <c r="BG20" s="22">
        <f t="shared" si="7"/>
        <v>11.81504036671137</v>
      </c>
      <c r="BH20" s="62">
        <f t="shared" si="8"/>
        <v>289.2594848111558</v>
      </c>
      <c r="BI20" s="62">
        <f ca="1">AVERAGE(OFFSET($BH$3,0,0,'Données projet'!$E$11+1,1))-AVERAGE(OFFSET($H$3,0,0,'Données projet'!$E$11+1,1))</f>
        <v>339.58585574836434</v>
      </c>
      <c r="BJ20" s="62">
        <f t="shared" si="38"/>
        <v>42.267525972379588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0.28233333333333338</v>
      </c>
      <c r="BY20" s="13">
        <f>IF('Données projet'!$A$114&gt;35,BY19+BX20-CG19,IF(A20&lt;'Données projet'!$A$114,$BV$205^A20,IF(A20='Données projet'!$A$114,'Données projet'!$B$114,BY19+BX20-CG19)))</f>
        <v>3.3558349995079602</v>
      </c>
      <c r="BZ20" s="14">
        <f>BY20*VLOOKUP('Données projet'!$B$12,Paramètres!$A$1:$I$89,3,0)*VLOOKUP('Données projet'!$B$12,Paramètres!$A$1:$I$89,5,0)</f>
        <v>3.3504656635087477</v>
      </c>
      <c r="CA20" s="14">
        <f t="shared" si="39"/>
        <v>1.3413280121130373</v>
      </c>
      <c r="CB20" s="22">
        <f t="shared" si="10"/>
        <v>8.1715406517079412</v>
      </c>
      <c r="CC20" s="62">
        <f t="shared" si="11"/>
        <v>285.61598509615237</v>
      </c>
      <c r="CD20" s="62">
        <f ca="1">AVERAGE(OFFSET($CC$3,0,0,'Données projet'!$E$12+1,1))-AVERAGE(OFFSET($H$3,0,0,'Données projet'!$E$12+1,1))</f>
        <v>112.34884104798977</v>
      </c>
      <c r="CE20" s="62">
        <f t="shared" si="40"/>
        <v>18.665658139749326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6.5025000000000004</v>
      </c>
      <c r="CT20" s="13">
        <f>IF('Données projet'!$A$140&gt;35,CT19+CS20-DB19,IF(A20&lt;'Données projet'!$A$140,$CQ$205^A20,IF(A20='Données projet'!$A$140,'Données projet'!$B$140,CT19+CS20-DB19)))</f>
        <v>35.012499999999996</v>
      </c>
      <c r="CU20" s="18">
        <f>CT20*VLOOKUP('Données projet'!$B$13,Paramètres!$A$1:$I$89,3,0)*VLOOKUP('Données projet'!$B$13,Paramètres!$A$1:$I$89,5,0)</f>
        <v>38.233649999999997</v>
      </c>
      <c r="CV20" s="14">
        <f t="shared" si="41"/>
        <v>11.529252178575506</v>
      </c>
      <c r="CW20" s="22">
        <f t="shared" si="13"/>
        <v>86.670387961019003</v>
      </c>
      <c r="CX20" s="62">
        <f t="shared" si="14"/>
        <v>364.11483240546346</v>
      </c>
      <c r="CY20" s="62">
        <f ca="1">AVERAGE(OFFSET($CX$3,0,0,'Données projet'!$E$13+1,1))-AVERAGE(OFFSET($H$3,0,0,'Données projet'!$E$13+1,1))</f>
        <v>205.21073681197737</v>
      </c>
      <c r="CZ20" s="62">
        <f t="shared" si="42"/>
        <v>175.16446313750316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9.3480803935422703</v>
      </c>
      <c r="DI20" s="24">
        <f t="shared" si="15"/>
        <v>9.3480803935422703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6.6849999999999996</v>
      </c>
      <c r="DO20" s="13">
        <f>IF('Données projet'!$A$166&gt;35,DO19+DN20-DW19,IF(A20&lt;'Données projet'!$A$166,$DL$205^A20,IF(A20='Données projet'!$A$166,'Données projet'!$B$166,DO19+DN20-DW19)))</f>
        <v>64.152220939033469</v>
      </c>
      <c r="DP20" s="18">
        <f>DO20*VLOOKUP('Données projet'!$B$14,Paramètres!$A$1:$I$89,3,0)*VLOOKUP('Données projet'!$B$14,Paramètres!$A$1:$I$89,5,0)</f>
        <v>52.040281625743951</v>
      </c>
      <c r="DQ20" s="14">
        <f t="shared" si="43"/>
        <v>15.139438536408338</v>
      </c>
      <c r="DR20" s="22">
        <f t="shared" si="16"/>
        <v>117.00467928241522</v>
      </c>
      <c r="DS20" s="62">
        <f t="shared" si="17"/>
        <v>394.44912372685968</v>
      </c>
      <c r="DT20" s="62">
        <f ca="1">AVERAGE(OFFSET($DS$3,0,0,'Données projet'!$E$14+1,1))-AVERAGE(OFFSET($H$3,0,0,'Données projet'!$E$14+1,1))</f>
        <v>223.63222290670075</v>
      </c>
      <c r="DU20" s="62">
        <f t="shared" si="44"/>
        <v>290.02663909417248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279.82964369567594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11.425000000000001</v>
      </c>
      <c r="N21" s="14">
        <f>IF('Données projet'!$A$36&gt;35,N20+M21-V20,IF(A21&lt;'Données projet'!$A$36,$K$205^A21,IF(A21='Données projet'!$A$36,'Données projet'!$B$36,N20+M21-V20)))</f>
        <v>74.349999999999994</v>
      </c>
      <c r="O21" s="14">
        <f>N21*VLOOKUP('Données projet'!$B$9,Paramètres!$A$1:$I$89,3,0)*VLOOKUP('Données projet'!$B$9,Paramètres!$A$1:$I$89,5,0)</f>
        <v>44.461300000000001</v>
      </c>
      <c r="P21" s="14">
        <f t="shared" si="33"/>
        <v>13.17374032778412</v>
      </c>
      <c r="Q21" s="22">
        <f t="shared" si="2"/>
        <v>100.38102857089069</v>
      </c>
      <c r="R21" s="62">
        <f t="shared" si="0"/>
        <v>379.04769523755738</v>
      </c>
      <c r="S21" s="62">
        <f ca="1">AVERAGE(OFFSET($R$3,0,0,'Données projet'!$E$9+1,1))-AVERAGE(OFFSET($H$3,0,0,'Données projet'!$E$9+1,1))</f>
        <v>192.24617268603629</v>
      </c>
      <c r="T21" s="62">
        <f t="shared" si="34"/>
        <v>192.48585280662832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1.5031063089042354</v>
      </c>
      <c r="AC21" s="24">
        <f t="shared" si="3"/>
        <v>1.5031063089042354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9.6382857142857148</v>
      </c>
      <c r="AI21" s="14">
        <f>IF('Données projet'!$A$62&gt;35,AI20+AH21-AQ20,IF(A21&lt;'Données projet'!$A$62,$AF$205^A21,IF(A21='Données projet'!$A$62,'Données projet'!$B$62,AI20+AH21-AQ20)))</f>
        <v>133.20142857142858</v>
      </c>
      <c r="AJ21" s="14">
        <f>AI21*VLOOKUP('Données projet'!$B$10,Paramètres!$A$1:$I$89,3,0)*VLOOKUP('Données projet'!$B$10,Paramètres!$A$1:$I$89,5,0)</f>
        <v>79.654454285714294</v>
      </c>
      <c r="AK21" s="14">
        <f t="shared" si="35"/>
        <v>22.052675132008012</v>
      </c>
      <c r="AL21" s="22">
        <f t="shared" si="4"/>
        <v>177.13991706919967</v>
      </c>
      <c r="AM21" s="62">
        <f t="shared" si="5"/>
        <v>455.80658373586635</v>
      </c>
      <c r="AN21" s="62">
        <f ca="1">AVERAGE(OFFSET($AM$3,0,0,'Données projet'!$E$10+1,1))-AVERAGE(OFFSET($H$3,0,0,'Données projet'!$E$10+1,1))</f>
        <v>164.64952352018145</v>
      </c>
      <c r="AO21" s="62">
        <f t="shared" si="36"/>
        <v>280.08682720086921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0.34445711746654395</v>
      </c>
      <c r="AX21" s="23">
        <f t="shared" si="6"/>
        <v>0.34445711746654395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0.7466666666666667</v>
      </c>
      <c r="BD21" s="13">
        <f>IF('Données projet'!$A$88&gt;35,BD20+BC21-BL20,IF(A21&lt;'Données projet'!$A$88,$BA$205^A21,IF(A21='Données projet'!$A$88,'Données projet'!$B$88,BD20+BC21-BL20)))</f>
        <v>6.4587550035783803</v>
      </c>
      <c r="BE21" s="14">
        <f>BD21*VLOOKUP('Données projet'!$B$11,Paramètres!$A$1:$I$89,3,0)*VLOOKUP('Données projet'!$B$11,Paramètres!$A$1:$I$89,5,0)</f>
        <v>5.4408552150144285</v>
      </c>
      <c r="BF21" s="14">
        <f t="shared" si="37"/>
        <v>2.05867398064288</v>
      </c>
      <c r="BG21" s="22">
        <f t="shared" si="7"/>
        <v>13.061680015769811</v>
      </c>
      <c r="BH21" s="62">
        <f t="shared" si="8"/>
        <v>291.7283466824365</v>
      </c>
      <c r="BI21" s="62">
        <f ca="1">AVERAGE(OFFSET($BH$3,0,0,'Données projet'!$E$11+1,1))-AVERAGE(OFFSET($H$3,0,0,'Données projet'!$E$11+1,1))</f>
        <v>339.58585574836434</v>
      </c>
      <c r="BJ21" s="62">
        <f t="shared" si="38"/>
        <v>42.267525972379588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0.28233333333333338</v>
      </c>
      <c r="BY21" s="13">
        <f>IF('Données projet'!$A$114&gt;35,BY20+BX21-CG20,IF(A21&lt;'Données projet'!$A$114,$BV$205^A21,IF(A21='Données projet'!$A$114,'Données projet'!$B$114,BY20+BX21-CG20)))</f>
        <v>3.6035458001130789</v>
      </c>
      <c r="BZ21" s="14">
        <f>BY21*VLOOKUP('Données projet'!$B$12,Paramètres!$A$1:$I$89,3,0)*VLOOKUP('Données projet'!$B$12,Paramètres!$A$1:$I$89,5,0)</f>
        <v>3.5977801268328982</v>
      </c>
      <c r="CA21" s="14">
        <f t="shared" si="39"/>
        <v>1.42844740298227</v>
      </c>
      <c r="CB21" s="22">
        <f t="shared" si="10"/>
        <v>8.7540129477614173</v>
      </c>
      <c r="CC21" s="62">
        <f t="shared" si="11"/>
        <v>287.42067961442808</v>
      </c>
      <c r="CD21" s="62">
        <f ca="1">AVERAGE(OFFSET($CC$3,0,0,'Données projet'!$E$12+1,1))-AVERAGE(OFFSET($H$3,0,0,'Données projet'!$E$12+1,1))</f>
        <v>112.34884104798977</v>
      </c>
      <c r="CE21" s="62">
        <f t="shared" si="40"/>
        <v>18.665658139749326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6.5025000000000004</v>
      </c>
      <c r="CT21" s="13">
        <f>IF('Données projet'!$A$140&gt;35,CT20+CS21-DB20,IF(A21&lt;'Données projet'!$A$140,$CQ$205^A21,IF(A21='Données projet'!$A$140,'Données projet'!$B$140,CT20+CS21-DB20)))</f>
        <v>41.514999999999993</v>
      </c>
      <c r="CU21" s="18">
        <f>CT21*VLOOKUP('Données projet'!$B$13,Paramètres!$A$1:$I$89,3,0)*VLOOKUP('Données projet'!$B$13,Paramètres!$A$1:$I$89,5,0)</f>
        <v>45.334379999999989</v>
      </c>
      <c r="CV21" s="14">
        <f t="shared" si="41"/>
        <v>13.402060171730476</v>
      </c>
      <c r="CW21" s="22">
        <f t="shared" si="13"/>
        <v>102.29929996576389</v>
      </c>
      <c r="CX21" s="62">
        <f t="shared" si="14"/>
        <v>380.96596663243059</v>
      </c>
      <c r="CY21" s="62">
        <f ca="1">AVERAGE(OFFSET($CX$3,0,0,'Données projet'!$E$13+1,1))-AVERAGE(OFFSET($H$3,0,0,'Données projet'!$E$13+1,1))</f>
        <v>205.21073681197737</v>
      </c>
      <c r="CZ21" s="62">
        <f t="shared" si="42"/>
        <v>175.16446313750316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6.6100910373507498</v>
      </c>
      <c r="DI21" s="24">
        <f t="shared" si="15"/>
        <v>6.6100910373507498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6.6849999999999996</v>
      </c>
      <c r="DO21" s="13">
        <f>IF('Données projet'!$A$166&gt;35,DO20+DN21-DW20,IF(A21&lt;'Données projet'!$A$166,$DL$205^A21,IF(A21='Données projet'!$A$166,'Données projet'!$B$166,DO20+DN21-DW20)))</f>
        <v>81.944208839702199</v>
      </c>
      <c r="DP21" s="18">
        <f>DO21*VLOOKUP('Données projet'!$B$14,Paramètres!$A$1:$I$89,3,0)*VLOOKUP('Données projet'!$B$14,Paramètres!$A$1:$I$89,5,0)</f>
        <v>66.473142210766426</v>
      </c>
      <c r="DQ21" s="14">
        <f t="shared" si="43"/>
        <v>18.794996740043384</v>
      </c>
      <c r="DR21" s="22">
        <f t="shared" si="16"/>
        <v>148.50867533932708</v>
      </c>
      <c r="DS21" s="62">
        <f t="shared" si="17"/>
        <v>427.1753420059938</v>
      </c>
      <c r="DT21" s="62">
        <f ca="1">AVERAGE(OFFSET($DS$3,0,0,'Données projet'!$E$14+1,1))-AVERAGE(OFFSET($H$3,0,0,'Données projet'!$E$14+1,1))</f>
        <v>223.63222290670075</v>
      </c>
      <c r="DU21" s="62">
        <f t="shared" si="44"/>
        <v>290.02663909417248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281.07643875057323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11.425000000000001</v>
      </c>
      <c r="N22" s="14">
        <f>IF('Données projet'!$A$36&gt;35,N21+M22-V21,IF(A22&lt;'Données projet'!$A$36,$K$205^A22,IF(A22='Données projet'!$A$36,'Données projet'!$B$36,N21+M22-V21)))</f>
        <v>85.774999999999991</v>
      </c>
      <c r="O22" s="14">
        <f>N22*VLOOKUP('Données projet'!$B$9,Paramètres!$A$1:$I$89,3,0)*VLOOKUP('Données projet'!$B$9,Paramètres!$A$1:$I$89,5,0)</f>
        <v>51.29345</v>
      </c>
      <c r="P22" s="14">
        <f t="shared" si="33"/>
        <v>14.947300621468596</v>
      </c>
      <c r="Q22" s="22">
        <f t="shared" si="2"/>
        <v>115.36930733239113</v>
      </c>
      <c r="R22" s="62">
        <f t="shared" si="0"/>
        <v>395.25819622128</v>
      </c>
      <c r="S22" s="62">
        <f ca="1">AVERAGE(OFFSET($R$3,0,0,'Données projet'!$E$9+1,1))-AVERAGE(OFFSET($H$3,0,0,'Données projet'!$E$9+1,1))</f>
        <v>192.24617268603629</v>
      </c>
      <c r="T22" s="62">
        <f t="shared" si="34"/>
        <v>192.48585280662832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1.0628566638704664</v>
      </c>
      <c r="AC22" s="24">
        <f t="shared" si="3"/>
        <v>1.0628566638704664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9.6382857142857148</v>
      </c>
      <c r="AI22" s="14">
        <f>IF('Données projet'!$A$62&gt;35,AI21+AH22-AQ21,IF(A22&lt;'Données projet'!$A$62,$AF$205^A22,IF(A22='Données projet'!$A$62,'Données projet'!$B$62,AI21+AH22-AQ21)))</f>
        <v>142.83971428571431</v>
      </c>
      <c r="AJ22" s="14">
        <f>AI22*VLOOKUP('Données projet'!$B$10,Paramètres!$A$1:$I$89,3,0)*VLOOKUP('Données projet'!$B$10,Paramètres!$A$1:$I$89,5,0)</f>
        <v>85.41814914285716</v>
      </c>
      <c r="AK22" s="14">
        <f t="shared" si="35"/>
        <v>23.456855010355621</v>
      </c>
      <c r="AL22" s="22">
        <f t="shared" si="4"/>
        <v>189.62396556684561</v>
      </c>
      <c r="AM22" s="62">
        <f t="shared" si="5"/>
        <v>469.51285445573444</v>
      </c>
      <c r="AN22" s="62">
        <f ca="1">AVERAGE(OFFSET($AM$3,0,0,'Données projet'!$E$10+1,1))-AVERAGE(OFFSET($H$3,0,0,'Données projet'!$E$10+1,1))</f>
        <v>164.64952352018145</v>
      </c>
      <c r="AO22" s="62">
        <f t="shared" si="36"/>
        <v>280.08682720086921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0.24356796358856442</v>
      </c>
      <c r="AX22" s="23">
        <f t="shared" si="6"/>
        <v>0.24356796358856442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0.7466666666666667</v>
      </c>
      <c r="BD22" s="13">
        <f>IF('Données projet'!$A$88&gt;35,BD21+BC22-BL21,IF(A22&lt;'Données projet'!$A$88,$BA$205^A22,IF(A22='Données projet'!$A$88,'Données projet'!$B$88,BD21+BC22-BL21)))</f>
        <v>7.1640247617890935</v>
      </c>
      <c r="BE22" s="14">
        <f>BD22*VLOOKUP('Données projet'!$B$11,Paramètres!$A$1:$I$89,3,0)*VLOOKUP('Données projet'!$B$11,Paramètres!$A$1:$I$89,5,0)</f>
        <v>6.0349744593311332</v>
      </c>
      <c r="BF22" s="14">
        <f t="shared" si="37"/>
        <v>2.2560923895149734</v>
      </c>
      <c r="BG22" s="22">
        <f t="shared" si="7"/>
        <v>14.440274761740303</v>
      </c>
      <c r="BH22" s="62">
        <f t="shared" si="8"/>
        <v>294.32916365062914</v>
      </c>
      <c r="BI22" s="62">
        <f ca="1">AVERAGE(OFFSET($BH$3,0,0,'Données projet'!$E$11+1,1))-AVERAGE(OFFSET($H$3,0,0,'Données projet'!$E$11+1,1))</f>
        <v>339.58585574836434</v>
      </c>
      <c r="BJ22" s="62">
        <f t="shared" si="38"/>
        <v>42.267525972379588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0.28233333333333338</v>
      </c>
      <c r="BY22" s="13">
        <f>IF('Données projet'!$A$114&gt;35,BY21+BX22-CG21,IF(A22&lt;'Données projet'!$A$114,$BV$205^A22,IF(A22='Données projet'!$A$114,'Données projet'!$B$114,BY21+BX22-CG21)))</f>
        <v>3.8695413616630669</v>
      </c>
      <c r="BZ22" s="14">
        <f>BY22*VLOOKUP('Données projet'!$B$12,Paramètres!$A$1:$I$89,3,0)*VLOOKUP('Données projet'!$B$12,Paramètres!$A$1:$I$89,5,0)</f>
        <v>3.8633500954844062</v>
      </c>
      <c r="CA22" s="14">
        <f t="shared" si="39"/>
        <v>1.5212252071530117</v>
      </c>
      <c r="CB22" s="22">
        <f t="shared" si="10"/>
        <v>9.3781353187601706</v>
      </c>
      <c r="CC22" s="62">
        <f t="shared" si="11"/>
        <v>289.267024207649</v>
      </c>
      <c r="CD22" s="62">
        <f ca="1">AVERAGE(OFFSET($CC$3,0,0,'Données projet'!$E$12+1,1))-AVERAGE(OFFSET($H$3,0,0,'Données projet'!$E$12+1,1))</f>
        <v>112.34884104798977</v>
      </c>
      <c r="CE22" s="62">
        <f t="shared" si="40"/>
        <v>18.665658139749326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6.5025000000000004</v>
      </c>
      <c r="CT22" s="13">
        <f>IF('Données projet'!$A$140&gt;35,CT21+CS22-DB21,IF(A22&lt;'Données projet'!$A$140,$CQ$205^A22,IF(A22='Données projet'!$A$140,'Données projet'!$B$140,CT21+CS22-DB21)))</f>
        <v>48.017499999999991</v>
      </c>
      <c r="CU22" s="18">
        <f>CT22*VLOOKUP('Données projet'!$B$13,Paramètres!$A$1:$I$89,3,0)*VLOOKUP('Données projet'!$B$13,Paramètres!$A$1:$I$89,5,0)</f>
        <v>52.435109999999987</v>
      </c>
      <c r="CV22" s="14">
        <f t="shared" si="41"/>
        <v>15.240886404067652</v>
      </c>
      <c r="CW22" s="22">
        <f t="shared" si="13"/>
        <v>117.8690270704178</v>
      </c>
      <c r="CX22" s="62">
        <f t="shared" si="14"/>
        <v>397.75791595930667</v>
      </c>
      <c r="CY22" s="62">
        <f ca="1">AVERAGE(OFFSET($CX$3,0,0,'Données projet'!$E$13+1,1))-AVERAGE(OFFSET($H$3,0,0,'Données projet'!$E$13+1,1))</f>
        <v>205.21073681197737</v>
      </c>
      <c r="CZ22" s="62">
        <f t="shared" si="42"/>
        <v>175.16446313750316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4.674040196771136</v>
      </c>
      <c r="DI22" s="24">
        <f t="shared" si="15"/>
        <v>4.674040196771136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6.6849999999999996</v>
      </c>
      <c r="DO22" s="13">
        <f>IF('Données projet'!$A$166&gt;35,DO21+DN22-DW21,IF(A22&lt;'Données projet'!$A$166,$DL$205^A22,IF(A22='Données projet'!$A$166,'Données projet'!$B$166,DO21+DN22-DW21)))</f>
        <v>104.67062970035181</v>
      </c>
      <c r="DP22" s="18">
        <f>DO22*VLOOKUP('Données projet'!$B$14,Paramètres!$A$1:$I$89,3,0)*VLOOKUP('Données projet'!$B$14,Paramètres!$A$1:$I$89,5,0)</f>
        <v>84.908814812925399</v>
      </c>
      <c r="DQ22" s="14">
        <f t="shared" si="43"/>
        <v>23.333223461934686</v>
      </c>
      <c r="DR22" s="22">
        <f t="shared" si="16"/>
        <v>188.52154999538129</v>
      </c>
      <c r="DS22" s="62">
        <f t="shared" si="17"/>
        <v>468.41043888427015</v>
      </c>
      <c r="DT22" s="62">
        <f ca="1">AVERAGE(OFFSET($DS$3,0,0,'Données projet'!$E$14+1,1))-AVERAGE(OFFSET($H$3,0,0,'Données projet'!$E$14+1,1))</f>
        <v>223.63222290670075</v>
      </c>
      <c r="DU22" s="62">
        <f t="shared" si="44"/>
        <v>290.02663909417248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282.32142602462875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97.2</v>
      </c>
      <c r="L23" s="13">
        <f>VLOOKUP(A23,'Données projet'!$A$35:$I$55,9,0)</f>
        <v>11.425000000000001</v>
      </c>
      <c r="M23" s="13">
        <f t="array" ref="M23">INDEX(L:L,MIN(IF(ISNUMBER(L23:L219),ROW(L23:L219),"")))</f>
        <v>11.425000000000001</v>
      </c>
      <c r="N23" s="14">
        <f>IF('Données projet'!$A$36&gt;35,N22+M23-V22,IF(A23&lt;'Données projet'!$A$36,$K$205^A23,IF(A23='Données projet'!$A$36,'Données projet'!$B$36,N22+M23-V22)))</f>
        <v>97.199999999999989</v>
      </c>
      <c r="O23" s="14">
        <f>N23*VLOOKUP('Données projet'!$B$9,Paramètres!$A$1:$I$89,3,0)*VLOOKUP('Données projet'!$B$9,Paramètres!$A$1:$I$89,5,0)</f>
        <v>58.125599999999999</v>
      </c>
      <c r="P23" s="14">
        <f t="shared" si="33"/>
        <v>16.693490054590161</v>
      </c>
      <c r="Q23" s="22">
        <f t="shared" si="2"/>
        <v>130.30991517841122</v>
      </c>
      <c r="R23" s="62">
        <f t="shared" si="0"/>
        <v>411.42102628952239</v>
      </c>
      <c r="S23" s="62">
        <f ca="1">AVERAGE(OFFSET($R$3,0,0,'Données projet'!$E$9+1,1))-AVERAGE(OFFSET($H$3,0,0,'Données projet'!$E$9+1,1))</f>
        <v>192.24617268603629</v>
      </c>
      <c r="T23" s="62">
        <f t="shared" si="34"/>
        <v>192.48585280662832</v>
      </c>
      <c r="U23" s="16">
        <f>IF(ISNA(VLOOKUP(A23,'Données projet'!$A$35:$I$55,3,0)),0,VLOOKUP(A23,'Données projet'!$A$35:$I$55,3,0))</f>
        <v>3</v>
      </c>
      <c r="V23" s="16">
        <f>IF(ISNA(VLOOKUP(A23,'Données projet'!$A$35:$I$55,4,0)),0,VLOOKUP(A23,'Données projet'!$A$35:$I$55,4,0))</f>
        <v>22.1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9.0000000000000011E-2</v>
      </c>
      <c r="Y23" s="17">
        <f>IF(ISNA(VLOOKUP(A23,'Données projet'!$A$35:$I$55,7,0)),0%,VLOOKUP(A23,'Données projet'!$A$35:$I$55,7,0))</f>
        <v>0.3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1.5716323709525852</v>
      </c>
      <c r="AB23" s="23">
        <f>EXP(-LN(2)/2)*AB22+(1-EXP(-LN(2)/2))/(LN(2)/2)*V23*Y23*VLOOKUP('Données projet'!$B$9,Paramètres!$A$1:$I$89,3,0)*0.475*44/12</f>
        <v>5.2405598337471986</v>
      </c>
      <c r="AC23" s="24">
        <f t="shared" si="3"/>
        <v>6.8121922046997838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152.47800000000001</v>
      </c>
      <c r="AG23" s="13">
        <f>VLOOKUP(A23,'Données projet'!$A$61:$I$81,9,0)</f>
        <v>9.6382857142857148</v>
      </c>
      <c r="AH23" s="13">
        <f t="array" ref="AH23">INDEX(AG:AG,MIN(IF(ISNUMBER(AG23:AG219),ROW(AG23:AG219),"")))</f>
        <v>9.6382857142857148</v>
      </c>
      <c r="AI23" s="14">
        <f>IF('Données projet'!$A$62&gt;35,AI22+AH23-AQ22,IF(A23&lt;'Données projet'!$A$62,$AF$205^A23,IF(A23='Données projet'!$A$62,'Données projet'!$B$62,AI22+AH23-AQ22)))</f>
        <v>152.47800000000001</v>
      </c>
      <c r="AJ23" s="14">
        <f>AI23*VLOOKUP('Données projet'!$B$10,Paramètres!$A$1:$I$89,3,0)*VLOOKUP('Données projet'!$B$10,Paramètres!$A$1:$I$89,5,0)</f>
        <v>91.181844000000012</v>
      </c>
      <c r="AK23" s="14">
        <f t="shared" si="35"/>
        <v>24.850040526597837</v>
      </c>
      <c r="AL23" s="22">
        <f t="shared" si="4"/>
        <v>202.08886555049125</v>
      </c>
      <c r="AM23" s="62">
        <f t="shared" si="5"/>
        <v>483.19997666160236</v>
      </c>
      <c r="AN23" s="62">
        <f ca="1">AVERAGE(OFFSET($AM$3,0,0,'Données projet'!$E$10+1,1))-AVERAGE(OFFSET($H$3,0,0,'Données projet'!$E$10+1,1))</f>
        <v>164.64952352018145</v>
      </c>
      <c r="AO23" s="62">
        <f t="shared" si="36"/>
        <v>280.08682720086921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18.399999999999999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4.5000000000000005E-2</v>
      </c>
      <c r="AT23" s="17">
        <f>IF(ISNA(VLOOKUP(A23,'Données projet'!$A$61:$I$81,7,0)),0%,VLOOKUP(A23,'Données projet'!$A$61:$I$81,7,0))</f>
        <v>0.3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0.65425419967256937</v>
      </c>
      <c r="AW23" s="23">
        <f>EXP(-LN(2)/2)*AW22+(1-EXP(-LN(2)/2))/(LN(2)/2)*AQ23*AT23*VLOOKUP('Données projet'!$B$10,Paramètres!$A$1:$I$89,3,0)*0.475*44/12</f>
        <v>3.9096820835762345</v>
      </c>
      <c r="AX23" s="23">
        <f t="shared" si="6"/>
        <v>4.563936283248804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0.7466666666666667</v>
      </c>
      <c r="BD23" s="13">
        <f>IF('Données projet'!$A$88&gt;35,BD22+BC23-BL22,IF(A23&lt;'Données projet'!$A$88,$BA$205^A23,IF(A23='Données projet'!$A$88,'Données projet'!$B$88,BD22+BC23-BL22)))</f>
        <v>7.9463071070341531</v>
      </c>
      <c r="BE23" s="14">
        <f>BD23*VLOOKUP('Données projet'!$B$11,Paramètres!$A$1:$I$89,3,0)*VLOOKUP('Données projet'!$B$11,Paramètres!$A$1:$I$89,5,0)</f>
        <v>6.6939691069655716</v>
      </c>
      <c r="BF23" s="14">
        <f t="shared" si="37"/>
        <v>2.4724424157913041</v>
      </c>
      <c r="BG23" s="22">
        <f t="shared" si="7"/>
        <v>15.964833402134893</v>
      </c>
      <c r="BH23" s="62">
        <f t="shared" si="8"/>
        <v>297.07594451324604</v>
      </c>
      <c r="BI23" s="62">
        <f ca="1">AVERAGE(OFFSET($BH$3,0,0,'Données projet'!$E$11+1,1))-AVERAGE(OFFSET($H$3,0,0,'Données projet'!$E$11+1,1))</f>
        <v>339.58585574836434</v>
      </c>
      <c r="BJ23" s="62">
        <f t="shared" si="38"/>
        <v>42.267525972379588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0.28233333333333338</v>
      </c>
      <c r="BY23" s="13">
        <f>IF('Données projet'!$A$114&gt;35,BY22+BX23-CG22,IF(A23&lt;'Données projet'!$A$114,$BV$205^A23,IF(A23='Données projet'!$A$114,'Données projet'!$B$114,BY22+BX23-CG22)))</f>
        <v>4.1551713729159205</v>
      </c>
      <c r="BZ23" s="14">
        <f>BY23*VLOOKUP('Données projet'!$B$12,Paramètres!$A$1:$I$89,3,0)*VLOOKUP('Données projet'!$B$12,Paramètres!$A$1:$I$89,5,0)</f>
        <v>4.1485230987192558</v>
      </c>
      <c r="CA23" s="14">
        <f t="shared" si="39"/>
        <v>1.6200289391449478</v>
      </c>
      <c r="CB23" s="22">
        <f t="shared" si="10"/>
        <v>10.046894799280155</v>
      </c>
      <c r="CC23" s="62">
        <f t="shared" si="11"/>
        <v>291.1580059103913</v>
      </c>
      <c r="CD23" s="62">
        <f ca="1">AVERAGE(OFFSET($CC$3,0,0,'Données projet'!$E$12+1,1))-AVERAGE(OFFSET($H$3,0,0,'Données projet'!$E$12+1,1))</f>
        <v>112.34884104798977</v>
      </c>
      <c r="CE23" s="62">
        <f t="shared" si="40"/>
        <v>18.665658139749326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6.5025000000000004</v>
      </c>
      <c r="CT23" s="13">
        <f>IF('Données projet'!$A$140&gt;35,CT22+CS23-DB22,IF(A23&lt;'Données projet'!$A$140,$CQ$205^A23,IF(A23='Données projet'!$A$140,'Données projet'!$B$140,CT22+CS23-DB22)))</f>
        <v>54.519999999999989</v>
      </c>
      <c r="CU23" s="18">
        <f>CT23*VLOOKUP('Données projet'!$B$13,Paramètres!$A$1:$I$89,3,0)*VLOOKUP('Données projet'!$B$13,Paramètres!$A$1:$I$89,5,0)</f>
        <v>59.535839999999979</v>
      </c>
      <c r="CV23" s="14">
        <f t="shared" si="41"/>
        <v>17.050861811750952</v>
      </c>
      <c r="CW23" s="22">
        <f t="shared" si="13"/>
        <v>133.38850565546619</v>
      </c>
      <c r="CX23" s="62">
        <f t="shared" si="14"/>
        <v>414.49961676657733</v>
      </c>
      <c r="CY23" s="62">
        <f ca="1">AVERAGE(OFFSET($CX$3,0,0,'Données projet'!$E$13+1,1))-AVERAGE(OFFSET($H$3,0,0,'Données projet'!$E$13+1,1))</f>
        <v>205.21073681197737</v>
      </c>
      <c r="CZ23" s="62">
        <f t="shared" si="42"/>
        <v>175.16446313750316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3.3050455186753753</v>
      </c>
      <c r="DI23" s="24">
        <f t="shared" si="15"/>
        <v>3.3050455186753753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133.69999999999999</v>
      </c>
      <c r="DM23" s="13">
        <f>VLOOKUP(A23,'Données projet'!$A$165:$I$185,9,0)</f>
        <v>6.6849999999999996</v>
      </c>
      <c r="DN23" s="13">
        <f t="array" ref="DN23">INDEX(DM:DM,MIN(IF(ISNUMBER(DM23:DM219),ROW(DM23:DM219),"")))</f>
        <v>6.6849999999999996</v>
      </c>
      <c r="DO23" s="13">
        <f>IF('Données projet'!$A$166&gt;35,DO22+DN23-DW22,IF(A23&lt;'Données projet'!$A$166,$DL$205^A23,IF(A23='Données projet'!$A$166,'Données projet'!$B$166,DO22+DN23-DW22)))</f>
        <v>133.69999999999999</v>
      </c>
      <c r="DP23" s="18">
        <f>DO23*VLOOKUP('Données projet'!$B$14,Paramètres!$A$1:$I$89,3,0)*VLOOKUP('Données projet'!$B$14,Paramètres!$A$1:$I$89,5,0)</f>
        <v>108.45744000000001</v>
      </c>
      <c r="DQ23" s="14">
        <f t="shared" si="43"/>
        <v>28.96724722301407</v>
      </c>
      <c r="DR23" s="22">
        <f t="shared" si="16"/>
        <v>239.34799691341618</v>
      </c>
      <c r="DS23" s="62">
        <f t="shared" si="17"/>
        <v>520.45910802452727</v>
      </c>
      <c r="DT23" s="62">
        <f ca="1">AVERAGE(OFFSET($DS$3,0,0,'Données projet'!$E$14+1,1))-AVERAGE(OFFSET($H$3,0,0,'Données projet'!$E$14+1,1))</f>
        <v>223.63222290670075</v>
      </c>
      <c r="DU23" s="62">
        <f t="shared" si="44"/>
        <v>290.02663909417248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79.2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283.56470622103035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12.650000000000002</v>
      </c>
      <c r="N24" s="14">
        <f>IF('Données projet'!$A$36&gt;35,N23+M24-V23,IF(A24&lt;'Données projet'!$A$36,$K$205^A24,IF(A24='Données projet'!$A$36,'Données projet'!$B$36,N23+M24-V23)))</f>
        <v>87.75</v>
      </c>
      <c r="O24" s="14">
        <f>N24*VLOOKUP('Données projet'!$B$9,Paramètres!$A$1:$I$89,3,0)*VLOOKUP('Données projet'!$B$9,Paramètres!$A$1:$I$89,5,0)</f>
        <v>52.474500000000006</v>
      </c>
      <c r="P24" s="14">
        <f t="shared" si="33"/>
        <v>15.251002448960318</v>
      </c>
      <c r="Q24" s="22">
        <f t="shared" si="2"/>
        <v>117.95525009860587</v>
      </c>
      <c r="R24" s="62">
        <f t="shared" si="0"/>
        <v>400.28858343193917</v>
      </c>
      <c r="S24" s="62">
        <f ca="1">AVERAGE(OFFSET($R$3,0,0,'Données projet'!$E$9+1,1))-AVERAGE(OFFSET($H$3,0,0,'Données projet'!$E$9+1,1))</f>
        <v>192.24617268603629</v>
      </c>
      <c r="T24" s="62">
        <f t="shared" si="34"/>
        <v>192.48585280662832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1.5286560011203325</v>
      </c>
      <c r="AB24" s="23">
        <f>EXP(-LN(2)/2)*AB23+(1-EXP(-LN(2)/2))/(LN(2)/2)*V24*Y24*VLOOKUP('Données projet'!$B$9,Paramètres!$A$1:$I$89,3,0)*0.475*44/12</f>
        <v>3.7056353956564907</v>
      </c>
      <c r="AC24" s="24">
        <f t="shared" si="3"/>
        <v>5.2342913967768236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22.581666666666667</v>
      </c>
      <c r="AI24" s="14">
        <f>IF('Données projet'!$A$62&gt;35,AI23+AH24-AQ23,IF(A24&lt;'Données projet'!$A$62,$AF$205^A24,IF(A24='Données projet'!$A$62,'Données projet'!$B$62,AI23+AH24-AQ23)))</f>
        <v>156.65966666666668</v>
      </c>
      <c r="AJ24" s="14">
        <f>AI24*VLOOKUP('Données projet'!$B$10,Paramètres!$A$1:$I$89,3,0)*VLOOKUP('Données projet'!$B$10,Paramètres!$A$1:$I$89,5,0)</f>
        <v>93.682480666666692</v>
      </c>
      <c r="AK24" s="14">
        <f t="shared" si="35"/>
        <v>25.451267252634516</v>
      </c>
      <c r="AL24" s="22">
        <f t="shared" si="4"/>
        <v>207.49127762611627</v>
      </c>
      <c r="AM24" s="62">
        <f t="shared" si="5"/>
        <v>489.82461095944961</v>
      </c>
      <c r="AN24" s="62">
        <f ca="1">AVERAGE(OFFSET($AM$3,0,0,'Données projet'!$E$10+1,1))-AVERAGE(OFFSET($H$3,0,0,'Données projet'!$E$10+1,1))</f>
        <v>164.64952352018145</v>
      </c>
      <c r="AO24" s="62">
        <f t="shared" si="36"/>
        <v>280.08682720086921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0.63636358417678995</v>
      </c>
      <c r="AW24" s="23">
        <f>EXP(-LN(2)/2)*AW23+(1-EXP(-LN(2)/2))/(LN(2)/2)*AQ24*AT24*VLOOKUP('Données projet'!$B$10,Paramètres!$A$1:$I$89,3,0)*0.475*44/12</f>
        <v>2.7645627135803057</v>
      </c>
      <c r="AX24" s="23">
        <f t="shared" si="6"/>
        <v>3.4009262977570955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0.7466666666666667</v>
      </c>
      <c r="BD24" s="13">
        <f>IF('Données projet'!$A$88&gt;35,BD23+BC24-BL23,IF(A24&lt;'Données projet'!$A$88,$BA$205^A24,IF(A24='Données projet'!$A$88,'Données projet'!$B$88,BD23+BC24-BL23)))</f>
        <v>8.8140115003639945</v>
      </c>
      <c r="BE24" s="14">
        <f>BD24*VLOOKUP('Données projet'!$B$11,Paramètres!$A$1:$I$89,3,0)*VLOOKUP('Données projet'!$B$11,Paramètres!$A$1:$I$89,5,0)</f>
        <v>7.4249232879066298</v>
      </c>
      <c r="BF24" s="14">
        <f t="shared" si="37"/>
        <v>2.7095395240964133</v>
      </c>
      <c r="BG24" s="22">
        <f t="shared" si="7"/>
        <v>17.650856064238635</v>
      </c>
      <c r="BH24" s="62">
        <f t="shared" si="8"/>
        <v>299.98418939757192</v>
      </c>
      <c r="BI24" s="62">
        <f ca="1">AVERAGE(OFFSET($BH$3,0,0,'Données projet'!$E$11+1,1))-AVERAGE(OFFSET($H$3,0,0,'Données projet'!$E$11+1,1))</f>
        <v>339.58585574836434</v>
      </c>
      <c r="BJ24" s="62">
        <f t="shared" si="38"/>
        <v>42.267525972379588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0.28233333333333338</v>
      </c>
      <c r="BY24" s="13">
        <f>IF('Données projet'!$A$114&gt;35,BY23+BX24-CG23,IF(A24&lt;'Données projet'!$A$114,$BV$205^A24,IF(A24='Données projet'!$A$114,'Données projet'!$B$114,BY23+BX24-CG23)))</f>
        <v>4.461885149841005</v>
      </c>
      <c r="BZ24" s="14">
        <f>BY24*VLOOKUP('Données projet'!$B$12,Paramètres!$A$1:$I$89,3,0)*VLOOKUP('Données projet'!$B$12,Paramètres!$A$1:$I$89,5,0)</f>
        <v>4.4547461336012599</v>
      </c>
      <c r="CA24" s="14">
        <f t="shared" si="39"/>
        <v>1.7252499835832149</v>
      </c>
      <c r="CB24" s="22">
        <f t="shared" si="10"/>
        <v>10.763493237429627</v>
      </c>
      <c r="CC24" s="62">
        <f t="shared" si="11"/>
        <v>293.09682657076291</v>
      </c>
      <c r="CD24" s="62">
        <f ca="1">AVERAGE(OFFSET($CC$3,0,0,'Données projet'!$E$12+1,1))-AVERAGE(OFFSET($H$3,0,0,'Données projet'!$E$12+1,1))</f>
        <v>112.34884104798977</v>
      </c>
      <c r="CE24" s="62">
        <f t="shared" si="40"/>
        <v>18.665658139749326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6.5025000000000004</v>
      </c>
      <c r="CT24" s="13">
        <f>IF('Données projet'!$A$140&gt;35,CT23+CS24-DB23,IF(A24&lt;'Données projet'!$A$140,$CQ$205^A24,IF(A24='Données projet'!$A$140,'Données projet'!$B$140,CT23+CS24-DB23)))</f>
        <v>61.022499999999987</v>
      </c>
      <c r="CU24" s="18">
        <f>CT24*VLOOKUP('Données projet'!$B$13,Paramètres!$A$1:$I$89,3,0)*VLOOKUP('Données projet'!$B$13,Paramètres!$A$1:$I$89,5,0)</f>
        <v>66.636569999999978</v>
      </c>
      <c r="CV24" s="14">
        <f t="shared" si="41"/>
        <v>18.835820741359186</v>
      </c>
      <c r="CW24" s="22">
        <f t="shared" si="13"/>
        <v>148.86441387453388</v>
      </c>
      <c r="CX24" s="62">
        <f t="shared" si="14"/>
        <v>431.19774720786722</v>
      </c>
      <c r="CY24" s="62">
        <f ca="1">AVERAGE(OFFSET($CX$3,0,0,'Données projet'!$E$13+1,1))-AVERAGE(OFFSET($H$3,0,0,'Données projet'!$E$13+1,1))</f>
        <v>205.21073681197737</v>
      </c>
      <c r="CZ24" s="62">
        <f t="shared" si="42"/>
        <v>175.16446313750316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2.3370200983855685</v>
      </c>
      <c r="DI24" s="24">
        <f t="shared" si="15"/>
        <v>2.3370200983855685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10.906666666666668</v>
      </c>
      <c r="DO24" s="13">
        <f>IF('Données projet'!$A$166&gt;35,DO23+DN24-DW23,IF(A24&lt;'Données projet'!$A$166,$DL$205^A24,IF(A24='Données projet'!$A$166,'Données projet'!$B$166,DO23+DN24-DW23)))</f>
        <v>65.406666666666652</v>
      </c>
      <c r="DP24" s="18">
        <f>DO24*VLOOKUP('Données projet'!$B$14,Paramètres!$A$1:$I$89,3,0)*VLOOKUP('Données projet'!$B$14,Paramètres!$A$1:$I$89,5,0)</f>
        <v>53.057887999999998</v>
      </c>
      <c r="DQ24" s="14">
        <f t="shared" si="43"/>
        <v>15.40072366284558</v>
      </c>
      <c r="DR24" s="22">
        <f t="shared" si="16"/>
        <v>119.23208197945604</v>
      </c>
      <c r="DS24" s="62">
        <f t="shared" si="17"/>
        <v>401.56541531278936</v>
      </c>
      <c r="DT24" s="62">
        <f ca="1">AVERAGE(OFFSET($DS$3,0,0,'Données projet'!$E$14+1,1))-AVERAGE(OFFSET($H$3,0,0,'Données projet'!$E$14+1,1))</f>
        <v>223.63222290670075</v>
      </c>
      <c r="DU24" s="62">
        <f t="shared" si="44"/>
        <v>290.02663909417248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284.8063699102529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12.650000000000002</v>
      </c>
      <c r="N25" s="14">
        <f>IF('Données projet'!$A$36&gt;35,N24+M25-V24,IF(A25&lt;'Données projet'!$A$36,$K$205^A25,IF(A25='Données projet'!$A$36,'Données projet'!$B$36,N24+M25-V24)))</f>
        <v>100.4</v>
      </c>
      <c r="O25" s="14">
        <f>N25*VLOOKUP('Données projet'!$B$9,Paramètres!$A$1:$I$89,3,0)*VLOOKUP('Données projet'!$B$9,Paramètres!$A$1:$I$89,5,0)</f>
        <v>60.039200000000008</v>
      </c>
      <c r="P25" s="14">
        <f t="shared" si="33"/>
        <v>17.17817962563306</v>
      </c>
      <c r="Q25" s="22">
        <f t="shared" si="2"/>
        <v>134.48693618131094</v>
      </c>
      <c r="R25" s="62">
        <f t="shared" si="0"/>
        <v>418.04249173686651</v>
      </c>
      <c r="S25" s="62">
        <f ca="1">AVERAGE(OFFSET($R$3,0,0,'Données projet'!$E$9+1,1))-AVERAGE(OFFSET($H$3,0,0,'Données projet'!$E$9+1,1))</f>
        <v>192.24617268603629</v>
      </c>
      <c r="T25" s="62">
        <f t="shared" si="34"/>
        <v>192.48585280662832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1.4868548223811717</v>
      </c>
      <c r="AB25" s="23">
        <f>EXP(-LN(2)/2)*AB24+(1-EXP(-LN(2)/2))/(LN(2)/2)*V25*Y25*VLOOKUP('Données projet'!$B$9,Paramètres!$A$1:$I$89,3,0)*0.475*44/12</f>
        <v>2.6202799168735997</v>
      </c>
      <c r="AC25" s="24">
        <f t="shared" si="3"/>
        <v>4.1071347392547715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22.581666666666667</v>
      </c>
      <c r="AI25" s="14">
        <f>IF('Données projet'!$A$62&gt;35,AI24+AH25-AQ24,IF(A25&lt;'Données projet'!$A$62,$AF$205^A25,IF(A25='Données projet'!$A$62,'Données projet'!$B$62,AI24+AH25-AQ24)))</f>
        <v>179.24133333333336</v>
      </c>
      <c r="AJ25" s="14">
        <f>AI25*VLOOKUP('Données projet'!$B$10,Paramètres!$A$1:$I$89,3,0)*VLOOKUP('Données projet'!$B$10,Paramètres!$A$1:$I$89,5,0)</f>
        <v>107.18631733333336</v>
      </c>
      <c r="AK25" s="14">
        <f t="shared" si="35"/>
        <v>28.667062573880642</v>
      </c>
      <c r="AL25" s="22">
        <f t="shared" si="4"/>
        <v>236.61130333839768</v>
      </c>
      <c r="AM25" s="62">
        <f t="shared" si="5"/>
        <v>520.16685889395319</v>
      </c>
      <c r="AN25" s="62">
        <f ca="1">AVERAGE(OFFSET($AM$3,0,0,'Données projet'!$E$10+1,1))-AVERAGE(OFFSET($H$3,0,0,'Données projet'!$E$10+1,1))</f>
        <v>164.64952352018145</v>
      </c>
      <c r="AO25" s="62">
        <f t="shared" si="36"/>
        <v>280.08682720086921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0.61896218850256912</v>
      </c>
      <c r="AW25" s="23">
        <f>EXP(-LN(2)/2)*AW24+(1-EXP(-LN(2)/2))/(LN(2)/2)*AQ25*AT25*VLOOKUP('Données projet'!$B$10,Paramètres!$A$1:$I$89,3,0)*0.475*44/12</f>
        <v>1.9548410417881175</v>
      </c>
      <c r="AX25" s="23">
        <f t="shared" si="6"/>
        <v>2.5738032302906868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0.7466666666666667</v>
      </c>
      <c r="BD25" s="13">
        <f>IF('Données projet'!$A$88&gt;35,BD24+BC25-BL24,IF(A25&lt;'Données projet'!$A$88,$BA$205^A25,IF(A25='Données projet'!$A$88,'Données projet'!$B$88,BD24+BC25-BL24)))</f>
        <v>9.7764656817478883</v>
      </c>
      <c r="BE25" s="14">
        <f>BD25*VLOOKUP('Données projet'!$B$11,Paramètres!$A$1:$I$89,3,0)*VLOOKUP('Données projet'!$B$11,Paramètres!$A$1:$I$89,5,0)</f>
        <v>8.2356946903044221</v>
      </c>
      <c r="BF25" s="14">
        <f t="shared" si="37"/>
        <v>2.9693732746818853</v>
      </c>
      <c r="BG25" s="22">
        <f t="shared" si="7"/>
        <v>19.515493372351152</v>
      </c>
      <c r="BH25" s="62">
        <f t="shared" si="8"/>
        <v>303.0710489279067</v>
      </c>
      <c r="BI25" s="62">
        <f ca="1">AVERAGE(OFFSET($BH$3,0,0,'Données projet'!$E$11+1,1))-AVERAGE(OFFSET($H$3,0,0,'Données projet'!$E$11+1,1))</f>
        <v>339.58585574836434</v>
      </c>
      <c r="BJ25" s="62">
        <f t="shared" si="38"/>
        <v>42.267525972379588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0.28233333333333338</v>
      </c>
      <c r="BY25" s="13">
        <f>IF('Données projet'!$A$114&gt;35,BY24+BX25-CG24,IF(A25&lt;'Données projet'!$A$114,$BV$205^A25,IF(A25='Données projet'!$A$114,'Données projet'!$B$114,BY24+BX25-CG24)))</f>
        <v>4.791238989596911</v>
      </c>
      <c r="BZ25" s="14">
        <f>BY25*VLOOKUP('Données projet'!$B$12,Paramètres!$A$1:$I$89,3,0)*VLOOKUP('Données projet'!$B$12,Paramètres!$A$1:$I$89,5,0)</f>
        <v>4.7835730072135565</v>
      </c>
      <c r="CA25" s="14">
        <f t="shared" si="39"/>
        <v>1.8373051455641738</v>
      </c>
      <c r="CB25" s="22">
        <f t="shared" si="10"/>
        <v>11.531362782754547</v>
      </c>
      <c r="CC25" s="62">
        <f t="shared" si="11"/>
        <v>295.08691833831011</v>
      </c>
      <c r="CD25" s="62">
        <f ca="1">AVERAGE(OFFSET($CC$3,0,0,'Données projet'!$E$12+1,1))-AVERAGE(OFFSET($H$3,0,0,'Données projet'!$E$12+1,1))</f>
        <v>112.34884104798977</v>
      </c>
      <c r="CE25" s="62">
        <f t="shared" si="40"/>
        <v>18.665658139749326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6.5025000000000004</v>
      </c>
      <c r="CT25" s="13">
        <f>IF('Données projet'!$A$140&gt;35,CT24+CS25-DB24,IF(A25&lt;'Données projet'!$A$140,$CQ$205^A25,IF(A25='Données projet'!$A$140,'Données projet'!$B$140,CT24+CS25-DB24)))</f>
        <v>67.524999999999991</v>
      </c>
      <c r="CU25" s="18">
        <f>CT25*VLOOKUP('Données projet'!$B$13,Paramètres!$A$1:$I$89,3,0)*VLOOKUP('Données projet'!$B$13,Paramètres!$A$1:$I$89,5,0)</f>
        <v>73.737299999999991</v>
      </c>
      <c r="CV25" s="14">
        <f t="shared" si="41"/>
        <v>20.598732717977917</v>
      </c>
      <c r="CW25" s="22">
        <f t="shared" si="13"/>
        <v>164.30192365047816</v>
      </c>
      <c r="CX25" s="62">
        <f t="shared" si="14"/>
        <v>447.8574792060337</v>
      </c>
      <c r="CY25" s="62">
        <f ca="1">AVERAGE(OFFSET($CX$3,0,0,'Données projet'!$E$13+1,1))-AVERAGE(OFFSET($H$3,0,0,'Données projet'!$E$13+1,1))</f>
        <v>205.21073681197737</v>
      </c>
      <c r="CZ25" s="62">
        <f t="shared" si="42"/>
        <v>175.16446313750316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1.6525227593376881</v>
      </c>
      <c r="DI25" s="24">
        <f t="shared" si="15"/>
        <v>1.6525227593376881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10.906666666666668</v>
      </c>
      <c r="DO25" s="13">
        <f>IF('Données projet'!$A$166&gt;35,DO24+DN25-DW24,IF(A25&lt;'Données projet'!$A$166,$DL$205^A25,IF(A25='Données projet'!$A$166,'Données projet'!$B$166,DO24+DN25-DW24)))</f>
        <v>76.313333333333318</v>
      </c>
      <c r="DP25" s="18">
        <f>DO25*VLOOKUP('Données projet'!$B$14,Paramètres!$A$1:$I$89,3,0)*VLOOKUP('Données projet'!$B$14,Paramètres!$A$1:$I$89,5,0)</f>
        <v>61.90537599999999</v>
      </c>
      <c r="DQ25" s="14">
        <f t="shared" si="43"/>
        <v>17.649127838131299</v>
      </c>
      <c r="DR25" s="22">
        <f t="shared" si="16"/>
        <v>138.55742751807867</v>
      </c>
      <c r="DS25" s="62">
        <f t="shared" si="17"/>
        <v>422.11298307363421</v>
      </c>
      <c r="DT25" s="62">
        <f ca="1">AVERAGE(OFFSET($DS$3,0,0,'Données projet'!$E$14+1,1))-AVERAGE(OFFSET($H$3,0,0,'Données projet'!$E$14+1,1))</f>
        <v>223.63222290670075</v>
      </c>
      <c r="DU25" s="62">
        <f t="shared" si="44"/>
        <v>290.02663909417248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286.04649896367255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12.650000000000002</v>
      </c>
      <c r="N26" s="14">
        <f>IF('Données projet'!$A$36&gt;35,N25+M26-V25,IF(A26&lt;'Données projet'!$A$36,$K$205^A26,IF(A26='Données projet'!$A$36,'Données projet'!$B$36,N25+M26-V25)))</f>
        <v>113.05000000000001</v>
      </c>
      <c r="O26" s="14">
        <f>N26*VLOOKUP('Données projet'!$B$9,Paramètres!$A$1:$I$89,3,0)*VLOOKUP('Données projet'!$B$9,Paramètres!$A$1:$I$89,5,0)</f>
        <v>67.60390000000001</v>
      </c>
      <c r="P26" s="14">
        <f t="shared" si="33"/>
        <v>19.077220690141743</v>
      </c>
      <c r="Q26" s="22">
        <f t="shared" si="2"/>
        <v>150.96961853533023</v>
      </c>
      <c r="R26" s="62">
        <f t="shared" si="0"/>
        <v>435.74739631310797</v>
      </c>
      <c r="S26" s="62">
        <f ca="1">AVERAGE(OFFSET($R$3,0,0,'Données projet'!$E$9+1,1))-AVERAGE(OFFSET($H$3,0,0,'Données projet'!$E$9+1,1))</f>
        <v>192.24617268603629</v>
      </c>
      <c r="T26" s="62">
        <f t="shared" si="34"/>
        <v>192.48585280662832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1.4461966990728616</v>
      </c>
      <c r="AB26" s="23">
        <f>EXP(-LN(2)/2)*AB25+(1-EXP(-LN(2)/2))/(LN(2)/2)*V26*Y26*VLOOKUP('Données projet'!$B$9,Paramètres!$A$1:$I$89,3,0)*0.475*44/12</f>
        <v>1.8528176978282456</v>
      </c>
      <c r="AC26" s="24">
        <f t="shared" si="3"/>
        <v>3.2990143969011072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>
        <f>VLOOKUP(A26,'Données projet'!$A$61:$I$81,2,0)</f>
        <v>201.82300000000001</v>
      </c>
      <c r="AG26" s="13">
        <f>VLOOKUP(A26,'Données projet'!$A$61:$I$81,9,0)</f>
        <v>22.581666666666667</v>
      </c>
      <c r="AH26" s="13">
        <f t="array" ref="AH26">INDEX(AG:AG,MIN(IF(ISNUMBER(AG26:AG222),ROW(AG26:AG222),"")))</f>
        <v>22.581666666666667</v>
      </c>
      <c r="AI26" s="14">
        <f>IF('Données projet'!$A$62&gt;35,AI25+AH26-AQ25,IF(A26&lt;'Données projet'!$A$62,$AF$205^A26,IF(A26='Données projet'!$A$62,'Données projet'!$B$62,AI25+AH26-AQ25)))</f>
        <v>201.82300000000004</v>
      </c>
      <c r="AJ26" s="14">
        <f>AI26*VLOOKUP('Données projet'!$B$10,Paramètres!$A$1:$I$89,3,0)*VLOOKUP('Données projet'!$B$10,Paramètres!$A$1:$I$89,5,0)</f>
        <v>120.69015400000004</v>
      </c>
      <c r="AK26" s="14">
        <f t="shared" si="35"/>
        <v>31.835912616315465</v>
      </c>
      <c r="AL26" s="22">
        <f t="shared" si="4"/>
        <v>265.64956602341613</v>
      </c>
      <c r="AM26" s="62">
        <f t="shared" si="5"/>
        <v>550.42734380119396</v>
      </c>
      <c r="AN26" s="62">
        <f ca="1">AVERAGE(OFFSET($AM$3,0,0,'Données projet'!$E$10+1,1))-AVERAGE(OFFSET($H$3,0,0,'Données projet'!$E$10+1,1))</f>
        <v>164.64952352018145</v>
      </c>
      <c r="AO26" s="62">
        <f t="shared" si="36"/>
        <v>280.08682720086921</v>
      </c>
      <c r="AP26" s="16">
        <f>IF(ISNA(VLOOKUP(A26,'Données projet'!$A$61:$I$81,3,0)),0,VLOOKUP(A26,'Données projet'!$A$61:$I$81,3,0))</f>
        <v>4</v>
      </c>
      <c r="AQ26" s="16">
        <f>IF(ISNA(VLOOKUP(A26,'Données projet'!$A$61:$I$81,4,0)),0,VLOOKUP(A26,'Données projet'!$A$61:$I$81,4,0))</f>
        <v>30.98</v>
      </c>
      <c r="AR26" s="17">
        <f>IF(ISNA(VLOOKUP(A26,'Données projet'!$A$61:$I$81,5,0)),0%,VLOOKUP(A26,'Données projet'!$A$61:$I$81,5,0)*VLOOKUP('Données projet'!$B$10,Paramètres!$A$1:$I$89,7,0))</f>
        <v>4.5000000000000005E-2</v>
      </c>
      <c r="AS26" s="17">
        <f>IF(ISNA(VLOOKUP(A26,'Données projet'!$A$61:$I$81,6,0)),0%,VLOOKUP(A26,'Données projet'!$A$61:$I$81,6,0)*VLOOKUP('Données projet'!$B$10,Paramètres!$A$1:$I$89,7,0))</f>
        <v>0.13500000000000001</v>
      </c>
      <c r="AT26" s="17">
        <f>IF(ISNA(VLOOKUP(A26,'Données projet'!$A$61:$I$81,7,0)),0%,VLOOKUP(A26,'Données projet'!$A$61:$I$81,7,0))</f>
        <v>0.2</v>
      </c>
      <c r="AU26" s="23">
        <f>EXP(-LN(2)/35)*AU25+(1-EXP(-LN(2)/35))/(LN(2)/35)*AQ26*AR26*VLOOKUP('Données projet'!$B$10,Paramètres!$A$1:$I$89,3,0)*0.475*44/12</f>
        <v>1.1059193773823015</v>
      </c>
      <c r="AV26" s="23">
        <f>EXP(-LN(2)/25)*AV25+(1-EXP(-LN(2)/25))/(LN(2)/25)*Calculateur!AQ26*Calculateur!AS26*VLOOKUP('Données projet'!$B$10,Paramètres!$A$1:$I$89,3,0)*0.475*44/12</f>
        <v>3.9067314891238434</v>
      </c>
      <c r="AW26" s="23">
        <f>EXP(-LN(2)/2)*AW25+(1-EXP(-LN(2)/2))/(LN(2)/2)*AQ26*AT26*VLOOKUP('Données projet'!$B$10,Paramètres!$A$1:$I$89,3,0)*0.475*44/12</f>
        <v>5.5774375234435949</v>
      </c>
      <c r="AX26" s="23">
        <f t="shared" si="6"/>
        <v>10.59008838994974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0.7466666666666667</v>
      </c>
      <c r="BD26" s="13">
        <f>IF('Données projet'!$A$88&gt;35,BD25+BC26-BL25,IF(A26&lt;'Données projet'!$A$88,$BA$205^A26,IF(A26='Données projet'!$A$88,'Données projet'!$B$88,BD25+BC26-BL25)))</f>
        <v>10.844015942394339</v>
      </c>
      <c r="BE26" s="14">
        <f>BD26*VLOOKUP('Données projet'!$B$11,Paramètres!$A$1:$I$89,3,0)*VLOOKUP('Données projet'!$B$11,Paramètres!$A$1:$I$89,5,0)</f>
        <v>9.1349990298729917</v>
      </c>
      <c r="BF26" s="14">
        <f t="shared" si="37"/>
        <v>3.254124018484434</v>
      </c>
      <c r="BG26" s="22">
        <f t="shared" si="7"/>
        <v>21.577722642555852</v>
      </c>
      <c r="BH26" s="62">
        <f t="shared" si="8"/>
        <v>306.35550042033361</v>
      </c>
      <c r="BI26" s="62">
        <f ca="1">AVERAGE(OFFSET($BH$3,0,0,'Données projet'!$E$11+1,1))-AVERAGE(OFFSET($H$3,0,0,'Données projet'!$E$11+1,1))</f>
        <v>339.58585574836434</v>
      </c>
      <c r="BJ26" s="62">
        <f t="shared" si="38"/>
        <v>42.267525972379588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0.28233333333333338</v>
      </c>
      <c r="BY26" s="13">
        <f>IF('Données projet'!$A$114&gt;35,BY25+BX26-CG25,IF(A26&lt;'Données projet'!$A$114,$BV$205^A26,IF(A26='Données projet'!$A$114,'Données projet'!$B$114,BY25+BX26-CG25)))</f>
        <v>5.1449040673428454</v>
      </c>
      <c r="BZ26" s="14">
        <f>BY26*VLOOKUP('Données projet'!$B$12,Paramètres!$A$1:$I$89,3,0)*VLOOKUP('Données projet'!$B$12,Paramètres!$A$1:$I$89,5,0)</f>
        <v>5.1366722208350968</v>
      </c>
      <c r="CA26" s="14">
        <f t="shared" si="39"/>
        <v>1.9566383017176063</v>
      </c>
      <c r="CB26" s="22">
        <f t="shared" si="10"/>
        <v>12.354182493445956</v>
      </c>
      <c r="CC26" s="62">
        <f t="shared" si="11"/>
        <v>297.1319602712237</v>
      </c>
      <c r="CD26" s="62">
        <f ca="1">AVERAGE(OFFSET($CC$3,0,0,'Données projet'!$E$12+1,1))-AVERAGE(OFFSET($H$3,0,0,'Données projet'!$E$12+1,1))</f>
        <v>112.34884104798977</v>
      </c>
      <c r="CE26" s="62">
        <f t="shared" si="40"/>
        <v>18.665658139749326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6.5025000000000004</v>
      </c>
      <c r="CT26" s="13">
        <f>IF('Données projet'!$A$140&gt;35,CT25+CS26-DB25,IF(A26&lt;'Données projet'!$A$140,$CQ$205^A26,IF(A26='Données projet'!$A$140,'Données projet'!$B$140,CT25+CS26-DB25)))</f>
        <v>74.027499999999989</v>
      </c>
      <c r="CU26" s="18">
        <f>CT26*VLOOKUP('Données projet'!$B$13,Paramètres!$A$1:$I$89,3,0)*VLOOKUP('Données projet'!$B$13,Paramètres!$A$1:$I$89,5,0)</f>
        <v>80.838029999999989</v>
      </c>
      <c r="CV26" s="14">
        <f t="shared" si="41"/>
        <v>22.341962382250667</v>
      </c>
      <c r="CW26" s="22">
        <f t="shared" si="13"/>
        <v>179.70515339908658</v>
      </c>
      <c r="CX26" s="62">
        <f t="shared" si="14"/>
        <v>464.48293117686433</v>
      </c>
      <c r="CY26" s="62">
        <f ca="1">AVERAGE(OFFSET($CX$3,0,0,'Données projet'!$E$13+1,1))-AVERAGE(OFFSET($H$3,0,0,'Données projet'!$E$13+1,1))</f>
        <v>205.21073681197737</v>
      </c>
      <c r="CZ26" s="62">
        <f t="shared" si="42"/>
        <v>175.16446313750316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1.1685100491927845</v>
      </c>
      <c r="DI26" s="24">
        <f t="shared" si="15"/>
        <v>1.1685100491927845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10.906666666666668</v>
      </c>
      <c r="DO26" s="13">
        <f>IF('Données projet'!$A$166&gt;35,DO25+DN26-DW25,IF(A26&lt;'Données projet'!$A$166,$DL$205^A26,IF(A26='Données projet'!$A$166,'Données projet'!$B$166,DO25+DN26-DW25)))</f>
        <v>87.219999999999985</v>
      </c>
      <c r="DP26" s="18">
        <f>DO26*VLOOKUP('Données projet'!$B$14,Paramètres!$A$1:$I$89,3,0)*VLOOKUP('Données projet'!$B$14,Paramètres!$A$1:$I$89,5,0)</f>
        <v>70.752863999999988</v>
      </c>
      <c r="DQ26" s="14">
        <f t="shared" si="43"/>
        <v>19.860303672815792</v>
      </c>
      <c r="DR26" s="22">
        <f t="shared" si="16"/>
        <v>157.8179336968208</v>
      </c>
      <c r="DS26" s="62">
        <f t="shared" si="17"/>
        <v>442.5957114745986</v>
      </c>
      <c r="DT26" s="62">
        <f ca="1">AVERAGE(OFFSET($DS$3,0,0,'Données projet'!$E$14+1,1))-AVERAGE(OFFSET($H$3,0,0,'Données projet'!$E$14+1,1))</f>
        <v>223.63222290670075</v>
      </c>
      <c r="DU26" s="62">
        <f t="shared" si="44"/>
        <v>290.02663909417248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287.28516773082151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>
        <f>VLOOKUP(A27,'Données projet'!$A$35:$I$55,2,0)</f>
        <v>125.7</v>
      </c>
      <c r="L27" s="13">
        <f>VLOOKUP(A27,'Données projet'!$A$35:$I$55,9,0)</f>
        <v>12.650000000000002</v>
      </c>
      <c r="M27" s="13">
        <f t="array" ref="M27">INDEX(L:L,MIN(IF(ISNUMBER(L27:L223),ROW(L27:L223),"")))</f>
        <v>12.650000000000002</v>
      </c>
      <c r="N27" s="14">
        <f>IF('Données projet'!$A$36&gt;35,N26+M27-V26,IF(A27&lt;'Données projet'!$A$36,$K$205^A27,IF(A27='Données projet'!$A$36,'Données projet'!$B$36,N26+M27-V26)))</f>
        <v>125.70000000000002</v>
      </c>
      <c r="O27" s="14">
        <f>N27*VLOOKUP('Données projet'!$B$9,Paramètres!$A$1:$I$89,3,0)*VLOOKUP('Données projet'!$B$9,Paramètres!$A$1:$I$89,5,0)</f>
        <v>75.168600000000012</v>
      </c>
      <c r="P27" s="14">
        <f t="shared" si="33"/>
        <v>20.951633205295295</v>
      </c>
      <c r="Q27" s="22">
        <f t="shared" si="2"/>
        <v>167.40940616588932</v>
      </c>
      <c r="R27" s="62">
        <f t="shared" si="0"/>
        <v>453.40940616588932</v>
      </c>
      <c r="S27" s="62">
        <f ca="1">AVERAGE(OFFSET($R$3,0,0,'Données projet'!$E$9+1,1))-AVERAGE(OFFSET($H$3,0,0,'Données projet'!$E$9+1,1))</f>
        <v>192.24617268603629</v>
      </c>
      <c r="T27" s="62">
        <f t="shared" si="34"/>
        <v>192.48585280662832</v>
      </c>
      <c r="U27" s="16">
        <f>IF(ISNA(VLOOKUP(A27,'Données projet'!$A$35:$I$55,3,0)),0,VLOOKUP(A27,'Données projet'!$A$35:$I$55,3,0))</f>
        <v>4</v>
      </c>
      <c r="V27" s="16">
        <f>IF(ISNA(VLOOKUP(A27,'Données projet'!$A$35:$I$55,4,0)),0,VLOOKUP(A27,'Données projet'!$A$35:$I$55,4,0))</f>
        <v>30.8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9.0000000000000011E-2</v>
      </c>
      <c r="Y27" s="17">
        <f>IF(ISNA(VLOOKUP(A27,'Données projet'!$A$35:$I$55,7,0)),0%,VLOOKUP(A27,'Données projet'!$A$35:$I$55,7,0))</f>
        <v>0.3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3.5969796514492236</v>
      </c>
      <c r="AB27" s="23">
        <f>EXP(-LN(2)/2)*AB26+(1-EXP(-LN(2)/2))/(LN(2)/2)*V27*Y27*VLOOKUP('Données projet'!$B$9,Paramètres!$A$1:$I$89,3,0)*0.475*44/12</f>
        <v>7.5663121630652377</v>
      </c>
      <c r="AC27" s="24">
        <f t="shared" si="3"/>
        <v>11.163291814514462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6.1837142857142817</v>
      </c>
      <c r="AI27" s="14">
        <f>IF('Données projet'!$A$62&gt;35,AI26+AH27-AQ26,IF(A27&lt;'Données projet'!$A$62,$AF$205^A27,IF(A27='Données projet'!$A$62,'Données projet'!$B$62,AI26+AH27-AQ26)))</f>
        <v>177.02671428571432</v>
      </c>
      <c r="AJ27" s="14">
        <f>AI27*VLOOKUP('Données projet'!$B$10,Paramètres!$A$1:$I$89,3,0)*VLOOKUP('Données projet'!$B$10,Paramètres!$A$1:$I$89,5,0)</f>
        <v>105.86197514285716</v>
      </c>
      <c r="AK27" s="14">
        <f t="shared" si="35"/>
        <v>28.353868600927605</v>
      </c>
      <c r="AL27" s="22">
        <f t="shared" si="4"/>
        <v>233.75926118709182</v>
      </c>
      <c r="AM27" s="62">
        <f t="shared" si="5"/>
        <v>519.75926118709185</v>
      </c>
      <c r="AN27" s="62">
        <f ca="1">AVERAGE(OFFSET($AM$3,0,0,'Données projet'!$E$10+1,1))-AVERAGE(OFFSET($H$3,0,0,'Données projet'!$E$10+1,1))</f>
        <v>164.64952352018145</v>
      </c>
      <c r="AO27" s="62">
        <f t="shared" si="36"/>
        <v>280.08682720086921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1.0842329729360491</v>
      </c>
      <c r="AV27" s="23">
        <f>EXP(-LN(2)/25)*AV26+(1-EXP(-LN(2)/25))/(LN(2)/25)*Calculateur!AQ27*Calculateur!AS27*VLOOKUP('Données projet'!$B$10,Paramètres!$A$1:$I$89,3,0)*0.475*44/12</f>
        <v>3.7999017111076716</v>
      </c>
      <c r="AW27" s="23">
        <f>EXP(-LN(2)/2)*AW26+(1-EXP(-LN(2)/2))/(LN(2)/2)*AQ27*AT27*VLOOKUP('Données projet'!$B$10,Paramètres!$A$1:$I$89,3,0)*0.475*44/12</f>
        <v>3.9438438944712697</v>
      </c>
      <c r="AX27" s="23">
        <f t="shared" si="6"/>
        <v>8.8279785785149905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0.7466666666666667</v>
      </c>
      <c r="BD27" s="13">
        <f>IF('Données projet'!$A$88&gt;35,BD26+BC27-BL26,IF(A27&lt;'Données projet'!$A$88,$BA$205^A27,IF(A27='Données projet'!$A$88,'Données projet'!$B$88,BD26+BC27-BL26)))</f>
        <v>12.028138346400736</v>
      </c>
      <c r="BE27" s="14">
        <f>BD27*VLOOKUP('Données projet'!$B$11,Paramètres!$A$1:$I$89,3,0)*VLOOKUP('Données projet'!$B$11,Paramètres!$A$1:$I$89,5,0)</f>
        <v>10.132503743007982</v>
      </c>
      <c r="BF27" s="14">
        <f t="shared" si="37"/>
        <v>3.566181193171726</v>
      </c>
      <c r="BG27" s="22">
        <f t="shared" si="7"/>
        <v>23.858542930512993</v>
      </c>
      <c r="BH27" s="62">
        <f t="shared" si="8"/>
        <v>309.85854293051301</v>
      </c>
      <c r="BI27" s="62">
        <f ca="1">AVERAGE(OFFSET($BH$3,0,0,'Données projet'!$E$11+1,1))-AVERAGE(OFFSET($H$3,0,0,'Données projet'!$E$11+1,1))</f>
        <v>339.58585574836434</v>
      </c>
      <c r="BJ27" s="62">
        <f t="shared" si="38"/>
        <v>42.267525972379588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0.28233333333333338</v>
      </c>
      <c r="BY27" s="13">
        <f>IF('Données projet'!$A$114&gt;35,BY26+BX27-CG26,IF(A27&lt;'Données projet'!$A$114,$BV$205^A27,IF(A27='Données projet'!$A$114,'Données projet'!$B$114,BY26+BX27-CG26)))</f>
        <v>5.5246749159527715</v>
      </c>
      <c r="BZ27" s="14">
        <f>BY27*VLOOKUP('Données projet'!$B$12,Paramètres!$A$1:$I$89,3,0)*VLOOKUP('Données projet'!$B$12,Paramètres!$A$1:$I$89,5,0)</f>
        <v>5.5158354360872472</v>
      </c>
      <c r="CA27" s="14">
        <f t="shared" si="39"/>
        <v>2.0837221585055632</v>
      </c>
      <c r="CB27" s="22">
        <f t="shared" si="10"/>
        <v>13.235896143915811</v>
      </c>
      <c r="CC27" s="62">
        <f t="shared" si="11"/>
        <v>299.2358961439158</v>
      </c>
      <c r="CD27" s="62">
        <f ca="1">AVERAGE(OFFSET($CC$3,0,0,'Données projet'!$E$12+1,1))-AVERAGE(OFFSET($H$3,0,0,'Données projet'!$E$12+1,1))</f>
        <v>112.34884104798977</v>
      </c>
      <c r="CE27" s="62">
        <f t="shared" si="40"/>
        <v>18.665658139749326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6.5025000000000004</v>
      </c>
      <c r="CT27" s="13">
        <f>IF('Données projet'!$A$140&gt;35,CT26+CS27-DB26,IF(A27&lt;'Données projet'!$A$140,$CQ$205^A27,IF(A27='Données projet'!$A$140,'Données projet'!$B$140,CT26+CS27-DB26)))</f>
        <v>80.529999999999987</v>
      </c>
      <c r="CU27" s="18">
        <f>CT27*VLOOKUP('Données projet'!$B$13,Paramètres!$A$1:$I$89,3,0)*VLOOKUP('Données projet'!$B$13,Paramètres!$A$1:$I$89,5,0)</f>
        <v>87.938759999999988</v>
      </c>
      <c r="CV27" s="14">
        <f t="shared" si="41"/>
        <v>24.067435192852034</v>
      </c>
      <c r="CW27" s="22">
        <f t="shared" si="13"/>
        <v>195.07745662755056</v>
      </c>
      <c r="CX27" s="62">
        <f t="shared" si="14"/>
        <v>481.07745662755053</v>
      </c>
      <c r="CY27" s="62">
        <f ca="1">AVERAGE(OFFSET($CX$3,0,0,'Données projet'!$E$13+1,1))-AVERAGE(OFFSET($H$3,0,0,'Données projet'!$E$13+1,1))</f>
        <v>205.21073681197737</v>
      </c>
      <c r="CZ27" s="62">
        <f t="shared" si="42"/>
        <v>175.16446313750316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0.82626137966884416</v>
      </c>
      <c r="DI27" s="24">
        <f t="shared" si="15"/>
        <v>0.82626137966884416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10.906666666666668</v>
      </c>
      <c r="DO27" s="13">
        <f>IF('Données projet'!$A$166&gt;35,DO26+DN27-DW26,IF(A27&lt;'Données projet'!$A$166,$DL$205^A27,IF(A27='Données projet'!$A$166,'Données projet'!$B$166,DO26+DN27-DW26)))</f>
        <v>98.126666666666651</v>
      </c>
      <c r="DP27" s="18">
        <f>DO27*VLOOKUP('Données projet'!$B$14,Paramètres!$A$1:$I$89,3,0)*VLOOKUP('Données projet'!$B$14,Paramètres!$A$1:$I$89,5,0)</f>
        <v>79.600351999999987</v>
      </c>
      <c r="DQ27" s="14">
        <f t="shared" si="43"/>
        <v>22.039439651718322</v>
      </c>
      <c r="DR27" s="22">
        <f t="shared" si="16"/>
        <v>177.02263712674269</v>
      </c>
      <c r="DS27" s="62">
        <f t="shared" si="17"/>
        <v>463.02263712674267</v>
      </c>
      <c r="DT27" s="62">
        <f ca="1">AVERAGE(OFFSET($DS$3,0,0,'Données projet'!$E$14+1,1))-AVERAGE(OFFSET($H$3,0,0,'Données projet'!$E$14+1,1))</f>
        <v>223.63222290670075</v>
      </c>
      <c r="DU27" s="62">
        <f t="shared" si="44"/>
        <v>290.02663909417248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288.52244401490464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15.149999999999999</v>
      </c>
      <c r="N28" s="14">
        <f>IF('Données projet'!$A$36&gt;35,N27+M28-V27,IF(A28&lt;'Données projet'!$A$36,$K$205^A28,IF(A28='Données projet'!$A$36,'Données projet'!$B$36,N27+M28-V27)))</f>
        <v>110.05000000000003</v>
      </c>
      <c r="O28" s="14">
        <f>N28*VLOOKUP('Données projet'!$B$9,Paramètres!$A$1:$I$89,3,0)*VLOOKUP('Données projet'!$B$9,Paramètres!$A$1:$I$89,5,0)</f>
        <v>65.809900000000013</v>
      </c>
      <c r="P28" s="14">
        <f t="shared" si="33"/>
        <v>18.62919962382745</v>
      </c>
      <c r="Q28" s="22">
        <f t="shared" si="2"/>
        <v>147.06476517816614</v>
      </c>
      <c r="R28" s="62">
        <f t="shared" si="0"/>
        <v>434.2869874003884</v>
      </c>
      <c r="S28" s="62">
        <f ca="1">AVERAGE(OFFSET($R$3,0,0,'Données projet'!$E$9+1,1))-AVERAGE(OFFSET($H$3,0,0,'Données projet'!$E$9+1,1))</f>
        <v>192.24617268603629</v>
      </c>
      <c r="T28" s="62">
        <f t="shared" si="34"/>
        <v>192.48585280662832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3.4986200537234056</v>
      </c>
      <c r="AB28" s="23">
        <f>EXP(-LN(2)/2)*AB27+(1-EXP(-LN(2)/2))/(LN(2)/2)*V28*Y28*VLOOKUP('Données projet'!$B$9,Paramètres!$A$1:$I$89,3,0)*0.475*44/12</f>
        <v>5.3501906390776846</v>
      </c>
      <c r="AC28" s="24">
        <f t="shared" si="3"/>
        <v>8.8488106928010897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6.1837142857142817</v>
      </c>
      <c r="AI28" s="14">
        <f>IF('Données projet'!$A$62&gt;35,AI27+AH28-AQ27,IF(A28&lt;'Données projet'!$A$62,$AF$205^A28,IF(A28='Données projet'!$A$62,'Données projet'!$B$62,AI27+AH28-AQ27)))</f>
        <v>183.21042857142859</v>
      </c>
      <c r="AJ28" s="14">
        <f>AI28*VLOOKUP('Données projet'!$B$10,Paramètres!$A$1:$I$89,3,0)*VLOOKUP('Données projet'!$B$10,Paramètres!$A$1:$I$89,5,0)</f>
        <v>109.55983628571431</v>
      </c>
      <c r="AK28" s="14">
        <f t="shared" si="35"/>
        <v>29.227254380542</v>
      </c>
      <c r="AL28" s="22">
        <f t="shared" si="4"/>
        <v>241.72084957706309</v>
      </c>
      <c r="AM28" s="62">
        <f t="shared" si="5"/>
        <v>528.94307179928535</v>
      </c>
      <c r="AN28" s="62">
        <f ca="1">AVERAGE(OFFSET($AM$3,0,0,'Données projet'!$E$10+1,1))-AVERAGE(OFFSET($H$3,0,0,'Données projet'!$E$10+1,1))</f>
        <v>164.64952352018145</v>
      </c>
      <c r="AO28" s="62">
        <f t="shared" si="36"/>
        <v>280.08682720086921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1.0629718256535872</v>
      </c>
      <c r="AV28" s="23">
        <f>EXP(-LN(2)/25)*AV27+(1-EXP(-LN(2)/25))/(LN(2)/25)*Calculateur!AQ28*Calculateur!AS28*VLOOKUP('Données projet'!$B$10,Paramètres!$A$1:$I$89,3,0)*0.475*44/12</f>
        <v>3.695993198989286</v>
      </c>
      <c r="AW28" s="23">
        <f>EXP(-LN(2)/2)*AW27+(1-EXP(-LN(2)/2))/(LN(2)/2)*AQ28*AT28*VLOOKUP('Données projet'!$B$10,Paramètres!$A$1:$I$89,3,0)*0.475*44/12</f>
        <v>2.7887187617217979</v>
      </c>
      <c r="AX28" s="23">
        <f t="shared" si="6"/>
        <v>7.5476837863646713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0.7466666666666667</v>
      </c>
      <c r="BD28" s="13">
        <f>IF('Données projet'!$A$88&gt;35,BD27+BC28-BL27,IF(A28&lt;'Données projet'!$A$88,$BA$205^A28,IF(A28='Données projet'!$A$88,'Données projet'!$B$88,BD27+BC28-BL27)))</f>
        <v>13.34156209735446</v>
      </c>
      <c r="BE28" s="14">
        <f>BD28*VLOOKUP('Données projet'!$B$11,Paramètres!$A$1:$I$89,3,0)*VLOOKUP('Données projet'!$B$11,Paramètres!$A$1:$I$89,5,0)</f>
        <v>11.238931910811399</v>
      </c>
      <c r="BF28" s="14">
        <f t="shared" si="37"/>
        <v>3.9081633737041157</v>
      </c>
      <c r="BG28" s="22">
        <f t="shared" si="7"/>
        <v>26.381190953864518</v>
      </c>
      <c r="BH28" s="62">
        <f t="shared" si="8"/>
        <v>313.60341317608675</v>
      </c>
      <c r="BI28" s="62">
        <f ca="1">AVERAGE(OFFSET($BH$3,0,0,'Données projet'!$E$11+1,1))-AVERAGE(OFFSET($H$3,0,0,'Données projet'!$E$11+1,1))</f>
        <v>339.58585574836434</v>
      </c>
      <c r="BJ28" s="62">
        <f t="shared" si="38"/>
        <v>42.267525972379588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0.28233333333333338</v>
      </c>
      <c r="BY28" s="13">
        <f>IF('Données projet'!$A$114&gt;35,BY27+BX28-CG27,IF(A28&lt;'Données projet'!$A$114,$BV$205^A28,IF(A28='Données projet'!$A$114,'Données projet'!$B$114,BY27+BX28-CG27)))</f>
        <v>5.9324785316592452</v>
      </c>
      <c r="BZ28" s="14">
        <f>BY28*VLOOKUP('Données projet'!$B$12,Paramètres!$A$1:$I$89,3,0)*VLOOKUP('Données projet'!$B$12,Paramètres!$A$1:$I$89,5,0)</f>
        <v>5.922986566008591</v>
      </c>
      <c r="CA28" s="14">
        <f t="shared" si="39"/>
        <v>2.2190601247229051</v>
      </c>
      <c r="CB28" s="22">
        <f t="shared" si="10"/>
        <v>14.180731319690686</v>
      </c>
      <c r="CC28" s="62">
        <f t="shared" si="11"/>
        <v>301.40295354191289</v>
      </c>
      <c r="CD28" s="62">
        <f ca="1">AVERAGE(OFFSET($CC$3,0,0,'Données projet'!$E$12+1,1))-AVERAGE(OFFSET($H$3,0,0,'Données projet'!$E$12+1,1))</f>
        <v>112.34884104798977</v>
      </c>
      <c r="CE28" s="62">
        <f t="shared" si="40"/>
        <v>18.665658139749326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6.5025000000000004</v>
      </c>
      <c r="CT28" s="13">
        <f>IF('Données projet'!$A$140&gt;35,CT27+CS28-DB27,IF(A28&lt;'Données projet'!$A$140,$CQ$205^A28,IF(A28='Données projet'!$A$140,'Données projet'!$B$140,CT27+CS28-DB27)))</f>
        <v>87.032499999999985</v>
      </c>
      <c r="CU28" s="18">
        <f>CT28*VLOOKUP('Données projet'!$B$13,Paramètres!$A$1:$I$89,3,0)*VLOOKUP('Données projet'!$B$13,Paramètres!$A$1:$I$89,5,0)</f>
        <v>95.039489999999986</v>
      </c>
      <c r="CV28" s="14">
        <f t="shared" si="41"/>
        <v>25.776747959051708</v>
      </c>
      <c r="CW28" s="22">
        <f t="shared" si="13"/>
        <v>210.42161444534835</v>
      </c>
      <c r="CX28" s="62">
        <f t="shared" si="14"/>
        <v>497.64383666757055</v>
      </c>
      <c r="CY28" s="62">
        <f ca="1">AVERAGE(OFFSET($CX$3,0,0,'Données projet'!$E$13+1,1))-AVERAGE(OFFSET($H$3,0,0,'Données projet'!$E$13+1,1))</f>
        <v>205.21073681197737</v>
      </c>
      <c r="CZ28" s="62">
        <f t="shared" si="42"/>
        <v>175.16446313750316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0.58425502459639234</v>
      </c>
      <c r="DI28" s="24">
        <f t="shared" si="15"/>
        <v>0.58425502459639234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10.906666666666668</v>
      </c>
      <c r="DO28" s="13">
        <f>IF('Données projet'!$A$166&gt;35,DO27+DN28-DW27,IF(A28&lt;'Données projet'!$A$166,$DL$205^A28,IF(A28='Données projet'!$A$166,'Données projet'!$B$166,DO27+DN28-DW27)))</f>
        <v>109.03333333333332</v>
      </c>
      <c r="DP28" s="18">
        <f>DO28*VLOOKUP('Données projet'!$B$14,Paramètres!$A$1:$I$89,3,0)*VLOOKUP('Données projet'!$B$14,Paramètres!$A$1:$I$89,5,0)</f>
        <v>88.447839999999985</v>
      </c>
      <c r="DQ28" s="14">
        <f t="shared" si="43"/>
        <v>24.190503204171705</v>
      </c>
      <c r="DR28" s="22">
        <f t="shared" si="16"/>
        <v>196.17844774726566</v>
      </c>
      <c r="DS28" s="62">
        <f t="shared" si="17"/>
        <v>483.40066996948792</v>
      </c>
      <c r="DT28" s="62">
        <f ca="1">AVERAGE(OFFSET($DS$3,0,0,'Données projet'!$E$14+1,1))-AVERAGE(OFFSET($H$3,0,0,'Données projet'!$E$14+1,1))</f>
        <v>223.63222290670075</v>
      </c>
      <c r="DU28" s="62">
        <f t="shared" si="44"/>
        <v>290.02663909417248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289.75838988784039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15.149999999999999</v>
      </c>
      <c r="N29" s="14">
        <f>IF('Données projet'!$A$36&gt;35,N28+M29-V28,IF(A29&lt;'Données projet'!$A$36,$K$205^A29,IF(A29='Données projet'!$A$36,'Données projet'!$B$36,N28+M29-V28)))</f>
        <v>125.20000000000002</v>
      </c>
      <c r="O29" s="14">
        <f>N29*VLOOKUP('Données projet'!$B$9,Paramètres!$A$1:$I$89,3,0)*VLOOKUP('Données projet'!$B$9,Paramètres!$A$1:$I$89,5,0)</f>
        <v>74.86960000000002</v>
      </c>
      <c r="P29" s="14">
        <f t="shared" si="33"/>
        <v>20.877977058709419</v>
      </c>
      <c r="Q29" s="22">
        <f t="shared" si="2"/>
        <v>166.76036337725228</v>
      </c>
      <c r="R29" s="62">
        <f t="shared" si="0"/>
        <v>455.2048078216967</v>
      </c>
      <c r="S29" s="62">
        <f ca="1">AVERAGE(OFFSET($R$3,0,0,'Données projet'!$E$9+1,1))-AVERAGE(OFFSET($H$3,0,0,'Données projet'!$E$9+1,1))</f>
        <v>192.24617268603629</v>
      </c>
      <c r="T29" s="62">
        <f t="shared" si="34"/>
        <v>192.48585280662832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3.4029501043699066</v>
      </c>
      <c r="AB29" s="23">
        <f>EXP(-LN(2)/2)*AB28+(1-EXP(-LN(2)/2))/(LN(2)/2)*V29*Y29*VLOOKUP('Données projet'!$B$9,Paramètres!$A$1:$I$89,3,0)*0.475*44/12</f>
        <v>3.7831560815326193</v>
      </c>
      <c r="AC29" s="24">
        <f t="shared" si="3"/>
        <v>7.1861061859025259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6.1837142857142817</v>
      </c>
      <c r="AI29" s="14">
        <f>IF('Données projet'!$A$62&gt;35,AI28+AH29-AQ28,IF(A29&lt;'Données projet'!$A$62,$AF$205^A29,IF(A29='Données projet'!$A$62,'Données projet'!$B$62,AI28+AH29-AQ28)))</f>
        <v>189.39414285714287</v>
      </c>
      <c r="AJ29" s="14">
        <f>AI29*VLOOKUP('Données projet'!$B$10,Paramètres!$A$1:$I$89,3,0)*VLOOKUP('Données projet'!$B$10,Paramètres!$A$1:$I$89,5,0)</f>
        <v>113.25769742857145</v>
      </c>
      <c r="AK29" s="14">
        <f t="shared" si="35"/>
        <v>30.097214907546125</v>
      </c>
      <c r="AL29" s="22">
        <f t="shared" si="4"/>
        <v>249.67647231873806</v>
      </c>
      <c r="AM29" s="62">
        <f t="shared" si="5"/>
        <v>538.12091676318255</v>
      </c>
      <c r="AN29" s="62">
        <f ca="1">AVERAGE(OFFSET($AM$3,0,0,'Données projet'!$E$10+1,1))-AVERAGE(OFFSET($H$3,0,0,'Données projet'!$E$10+1,1))</f>
        <v>164.64952352018145</v>
      </c>
      <c r="AO29" s="62">
        <f t="shared" si="36"/>
        <v>280.08682720086921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1.0421275965013148</v>
      </c>
      <c r="AV29" s="23">
        <f>EXP(-LN(2)/25)*AV28+(1-EXP(-LN(2)/25))/(LN(2)/25)*Calculateur!AQ29*Calculateur!AS29*VLOOKUP('Données projet'!$B$10,Paramètres!$A$1:$I$89,3,0)*0.475*44/12</f>
        <v>3.5949260705990889</v>
      </c>
      <c r="AW29" s="23">
        <f>EXP(-LN(2)/2)*AW28+(1-EXP(-LN(2)/2))/(LN(2)/2)*AQ29*AT29*VLOOKUP('Données projet'!$B$10,Paramètres!$A$1:$I$89,3,0)*0.475*44/12</f>
        <v>1.9719219472356353</v>
      </c>
      <c r="AX29" s="23">
        <f t="shared" si="6"/>
        <v>6.608975614336039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0.7466666666666667</v>
      </c>
      <c r="BD29" s="13">
        <f>IF('Données projet'!$A$88&gt;35,BD28+BC29-BL28,IF(A29&lt;'Données projet'!$A$88,$BA$205^A29,IF(A29='Données projet'!$A$88,'Données projet'!$B$88,BD28+BC29-BL28)))</f>
        <v>14.798406376064717</v>
      </c>
      <c r="BE29" s="14">
        <f>BD29*VLOOKUP('Données projet'!$B$11,Paramètres!$A$1:$I$89,3,0)*VLOOKUP('Données projet'!$B$11,Paramètres!$A$1:$I$89,5,0)</f>
        <v>12.466177531196919</v>
      </c>
      <c r="BF29" s="14">
        <f t="shared" si="37"/>
        <v>4.2829402456631831</v>
      </c>
      <c r="BG29" s="22">
        <f t="shared" si="7"/>
        <v>29.171380128031345</v>
      </c>
      <c r="BH29" s="62">
        <f t="shared" si="8"/>
        <v>317.61582457247579</v>
      </c>
      <c r="BI29" s="62">
        <f ca="1">AVERAGE(OFFSET($BH$3,0,0,'Données projet'!$E$11+1,1))-AVERAGE(OFFSET($H$3,0,0,'Données projet'!$E$11+1,1))</f>
        <v>339.58585574836434</v>
      </c>
      <c r="BJ29" s="62">
        <f t="shared" si="38"/>
        <v>42.267525972379588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0.28233333333333338</v>
      </c>
      <c r="BY29" s="13">
        <f>IF('Données projet'!$A$114&gt;35,BY28+BX29-CG28,IF(A29&lt;'Données projet'!$A$114,$BV$205^A29,IF(A29='Données projet'!$A$114,'Données projet'!$B$114,BY28+BX29-CG28)))</f>
        <v>6.3703841518299207</v>
      </c>
      <c r="BZ29" s="14">
        <f>BY29*VLOOKUP('Données projet'!$B$12,Paramètres!$A$1:$I$89,3,0)*VLOOKUP('Données projet'!$B$12,Paramètres!$A$1:$I$89,5,0)</f>
        <v>6.360191537186993</v>
      </c>
      <c r="CA29" s="14">
        <f t="shared" si="39"/>
        <v>2.3631883056169398</v>
      </c>
      <c r="CB29" s="22">
        <f t="shared" si="10"/>
        <v>15.193219892883514</v>
      </c>
      <c r="CC29" s="62">
        <f t="shared" si="11"/>
        <v>303.63766433732798</v>
      </c>
      <c r="CD29" s="62">
        <f ca="1">AVERAGE(OFFSET($CC$3,0,0,'Données projet'!$E$12+1,1))-AVERAGE(OFFSET($H$3,0,0,'Données projet'!$E$12+1,1))</f>
        <v>112.34884104798977</v>
      </c>
      <c r="CE29" s="62">
        <f t="shared" si="40"/>
        <v>18.665658139749326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6.5025000000000004</v>
      </c>
      <c r="CT29" s="13">
        <f>IF('Données projet'!$A$140&gt;35,CT28+CS29-DB28,IF(A29&lt;'Données projet'!$A$140,$CQ$205^A29,IF(A29='Données projet'!$A$140,'Données projet'!$B$140,CT28+CS29-DB28)))</f>
        <v>93.534999999999982</v>
      </c>
      <c r="CU29" s="18">
        <f>CT29*VLOOKUP('Données projet'!$B$13,Paramètres!$A$1:$I$89,3,0)*VLOOKUP('Données projet'!$B$13,Paramètres!$A$1:$I$89,5,0)</f>
        <v>102.14021999999997</v>
      </c>
      <c r="CV29" s="14">
        <f t="shared" si="41"/>
        <v>27.471245344197996</v>
      </c>
      <c r="CW29" s="22">
        <f t="shared" si="13"/>
        <v>225.73996880781147</v>
      </c>
      <c r="CX29" s="62">
        <f t="shared" si="14"/>
        <v>514.18441325225592</v>
      </c>
      <c r="CY29" s="62">
        <f ca="1">AVERAGE(OFFSET($CX$3,0,0,'Données projet'!$E$13+1,1))-AVERAGE(OFFSET($H$3,0,0,'Données projet'!$E$13+1,1))</f>
        <v>205.21073681197737</v>
      </c>
      <c r="CZ29" s="62">
        <f t="shared" si="42"/>
        <v>175.16446313750316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0.41313068983442219</v>
      </c>
      <c r="DI29" s="24">
        <f t="shared" si="15"/>
        <v>0.41313068983442219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10.906666666666668</v>
      </c>
      <c r="DO29" s="13">
        <f>IF('Données projet'!$A$166&gt;35,DO28+DN29-DW28,IF(A29&lt;'Données projet'!$A$166,$DL$205^A29,IF(A29='Données projet'!$A$166,'Données projet'!$B$166,DO28+DN29-DW28)))</f>
        <v>119.93999999999998</v>
      </c>
      <c r="DP29" s="18">
        <f>DO29*VLOOKUP('Données projet'!$B$14,Paramètres!$A$1:$I$89,3,0)*VLOOKUP('Données projet'!$B$14,Paramètres!$A$1:$I$89,5,0)</f>
        <v>97.295327999999998</v>
      </c>
      <c r="DQ29" s="14">
        <f t="shared" si="43"/>
        <v>26.316622098585405</v>
      </c>
      <c r="DR29" s="22">
        <f t="shared" si="16"/>
        <v>215.29081308836953</v>
      </c>
      <c r="DS29" s="62">
        <f t="shared" si="17"/>
        <v>503.73525753281399</v>
      </c>
      <c r="DT29" s="62">
        <f ca="1">AVERAGE(OFFSET($DS$3,0,0,'Données projet'!$E$14+1,1))-AVERAGE(OFFSET($H$3,0,0,'Données projet'!$E$14+1,1))</f>
        <v>223.63222290670075</v>
      </c>
      <c r="DU29" s="62">
        <f t="shared" si="44"/>
        <v>290.02663909417248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290.99306237638319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15.149999999999999</v>
      </c>
      <c r="N30" s="14">
        <f>IF('Données projet'!$A$36&gt;35,N29+M30-V29,IF(A30&lt;'Données projet'!$A$36,$K$205^A30,IF(A30='Données projet'!$A$36,'Données projet'!$B$36,N29+M30-V29)))</f>
        <v>140.35000000000002</v>
      </c>
      <c r="O30" s="14">
        <f>N30*VLOOKUP('Données projet'!$B$9,Paramètres!$A$1:$I$89,3,0)*VLOOKUP('Données projet'!$B$9,Paramètres!$A$1:$I$89,5,0)</f>
        <v>83.929300000000012</v>
      </c>
      <c r="P30" s="14">
        <f t="shared" si="33"/>
        <v>23.095221014679648</v>
      </c>
      <c r="Q30" s="22">
        <f t="shared" si="2"/>
        <v>186.40104076723375</v>
      </c>
      <c r="R30" s="62">
        <f t="shared" si="0"/>
        <v>476.06770743390041</v>
      </c>
      <c r="S30" s="62">
        <f ca="1">AVERAGE(OFFSET($R$3,0,0,'Données projet'!$E$9+1,1))-AVERAGE(OFFSET($H$3,0,0,'Données projet'!$E$9+1,1))</f>
        <v>192.24617268603629</v>
      </c>
      <c r="T30" s="62">
        <f t="shared" si="34"/>
        <v>192.48585280662832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3.3098962548125432</v>
      </c>
      <c r="AB30" s="23">
        <f>EXP(-LN(2)/2)*AB29+(1-EXP(-LN(2)/2))/(LN(2)/2)*V30*Y30*VLOOKUP('Données projet'!$B$9,Paramètres!$A$1:$I$89,3,0)*0.475*44/12</f>
        <v>2.6750953195388427</v>
      </c>
      <c r="AC30" s="24">
        <f t="shared" si="3"/>
        <v>5.984991574351386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6.1837142857142817</v>
      </c>
      <c r="AI30" s="14">
        <f>IF('Données projet'!$A$62&gt;35,AI29+AH30-AQ29,IF(A30&lt;'Données projet'!$A$62,$AF$205^A30,IF(A30='Données projet'!$A$62,'Données projet'!$B$62,AI29+AH30-AQ29)))</f>
        <v>195.57785714285714</v>
      </c>
      <c r="AJ30" s="14">
        <f>AI30*VLOOKUP('Données projet'!$B$10,Paramètres!$A$1:$I$89,3,0)*VLOOKUP('Données projet'!$B$10,Paramètres!$A$1:$I$89,5,0)</f>
        <v>116.95555857142858</v>
      </c>
      <c r="AK30" s="14">
        <f t="shared" si="35"/>
        <v>30.963874841907671</v>
      </c>
      <c r="AL30" s="22">
        <f t="shared" si="4"/>
        <v>257.62634652822732</v>
      </c>
      <c r="AM30" s="62">
        <f t="shared" si="5"/>
        <v>547.293013194894</v>
      </c>
      <c r="AN30" s="62">
        <f ca="1">AVERAGE(OFFSET($AM$3,0,0,'Données projet'!$E$10+1,1))-AVERAGE(OFFSET($H$3,0,0,'Données projet'!$E$10+1,1))</f>
        <v>164.64952352018145</v>
      </c>
      <c r="AO30" s="62">
        <f t="shared" si="36"/>
        <v>280.08682720086921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1.0216921099689942</v>
      </c>
      <c r="AV30" s="23">
        <f>EXP(-LN(2)/25)*AV29+(1-EXP(-LN(2)/25))/(LN(2)/25)*Calculateur!AQ30*Calculateur!AS30*VLOOKUP('Données projet'!$B$10,Paramètres!$A$1:$I$89,3,0)*0.475*44/12</f>
        <v>3.4966226281496109</v>
      </c>
      <c r="AW30" s="23">
        <f>EXP(-LN(2)/2)*AW29+(1-EXP(-LN(2)/2))/(LN(2)/2)*AQ30*AT30*VLOOKUP('Données projet'!$B$10,Paramètres!$A$1:$I$89,3,0)*0.475*44/12</f>
        <v>1.3943593808608992</v>
      </c>
      <c r="AX30" s="23">
        <f t="shared" si="6"/>
        <v>5.9126741189795036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0.7466666666666667</v>
      </c>
      <c r="BD30" s="13">
        <f>IF('Données projet'!$A$88&gt;35,BD29+BC30-BL29,IF(A30&lt;'Données projet'!$A$88,$BA$205^A30,IF(A30='Données projet'!$A$88,'Données projet'!$B$88,BD29+BC30-BL29)))</f>
        <v>16.414332120417715</v>
      </c>
      <c r="BE30" s="14">
        <f>BD30*VLOOKUP('Données projet'!$B$11,Paramètres!$A$1:$I$89,3,0)*VLOOKUP('Données projet'!$B$11,Paramètres!$A$1:$I$89,5,0)</f>
        <v>13.827433378239883</v>
      </c>
      <c r="BF30" s="14">
        <f t="shared" si="37"/>
        <v>4.6936566857325515</v>
      </c>
      <c r="BG30" s="22">
        <f t="shared" si="7"/>
        <v>32.25756519475199</v>
      </c>
      <c r="BH30" s="62">
        <f t="shared" si="8"/>
        <v>321.92423186141866</v>
      </c>
      <c r="BI30" s="62">
        <f ca="1">AVERAGE(OFFSET($BH$3,0,0,'Données projet'!$E$11+1,1))-AVERAGE(OFFSET($H$3,0,0,'Données projet'!$E$11+1,1))</f>
        <v>339.58585574836434</v>
      </c>
      <c r="BJ30" s="62">
        <f t="shared" si="38"/>
        <v>42.267525972379588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0.28233333333333338</v>
      </c>
      <c r="BY30" s="13">
        <f>IF('Données projet'!$A$114&gt;35,BY29+BX30-CG29,IF(A30&lt;'Données projet'!$A$114,$BV$205^A30,IF(A30='Données projet'!$A$114,'Données projet'!$B$114,BY29+BX30-CG29)))</f>
        <v>6.8406137544901595</v>
      </c>
      <c r="BZ30" s="14">
        <f>BY30*VLOOKUP('Données projet'!$B$12,Paramètres!$A$1:$I$89,3,0)*VLOOKUP('Données projet'!$B$12,Paramètres!$A$1:$I$89,5,0)</f>
        <v>6.8296687724829761</v>
      </c>
      <c r="CA30" s="14">
        <f t="shared" si="39"/>
        <v>2.5166776265253388</v>
      </c>
      <c r="CB30" s="22">
        <f t="shared" si="10"/>
        <v>16.278219978272816</v>
      </c>
      <c r="CC30" s="62">
        <f t="shared" si="11"/>
        <v>305.94488664493952</v>
      </c>
      <c r="CD30" s="62">
        <f ca="1">AVERAGE(OFFSET($CC$3,0,0,'Données projet'!$E$12+1,1))-AVERAGE(OFFSET($H$3,0,0,'Données projet'!$E$12+1,1))</f>
        <v>112.34884104798977</v>
      </c>
      <c r="CE30" s="62">
        <f t="shared" si="40"/>
        <v>18.665658139749326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6.5025000000000004</v>
      </c>
      <c r="CT30" s="13">
        <f>IF('Données projet'!$A$140&gt;35,CT29+CS30-DB29,IF(A30&lt;'Données projet'!$A$140,$CQ$205^A30,IF(A30='Données projet'!$A$140,'Données projet'!$B$140,CT29+CS30-DB29)))</f>
        <v>100.03749999999998</v>
      </c>
      <c r="CU30" s="18">
        <f>CT30*VLOOKUP('Données projet'!$B$13,Paramètres!$A$1:$I$89,3,0)*VLOOKUP('Données projet'!$B$13,Paramètres!$A$1:$I$89,5,0)</f>
        <v>109.24094999999997</v>
      </c>
      <c r="CV30" s="14">
        <f t="shared" si="41"/>
        <v>29.152074464543656</v>
      </c>
      <c r="CW30" s="22">
        <f t="shared" si="13"/>
        <v>241.03451760908013</v>
      </c>
      <c r="CX30" s="62">
        <f t="shared" si="14"/>
        <v>530.70118427574675</v>
      </c>
      <c r="CY30" s="62">
        <f ca="1">AVERAGE(OFFSET($CX$3,0,0,'Données projet'!$E$13+1,1))-AVERAGE(OFFSET($H$3,0,0,'Données projet'!$E$13+1,1))</f>
        <v>205.21073681197737</v>
      </c>
      <c r="CZ30" s="62">
        <f t="shared" si="42"/>
        <v>175.16446313750316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0.29212751229819622</v>
      </c>
      <c r="DI30" s="24">
        <f t="shared" si="15"/>
        <v>0.29212751229819622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10.906666666666668</v>
      </c>
      <c r="DO30" s="13">
        <f>IF('Données projet'!$A$166&gt;35,DO29+DN30-DW29,IF(A30&lt;'Données projet'!$A$166,$DL$205^A30,IF(A30='Données projet'!$A$166,'Données projet'!$B$166,DO29+DN30-DW29)))</f>
        <v>130.84666666666666</v>
      </c>
      <c r="DP30" s="18">
        <f>DO30*VLOOKUP('Données projet'!$B$14,Paramètres!$A$1:$I$89,3,0)*VLOOKUP('Données projet'!$B$14,Paramètres!$A$1:$I$89,5,0)</f>
        <v>106.14281600000001</v>
      </c>
      <c r="DQ30" s="14">
        <f t="shared" si="43"/>
        <v>28.420322632471024</v>
      </c>
      <c r="DR30" s="22">
        <f t="shared" si="16"/>
        <v>234.36413311822037</v>
      </c>
      <c r="DS30" s="62">
        <f t="shared" si="17"/>
        <v>524.03079978488699</v>
      </c>
      <c r="DT30" s="62">
        <f ca="1">AVERAGE(OFFSET($DS$3,0,0,'Données projet'!$E$14+1,1))-AVERAGE(OFFSET($H$3,0,0,'Données projet'!$E$14+1,1))</f>
        <v>223.63222290670075</v>
      </c>
      <c r="DU30" s="62">
        <f t="shared" si="44"/>
        <v>290.02663909417248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292.22651404374136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>
        <f>VLOOKUP(A31,'Données projet'!$A$35:$I$55,2,0)</f>
        <v>155.5</v>
      </c>
      <c r="L31" s="13">
        <f>VLOOKUP(A31,'Données projet'!$A$35:$I$55,9,0)</f>
        <v>15.149999999999999</v>
      </c>
      <c r="M31" s="13">
        <f t="array" ref="M31">INDEX(L:L,MIN(IF(ISNUMBER(L31:L227),ROW(L31:L227),"")))</f>
        <v>15.149999999999999</v>
      </c>
      <c r="N31" s="14">
        <f>IF('Données projet'!$A$36&gt;35,N30+M31-V30,IF(A31&lt;'Données projet'!$A$36,$K$205^A31,IF(A31='Données projet'!$A$36,'Données projet'!$B$36,N30+M31-V30)))</f>
        <v>155.50000000000003</v>
      </c>
      <c r="O31" s="14">
        <f>N31*VLOOKUP('Données projet'!$B$9,Paramètres!$A$1:$I$89,3,0)*VLOOKUP('Données projet'!$B$9,Paramètres!$A$1:$I$89,5,0)</f>
        <v>92.989000000000019</v>
      </c>
      <c r="P31" s="14">
        <f t="shared" si="33"/>
        <v>25.284723373727264</v>
      </c>
      <c r="Q31" s="22">
        <f t="shared" si="2"/>
        <v>205.99340154257501</v>
      </c>
      <c r="R31" s="62">
        <f t="shared" si="0"/>
        <v>496.88229043146384</v>
      </c>
      <c r="S31" s="62">
        <f ca="1">AVERAGE(OFFSET($R$3,0,0,'Données projet'!$E$9+1,1))-AVERAGE(OFFSET($H$3,0,0,'Données projet'!$E$9+1,1))</f>
        <v>192.24617268603629</v>
      </c>
      <c r="T31" s="62">
        <f t="shared" si="34"/>
        <v>192.48585280662832</v>
      </c>
      <c r="U31" s="16">
        <f>IF(ISNA(VLOOKUP(A31,'Données projet'!$A$35:$I$55,3,0)),0,VLOOKUP(A31,'Données projet'!$A$35:$I$55,3,0))</f>
        <v>5</v>
      </c>
      <c r="V31" s="16">
        <f>IF(ISNA(VLOOKUP(A31,'Données projet'!$A$35:$I$55,4,0)),0,VLOOKUP(A31,'Données projet'!$A$35:$I$55,4,0))</f>
        <v>35.4</v>
      </c>
      <c r="W31" s="17">
        <f>IF(ISNA(VLOOKUP(A31,'Données projet'!$A$35:$I$55,5,0)),0%,VLOOKUP(A31,'Données projet'!$A$35:$I$55,5,0)*VLOOKUP('Données projet'!$B$9,Paramètres!$A$1:$I$89,7,0))</f>
        <v>4.5000000000000005E-2</v>
      </c>
      <c r="X31" s="17">
        <f>IF(ISNA(VLOOKUP(A31,'Données projet'!$A$35:$I$55,6,0)),0%,VLOOKUP(A31,'Données projet'!$A$35:$I$55,6,0)*VLOOKUP('Données projet'!$B$9,Paramètres!$A$1:$I$89,7,0))</f>
        <v>0.13500000000000001</v>
      </c>
      <c r="Y31" s="17">
        <f>IF(ISNA(VLOOKUP(A31,'Données projet'!$A$35:$I$55,7,0)),0%,VLOOKUP(A31,'Données projet'!$A$35:$I$55,7,0))</f>
        <v>0.2</v>
      </c>
      <c r="Z31" s="23">
        <f>EXP(-LN(2)/35)*Z30+(1-EXP(-LN(2)/35))/(LN(2)/35)*V31*W31*VLOOKUP('Données projet'!$B$9,Paramètres!$A$1:$I$89,3,0)*0.475*44/12</f>
        <v>1.2637038721540825</v>
      </c>
      <c r="AA31" s="23">
        <f>EXP(-LN(2)/25)*AA30+(1-EXP(-LN(2)/25))/(LN(2)/25)*Calculateur!V31*Calculateur!X31*VLOOKUP('Données projet'!$B$9,Paramètres!$A$1:$I$89,3,0)*0.475*44/12</f>
        <v>6.9955715331662756</v>
      </c>
      <c r="AB31" s="23">
        <f>EXP(-LN(2)/2)*AB30+(1-EXP(-LN(2)/2))/(LN(2)/2)*V31*Y31*VLOOKUP('Données projet'!$B$9,Paramètres!$A$1:$I$89,3,0)*0.475*44/12</f>
        <v>6.6852684313257624</v>
      </c>
      <c r="AC31" s="24">
        <f t="shared" si="3"/>
        <v>14.944543836646119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6.1837142857142817</v>
      </c>
      <c r="AI31" s="14">
        <f>IF('Données projet'!$A$62&gt;35,AI30+AH31-AQ30,IF(A31&lt;'Données projet'!$A$62,$AF$205^A31,IF(A31='Données projet'!$A$62,'Données projet'!$B$62,AI30+AH31-AQ30)))</f>
        <v>201.76157142857141</v>
      </c>
      <c r="AJ31" s="14">
        <f>AI31*VLOOKUP('Données projet'!$B$10,Paramètres!$A$1:$I$89,3,0)*VLOOKUP('Données projet'!$B$10,Paramètres!$A$1:$I$89,5,0)</f>
        <v>120.6534197142857</v>
      </c>
      <c r="AK31" s="14">
        <f t="shared" si="35"/>
        <v>31.82735051301389</v>
      </c>
      <c r="AL31" s="22">
        <f t="shared" si="4"/>
        <v>265.57067481254677</v>
      </c>
      <c r="AM31" s="62">
        <f t="shared" si="5"/>
        <v>556.45956370143563</v>
      </c>
      <c r="AN31" s="62">
        <f ca="1">AVERAGE(OFFSET($AM$3,0,0,'Données projet'!$E$10+1,1))-AVERAGE(OFFSET($H$3,0,0,'Données projet'!$E$10+1,1))</f>
        <v>164.64952352018145</v>
      </c>
      <c r="AO31" s="62">
        <f t="shared" si="36"/>
        <v>280.08682720086921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1.0016573508631563</v>
      </c>
      <c r="AV31" s="23">
        <f>EXP(-LN(2)/25)*AV30+(1-EXP(-LN(2)/25))/(LN(2)/25)*Calculateur!AQ31*Calculateur!AS31*VLOOKUP('Données projet'!$B$10,Paramètres!$A$1:$I$89,3,0)*0.475*44/12</f>
        <v>3.4010072985034676</v>
      </c>
      <c r="AW31" s="23">
        <f>EXP(-LN(2)/2)*AW30+(1-EXP(-LN(2)/2))/(LN(2)/2)*AQ31*AT31*VLOOKUP('Données projet'!$B$10,Paramètres!$A$1:$I$89,3,0)*0.475*44/12</f>
        <v>0.98596097361781776</v>
      </c>
      <c r="AX31" s="23">
        <f t="shared" si="6"/>
        <v>5.388625622984442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0.7466666666666667</v>
      </c>
      <c r="BD31" s="13">
        <f>IF('Données projet'!$A$88&gt;35,BD30+BC31-BL30,IF(A31&lt;'Données projet'!$A$88,$BA$205^A31,IF(A31='Données projet'!$A$88,'Données projet'!$B$88,BD30+BC31-BL30)))</f>
        <v>18.206710378974282</v>
      </c>
      <c r="BE31" s="14">
        <f>BD31*VLOOKUP('Données projet'!$B$11,Paramètres!$A$1:$I$89,3,0)*VLOOKUP('Données projet'!$B$11,Paramètres!$A$1:$I$89,5,0)</f>
        <v>15.337332823247937</v>
      </c>
      <c r="BF31" s="14">
        <f t="shared" si="37"/>
        <v>5.1437591513982523</v>
      </c>
      <c r="BG31" s="22">
        <f t="shared" si="7"/>
        <v>35.671235189175448</v>
      </c>
      <c r="BH31" s="62">
        <f t="shared" si="8"/>
        <v>326.56012407806429</v>
      </c>
      <c r="BI31" s="62">
        <f ca="1">AVERAGE(OFFSET($BH$3,0,0,'Données projet'!$E$11+1,1))-AVERAGE(OFFSET($H$3,0,0,'Données projet'!$E$11+1,1))</f>
        <v>339.58585574836434</v>
      </c>
      <c r="BJ31" s="62">
        <f t="shared" si="38"/>
        <v>42.267525972379588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0.28233333333333338</v>
      </c>
      <c r="BY31" s="13">
        <f>IF('Données projet'!$A$114&gt;35,BY30+BX31-CG30,IF(A31&lt;'Données projet'!$A$114,$BV$205^A31,IF(A31='Données projet'!$A$114,'Données projet'!$B$114,BY30+BX31-CG30)))</f>
        <v>7.3455533328674019</v>
      </c>
      <c r="BZ31" s="14">
        <f>BY31*VLOOKUP('Données projet'!$B$12,Paramètres!$A$1:$I$89,3,0)*VLOOKUP('Données projet'!$B$12,Paramètres!$A$1:$I$89,5,0)</f>
        <v>7.3338004475348146</v>
      </c>
      <c r="CA31" s="14">
        <f t="shared" si="39"/>
        <v>2.6801360944445474</v>
      </c>
      <c r="CB31" s="22">
        <f t="shared" si="10"/>
        <v>17.440939477280722</v>
      </c>
      <c r="CC31" s="62">
        <f t="shared" si="11"/>
        <v>308.32982836616958</v>
      </c>
      <c r="CD31" s="62">
        <f ca="1">AVERAGE(OFFSET($CC$3,0,0,'Données projet'!$E$12+1,1))-AVERAGE(OFFSET($H$3,0,0,'Données projet'!$E$12+1,1))</f>
        <v>112.34884104798977</v>
      </c>
      <c r="CE31" s="62">
        <f t="shared" si="40"/>
        <v>18.665658139749326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>
        <f>VLOOKUP(A31,'Données projet'!$A$139:$I$159,2,0)</f>
        <v>106.54</v>
      </c>
      <c r="CR31" s="13">
        <f>VLOOKUP(A31,'Données projet'!$A$139:$I$159,9,0)</f>
        <v>6.5025000000000004</v>
      </c>
      <c r="CS31" s="13">
        <f t="array" ref="CS31">INDEX(CR:CR,MIN(IF(ISNUMBER(CR31:CR227),ROW(CR31:CR227),"")))</f>
        <v>6.5025000000000004</v>
      </c>
      <c r="CT31" s="13">
        <f>IF('Données projet'!$A$140&gt;35,CT30+CS31-DB30,IF(A31&lt;'Données projet'!$A$140,$CQ$205^A31,IF(A31='Données projet'!$A$140,'Données projet'!$B$140,CT30+CS31-DB30)))</f>
        <v>106.53999999999998</v>
      </c>
      <c r="CU31" s="18">
        <f>CT31*VLOOKUP('Données projet'!$B$13,Paramètres!$A$1:$I$89,3,0)*VLOOKUP('Données projet'!$B$13,Paramètres!$A$1:$I$89,5,0)</f>
        <v>116.34167999999997</v>
      </c>
      <c r="CV31" s="14">
        <f t="shared" si="41"/>
        <v>30.82022487666757</v>
      </c>
      <c r="CW31" s="22">
        <f t="shared" si="13"/>
        <v>256.30698432686262</v>
      </c>
      <c r="CX31" s="62">
        <f t="shared" si="14"/>
        <v>547.19587321575148</v>
      </c>
      <c r="CY31" s="62">
        <f ca="1">AVERAGE(OFFSET($CX$3,0,0,'Données projet'!$E$13+1,1))-AVERAGE(OFFSET($H$3,0,0,'Données projet'!$E$13+1,1))</f>
        <v>205.21073681197737</v>
      </c>
      <c r="CZ31" s="62">
        <f t="shared" si="42"/>
        <v>175.16446313750316</v>
      </c>
      <c r="DA31" s="16">
        <f>IF(ISNA(VLOOKUP(A31,'Données projet'!$A$139:$I$159,3,0)),0,VLOOKUP(A31,'Données projet'!$A$139:$I$159,3,0))</f>
        <v>2</v>
      </c>
      <c r="DB31" s="16">
        <f>IF(ISNA(VLOOKUP(A31,'Données projet'!$A$139:$I$159,4,0)),0,VLOOKUP(A31,'Données projet'!$A$139:$I$159,4,0))</f>
        <v>44.39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4.3000000000000003E-2</v>
      </c>
      <c r="DE31" s="17">
        <f>IF(ISNA(VLOOKUP(A31,'Données projet'!$A$139:$I$159,7,0)),0%,VLOOKUP(A31,'Données projet'!$A$139:$I$159,7,0))</f>
        <v>0.3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2.2951442766653725</v>
      </c>
      <c r="DH31" s="23">
        <f>EXP(-LN(2)/2)*DH30+(1-EXP(-LN(2)/2))/(LN(2)/2)*DB31*DE31*VLOOKUP('Données projet'!$B$13,Paramètres!$A$1:$I$89,3,0)*0.475*44/12</f>
        <v>13.927488475522759</v>
      </c>
      <c r="DI31" s="24">
        <f t="shared" si="15"/>
        <v>16.222632752188133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10.906666666666668</v>
      </c>
      <c r="DO31" s="13">
        <f>IF('Données projet'!$A$166&gt;35,DO30+DN31-DW30,IF(A31&lt;'Données projet'!$A$166,$DL$205^A31,IF(A31='Données projet'!$A$166,'Données projet'!$B$166,DO30+DN31-DW30)))</f>
        <v>141.75333333333333</v>
      </c>
      <c r="DP31" s="18">
        <f>DO31*VLOOKUP('Données projet'!$B$14,Paramètres!$A$1:$I$89,3,0)*VLOOKUP('Données projet'!$B$14,Paramètres!$A$1:$I$89,5,0)</f>
        <v>114.99030399999999</v>
      </c>
      <c r="DQ31" s="14">
        <f t="shared" si="43"/>
        <v>30.503685930007563</v>
      </c>
      <c r="DR31" s="22">
        <f t="shared" si="16"/>
        <v>253.40203246142983</v>
      </c>
      <c r="DS31" s="62">
        <f t="shared" si="17"/>
        <v>544.29092135031874</v>
      </c>
      <c r="DT31" s="62">
        <f ca="1">AVERAGE(OFFSET($DS$3,0,0,'Données projet'!$E$14+1,1))-AVERAGE(OFFSET($H$3,0,0,'Données projet'!$E$14+1,1))</f>
        <v>223.63222290670075</v>
      </c>
      <c r="DU31" s="62">
        <f t="shared" si="44"/>
        <v>290.02663909417248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293.45879348577108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</v>
      </c>
      <c r="N32" s="14">
        <f>IF('Données projet'!$A$36&gt;35,N31+M32-V31,IF(A32&lt;'Données projet'!$A$36,$K$205^A32,IF(A32='Données projet'!$A$36,'Données projet'!$B$36,N31+M32-V31)))</f>
        <v>133.10000000000002</v>
      </c>
      <c r="O32" s="14">
        <f>N32*VLOOKUP('Données projet'!$B$9,Paramètres!$A$1:$I$89,3,0)*VLOOKUP('Données projet'!$B$9,Paramètres!$A$1:$I$89,5,0)</f>
        <v>79.593800000000016</v>
      </c>
      <c r="P32" s="14">
        <f t="shared" si="33"/>
        <v>22.037836711828103</v>
      </c>
      <c r="Q32" s="22">
        <f t="shared" si="2"/>
        <v>177.00843393976731</v>
      </c>
      <c r="R32" s="62">
        <f t="shared" si="0"/>
        <v>469.11954505087846</v>
      </c>
      <c r="S32" s="62">
        <f ca="1">AVERAGE(OFFSET($R$3,0,0,'Données projet'!$E$9+1,1))-AVERAGE(OFFSET($H$3,0,0,'Données projet'!$E$9+1,1))</f>
        <v>192.24617268603629</v>
      </c>
      <c r="T32" s="62">
        <f t="shared" si="34"/>
        <v>192.48585280662832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1.2389234100043944</v>
      </c>
      <c r="AA32" s="23">
        <f>EXP(-LN(2)/25)*AA31+(1-EXP(-LN(2)/25))/(LN(2)/25)*Calculateur!V32*Calculateur!X32*VLOOKUP('Données projet'!$B$9,Paramètres!$A$1:$I$89,3,0)*0.475*44/12</f>
        <v>6.804277261710725</v>
      </c>
      <c r="AB32" s="23">
        <f>EXP(-LN(2)/2)*AB31+(1-EXP(-LN(2)/2))/(LN(2)/2)*V32*Y32*VLOOKUP('Données projet'!$B$9,Paramètres!$A$1:$I$89,3,0)*0.475*44/12</f>
        <v>4.7271986418427998</v>
      </c>
      <c r="AC32" s="24">
        <f t="shared" si="3"/>
        <v>12.77039931355792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6.1837142857142817</v>
      </c>
      <c r="AI32" s="14">
        <f>IF('Données projet'!$A$62&gt;35,AI31+AH32-AQ31,IF(A32&lt;'Données projet'!$A$62,$AF$205^A32,IF(A32='Données projet'!$A$62,'Données projet'!$B$62,AI31+AH32-AQ31)))</f>
        <v>207.94528571428569</v>
      </c>
      <c r="AJ32" s="14">
        <f>AI32*VLOOKUP('Données projet'!$B$10,Paramètres!$A$1:$I$89,3,0)*VLOOKUP('Données projet'!$B$10,Paramètres!$A$1:$I$89,5,0)</f>
        <v>124.35128085714285</v>
      </c>
      <c r="AK32" s="14">
        <f t="shared" si="35"/>
        <v>32.687750714442153</v>
      </c>
      <c r="AL32" s="22">
        <f t="shared" si="4"/>
        <v>273.5096466538439</v>
      </c>
      <c r="AM32" s="62">
        <f t="shared" si="5"/>
        <v>565.62075776495499</v>
      </c>
      <c r="AN32" s="62">
        <f ca="1">AVERAGE(OFFSET($AM$3,0,0,'Données projet'!$E$10+1,1))-AVERAGE(OFFSET($H$3,0,0,'Données projet'!$E$10+1,1))</f>
        <v>164.64952352018145</v>
      </c>
      <c r="AO32" s="62">
        <f t="shared" si="36"/>
        <v>280.08682720086921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0.98201546116338745</v>
      </c>
      <c r="AV32" s="23">
        <f>EXP(-LN(2)/25)*AV31+(1-EXP(-LN(2)/25))/(LN(2)/25)*Calculateur!AQ32*Calculateur!AS32*VLOOKUP('Données projet'!$B$10,Paramètres!$A$1:$I$89,3,0)*0.475*44/12</f>
        <v>3.3080065750746894</v>
      </c>
      <c r="AW32" s="23">
        <f>EXP(-LN(2)/2)*AW31+(1-EXP(-LN(2)/2))/(LN(2)/2)*AQ32*AT32*VLOOKUP('Données projet'!$B$10,Paramètres!$A$1:$I$89,3,0)*0.475*44/12</f>
        <v>0.69717969043044969</v>
      </c>
      <c r="AX32" s="23">
        <f t="shared" si="6"/>
        <v>4.9872017266685269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0.7466666666666667</v>
      </c>
      <c r="BD32" s="13">
        <f>IF('Données projet'!$A$88&gt;35,BD31+BC32-BL31,IF(A32&lt;'Données projet'!$A$88,$BA$205^A32,IF(A32='Données projet'!$A$88,'Données projet'!$B$88,BD31+BC32-BL31)))</f>
        <v>20.194809048095113</v>
      </c>
      <c r="BE32" s="14">
        <f>BD32*VLOOKUP('Données projet'!$B$11,Paramètres!$A$1:$I$89,3,0)*VLOOKUP('Données projet'!$B$11,Paramètres!$A$1:$I$89,5,0)</f>
        <v>17.012107142115326</v>
      </c>
      <c r="BF32" s="14">
        <f t="shared" si="37"/>
        <v>5.6370246013133469</v>
      </c>
      <c r="BG32" s="22">
        <f t="shared" si="7"/>
        <v>39.447237786471597</v>
      </c>
      <c r="BH32" s="62">
        <f t="shared" si="8"/>
        <v>331.55834889758273</v>
      </c>
      <c r="BI32" s="62">
        <f ca="1">AVERAGE(OFFSET($BH$3,0,0,'Données projet'!$E$11+1,1))-AVERAGE(OFFSET($H$3,0,0,'Données projet'!$E$11+1,1))</f>
        <v>339.58585574836434</v>
      </c>
      <c r="BJ32" s="62">
        <f t="shared" si="38"/>
        <v>42.267525972379588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0.28233333333333338</v>
      </c>
      <c r="BY32" s="13">
        <f>IF('Données projet'!$A$114&gt;35,BY31+BX32-CG31,IF(A32&lt;'Données projet'!$A$114,$BV$205^A32,IF(A32='Données projet'!$A$114,'Données projet'!$B$114,BY31+BX32-CG31)))</f>
        <v>7.8877650021654979</v>
      </c>
      <c r="BZ32" s="14">
        <f>BY32*VLOOKUP('Données projet'!$B$12,Paramètres!$A$1:$I$89,3,0)*VLOOKUP('Données projet'!$B$12,Paramètres!$A$1:$I$89,5,0)</f>
        <v>7.8751445781620335</v>
      </c>
      <c r="CA32" s="14">
        <f t="shared" si="39"/>
        <v>2.8542112064872964</v>
      </c>
      <c r="CB32" s="22">
        <f t="shared" si="10"/>
        <v>18.686961324930916</v>
      </c>
      <c r="CC32" s="62">
        <f t="shared" si="11"/>
        <v>310.79807243604205</v>
      </c>
      <c r="CD32" s="62">
        <f ca="1">AVERAGE(OFFSET($CC$3,0,0,'Données projet'!$E$12+1,1))-AVERAGE(OFFSET($H$3,0,0,'Données projet'!$E$12+1,1))</f>
        <v>112.34884104798977</v>
      </c>
      <c r="CE32" s="62">
        <f t="shared" si="40"/>
        <v>18.665658139749326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5.266111111111111</v>
      </c>
      <c r="CT32" s="13">
        <f>IF('Données projet'!$A$140&gt;35,CT31+CS32-DB31,IF(A32&lt;'Données projet'!$A$140,$CQ$205^A32,IF(A32='Données projet'!$A$140,'Données projet'!$B$140,CT31+CS32-DB31)))</f>
        <v>67.416111111111093</v>
      </c>
      <c r="CU32" s="18">
        <f>CT32*VLOOKUP('Données projet'!$B$13,Paramètres!$A$1:$I$89,3,0)*VLOOKUP('Données projet'!$B$13,Paramètres!$A$1:$I$89,5,0)</f>
        <v>73.618393333333316</v>
      </c>
      <c r="CV32" s="14">
        <f t="shared" si="41"/>
        <v>20.569379483432147</v>
      </c>
      <c r="CW32" s="22">
        <f t="shared" si="13"/>
        <v>164.04370432253319</v>
      </c>
      <c r="CX32" s="62">
        <f t="shared" si="14"/>
        <v>456.15481543364433</v>
      </c>
      <c r="CY32" s="62">
        <f ca="1">AVERAGE(OFFSET($CX$3,0,0,'Données projet'!$E$13+1,1))-AVERAGE(OFFSET($H$3,0,0,'Données projet'!$E$13+1,1))</f>
        <v>205.21073681197737</v>
      </c>
      <c r="CZ32" s="62">
        <f t="shared" si="42"/>
        <v>175.16446313750316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2.2323834357235661</v>
      </c>
      <c r="DH32" s="23">
        <f>EXP(-LN(2)/2)*DH31+(1-EXP(-LN(2)/2))/(LN(2)/2)*DB32*DE32*VLOOKUP('Données projet'!$B$13,Paramètres!$A$1:$I$89,3,0)*0.475*44/12</f>
        <v>9.8482215459396354</v>
      </c>
      <c r="DI32" s="24">
        <f t="shared" si="15"/>
        <v>12.080604981663202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10.906666666666668</v>
      </c>
      <c r="DO32" s="13">
        <f>IF('Données projet'!$A$166&gt;35,DO31+DN32-DW31,IF(A32&lt;'Données projet'!$A$166,$DL$205^A32,IF(A32='Données projet'!$A$166,'Données projet'!$B$166,DO31+DN32-DW31)))</f>
        <v>152.66</v>
      </c>
      <c r="DP32" s="18">
        <f>DO32*VLOOKUP('Données projet'!$B$14,Paramètres!$A$1:$I$89,3,0)*VLOOKUP('Données projet'!$B$14,Paramètres!$A$1:$I$89,5,0)</f>
        <v>123.83779200000001</v>
      </c>
      <c r="DQ32" s="14">
        <f t="shared" si="43"/>
        <v>32.56845467480278</v>
      </c>
      <c r="DR32" s="22">
        <f t="shared" si="16"/>
        <v>272.40754629194822</v>
      </c>
      <c r="DS32" s="62">
        <f t="shared" si="17"/>
        <v>564.51865740305936</v>
      </c>
      <c r="DT32" s="62">
        <f ca="1">AVERAGE(OFFSET($DS$3,0,0,'Données projet'!$E$14+1,1))-AVERAGE(OFFSET($H$3,0,0,'Données projet'!$E$14+1,1))</f>
        <v>223.63222290670075</v>
      </c>
      <c r="DU32" s="62">
        <f t="shared" si="44"/>
        <v>290.02663909417248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294.68994575680784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</v>
      </c>
      <c r="N33" s="14">
        <f>IF('Données projet'!$A$36&gt;35,N32+M33-V32,IF(A33&lt;'Données projet'!$A$36,$K$205^A33,IF(A33='Données projet'!$A$36,'Données projet'!$B$36,N32+M33-V32)))</f>
        <v>146.10000000000002</v>
      </c>
      <c r="O33" s="14">
        <f>N33*VLOOKUP('Données projet'!$B$9,Paramètres!$A$1:$I$89,3,0)*VLOOKUP('Données projet'!$B$9,Paramètres!$A$1:$I$89,5,0)</f>
        <v>87.367800000000031</v>
      </c>
      <c r="P33" s="14">
        <f t="shared" si="33"/>
        <v>23.929309223025538</v>
      </c>
      <c r="Q33" s="22">
        <f t="shared" si="2"/>
        <v>193.84246523010287</v>
      </c>
      <c r="R33" s="62">
        <f t="shared" si="0"/>
        <v>487.17579856343616</v>
      </c>
      <c r="S33" s="62">
        <f ca="1">AVERAGE(OFFSET($R$3,0,0,'Données projet'!$E$9+1,1))-AVERAGE(OFFSET($H$3,0,0,'Données projet'!$E$9+1,1))</f>
        <v>192.24617268603629</v>
      </c>
      <c r="T33" s="62">
        <f t="shared" si="34"/>
        <v>192.48585280662832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1.2146288776028722</v>
      </c>
      <c r="AA33" s="23">
        <f>EXP(-LN(2)/25)*AA32+(1-EXP(-LN(2)/25))/(LN(2)/25)*Calculateur!V33*Calculateur!X33*VLOOKUP('Données projet'!$B$9,Paramètres!$A$1:$I$89,3,0)*0.475*44/12</f>
        <v>6.6182139421678556</v>
      </c>
      <c r="AB33" s="23">
        <f>EXP(-LN(2)/2)*AB32+(1-EXP(-LN(2)/2))/(LN(2)/2)*V33*Y33*VLOOKUP('Données projet'!$B$9,Paramètres!$A$1:$I$89,3,0)*0.475*44/12</f>
        <v>3.3426342156628817</v>
      </c>
      <c r="AC33" s="24">
        <f t="shared" si="3"/>
        <v>11.175477035433609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214.12899999999999</v>
      </c>
      <c r="AG33" s="13">
        <f>VLOOKUP(A33,'Données projet'!$A$61:$I$81,9,0)</f>
        <v>6.1837142857142817</v>
      </c>
      <c r="AH33" s="13">
        <f t="array" ref="AH33">INDEX(AG:AG,MIN(IF(ISNUMBER(AG33:AG229),ROW(AG33:AG229),"")))</f>
        <v>6.1837142857142817</v>
      </c>
      <c r="AI33" s="14">
        <f>IF('Données projet'!$A$62&gt;35,AI32+AH33-AQ32,IF(A33&lt;'Données projet'!$A$62,$AF$205^A33,IF(A33='Données projet'!$A$62,'Données projet'!$B$62,AI32+AH33-AQ32)))</f>
        <v>214.12899999999996</v>
      </c>
      <c r="AJ33" s="14">
        <f>AI33*VLOOKUP('Données projet'!$B$10,Paramètres!$A$1:$I$89,3,0)*VLOOKUP('Données projet'!$B$10,Paramètres!$A$1:$I$89,5,0)</f>
        <v>128.04914199999999</v>
      </c>
      <c r="AK33" s="14">
        <f t="shared" si="35"/>
        <v>33.54517740153706</v>
      </c>
      <c r="AL33" s="22">
        <f t="shared" si="4"/>
        <v>281.44343962434374</v>
      </c>
      <c r="AM33" s="62">
        <f t="shared" si="5"/>
        <v>574.77677295767705</v>
      </c>
      <c r="AN33" s="62">
        <f ca="1">AVERAGE(OFFSET($AM$3,0,0,'Données projet'!$E$10+1,1))-AVERAGE(OFFSET($H$3,0,0,'Données projet'!$E$10+1,1))</f>
        <v>164.64952352018145</v>
      </c>
      <c r="AO33" s="62">
        <f t="shared" si="36"/>
        <v>280.08682720086921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38.83</v>
      </c>
      <c r="AR33" s="17">
        <f>IF(ISNA(VLOOKUP(A33,'Données projet'!$A$61:$I$81,5,0)),0%,VLOOKUP(A33,'Données projet'!$A$61:$I$81,5,0)*VLOOKUP('Données projet'!$B$10,Paramètres!$A$1:$I$89,7,0))</f>
        <v>0.22500000000000001</v>
      </c>
      <c r="AS33" s="17">
        <f>IF(ISNA(VLOOKUP(A33,'Données projet'!$A$61:$I$81,6,0)),0%,VLOOKUP(A33,'Données projet'!$A$61:$I$81,6,0)*VLOOKUP('Données projet'!$B$10,Paramètres!$A$1:$I$89,7,0))</f>
        <v>9.0000000000000011E-2</v>
      </c>
      <c r="AT33" s="17">
        <f>IF(ISNA(VLOOKUP(A33,'Données projet'!$A$61:$I$81,7,0)),0%,VLOOKUP(A33,'Données projet'!$A$61:$I$81,7,0))</f>
        <v>0.1</v>
      </c>
      <c r="AU33" s="23">
        <f>EXP(-LN(2)/35)*AU32+(1-EXP(-LN(2)/35))/(LN(2)/35)*AQ33*AR33*VLOOKUP('Données projet'!$B$10,Paramètres!$A$1:$I$89,3,0)*0.475*44/12</f>
        <v>7.89349621656498</v>
      </c>
      <c r="AV33" s="23">
        <f>EXP(-LN(2)/25)*AV32+(1-EXP(-LN(2)/25))/(LN(2)/25)*Calculateur!AQ33*Calculateur!AS33*VLOOKUP('Données projet'!$B$10,Paramètres!$A$1:$I$89,3,0)*0.475*44/12</f>
        <v>5.9789283714585348</v>
      </c>
      <c r="AW33" s="23">
        <f>EXP(-LN(2)/2)*AW32+(1-EXP(-LN(2)/2))/(LN(2)/2)*AQ33*AT33*VLOOKUP('Données projet'!$B$10,Paramètres!$A$1:$I$89,3,0)*0.475*44/12</f>
        <v>3.1220623775634788</v>
      </c>
      <c r="AX33" s="23">
        <f t="shared" si="6"/>
        <v>16.994486965586994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22.400000000000002</v>
      </c>
      <c r="BB33" s="13">
        <f>VLOOKUP(A33,'Données projet'!$A$87:$I$107,9,0)</f>
        <v>0.7466666666666667</v>
      </c>
      <c r="BC33" s="13">
        <f t="array" ref="BC33">INDEX(BB:BB,MIN(IF(ISNUMBER(BB33:BB229),ROW(BB33:BB229),"")))</f>
        <v>0.7466666666666667</v>
      </c>
      <c r="BD33" s="13">
        <f>IF('Données projet'!$A$88&gt;35,BD32+BC33-BL32,IF(A33&lt;'Données projet'!$A$88,$BA$205^A33,IF(A33='Données projet'!$A$88,'Données projet'!$B$88,BD32+BC33-BL32)))</f>
        <v>22.400000000000002</v>
      </c>
      <c r="BE33" s="14">
        <f>BD33*VLOOKUP('Données projet'!$B$11,Paramètres!$A$1:$I$89,3,0)*VLOOKUP('Données projet'!$B$11,Paramètres!$A$1:$I$89,5,0)</f>
        <v>18.869760000000003</v>
      </c>
      <c r="BF33" s="14">
        <f t="shared" si="37"/>
        <v>6.177592189007151</v>
      </c>
      <c r="BG33" s="22">
        <f t="shared" si="7"/>
        <v>43.624138395854118</v>
      </c>
      <c r="BH33" s="62">
        <f t="shared" si="8"/>
        <v>336.95747172918743</v>
      </c>
      <c r="BI33" s="62">
        <f ca="1">AVERAGE(OFFSET($BH$3,0,0,'Données projet'!$E$11+1,1))-AVERAGE(OFFSET($H$3,0,0,'Données projet'!$E$11+1,1))</f>
        <v>339.58585574836434</v>
      </c>
      <c r="BJ33" s="62">
        <f t="shared" si="38"/>
        <v>42.267525972379588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5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0.3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1.1922406092953686</v>
      </c>
      <c r="BS33" s="24">
        <f t="shared" si="9"/>
        <v>1.1922406092953686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8.4700000000000006</v>
      </c>
      <c r="BW33" s="13">
        <f>VLOOKUP(A33,'Données projet'!$A$113:$I$133,9,0)</f>
        <v>0.28233333333333338</v>
      </c>
      <c r="BX33" s="13">
        <f t="array" ref="BX33">INDEX(BW:BW,MIN(IF(ISNUMBER(BW33:BW229),ROW(BW33:BW229),"")))</f>
        <v>0.28233333333333338</v>
      </c>
      <c r="BY33" s="13">
        <f>IF('Données projet'!$A$114&gt;35,BY32+BX33-CG32,IF(A33&lt;'Données projet'!$A$114,$BV$205^A33,IF(A33='Données projet'!$A$114,'Données projet'!$B$114,BY32+BX33-CG32)))</f>
        <v>8.4700000000000006</v>
      </c>
      <c r="BZ33" s="14">
        <f>BY33*VLOOKUP('Données projet'!$B$12,Paramètres!$A$1:$I$89,3,0)*VLOOKUP('Données projet'!$B$12,Paramètres!$A$1:$I$89,5,0)</f>
        <v>8.4564480000000017</v>
      </c>
      <c r="CA33" s="14">
        <f t="shared" si="39"/>
        <v>3.0395925147696725</v>
      </c>
      <c r="CB33" s="22">
        <f t="shared" si="10"/>
        <v>20.022270563223852</v>
      </c>
      <c r="CC33" s="62">
        <f t="shared" si="11"/>
        <v>313.35560389655717</v>
      </c>
      <c r="CD33" s="62">
        <f ca="1">AVERAGE(OFFSET($CC$3,0,0,'Données projet'!$E$12+1,1))-AVERAGE(OFFSET($H$3,0,0,'Données projet'!$E$12+1,1))</f>
        <v>112.34884104798977</v>
      </c>
      <c r="CE33" s="62">
        <f t="shared" si="40"/>
        <v>18.665658139749326</v>
      </c>
      <c r="CF33" s="16">
        <f>IF(ISNA(VLOOKUP(A33,'Données projet'!$A$113:$I$133,3,0)),0,VLOOKUP(A33,'Données projet'!$A$113:$I$133,3,0))</f>
        <v>1</v>
      </c>
      <c r="CG33" s="16">
        <f>IF(ISNA(VLOOKUP(A33,'Données projet'!$A$113:$I$133,4,0)),0,VLOOKUP(A33,'Données projet'!$A$113:$I$133,4,0))</f>
        <v>1.55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0.3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0.43803803126703911</v>
      </c>
      <c r="CN33" s="24">
        <f t="shared" si="12"/>
        <v>0.43803803126703911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5.266111111111111</v>
      </c>
      <c r="CT33" s="13">
        <f>IF('Données projet'!$A$140&gt;35,CT32+CS33-DB32,IF(A33&lt;'Données projet'!$A$140,$CQ$205^A33,IF(A33='Données projet'!$A$140,'Données projet'!$B$140,CT32+CS33-DB32)))</f>
        <v>72.682222222222208</v>
      </c>
      <c r="CU33" s="18">
        <f>CT33*VLOOKUP('Données projet'!$B$13,Paramètres!$A$1:$I$89,3,0)*VLOOKUP('Données projet'!$B$13,Paramètres!$A$1:$I$89,5,0)</f>
        <v>79.368986666666657</v>
      </c>
      <c r="CV33" s="14">
        <f t="shared" si="41"/>
        <v>21.982827052554992</v>
      </c>
      <c r="CW33" s="22">
        <f t="shared" si="13"/>
        <v>176.52107556097769</v>
      </c>
      <c r="CX33" s="62">
        <f t="shared" si="14"/>
        <v>469.85440889431101</v>
      </c>
      <c r="CY33" s="62">
        <f ca="1">AVERAGE(OFFSET($CX$3,0,0,'Données projet'!$E$13+1,1))-AVERAGE(OFFSET($H$3,0,0,'Données projet'!$E$13+1,1))</f>
        <v>205.21073681197737</v>
      </c>
      <c r="CZ33" s="62">
        <f t="shared" si="42"/>
        <v>175.16446313750316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2.1713387932777626</v>
      </c>
      <c r="DH33" s="23">
        <f>EXP(-LN(2)/2)*DH32+(1-EXP(-LN(2)/2))/(LN(2)/2)*DB33*DE33*VLOOKUP('Données projet'!$B$13,Paramètres!$A$1:$I$89,3,0)*0.475*44/12</f>
        <v>6.9637442377613814</v>
      </c>
      <c r="DI33" s="24">
        <f t="shared" si="15"/>
        <v>9.1350830310391444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10.906666666666668</v>
      </c>
      <c r="DO33" s="13">
        <f>IF('Données projet'!$A$166&gt;35,DO32+DN33-DW32,IF(A33&lt;'Données projet'!$A$166,$DL$205^A33,IF(A33='Données projet'!$A$166,'Données projet'!$B$166,DO32+DN33-DW32)))</f>
        <v>163.56666666666666</v>
      </c>
      <c r="DP33" s="18">
        <f>DO33*VLOOKUP('Données projet'!$B$14,Paramètres!$A$1:$I$89,3,0)*VLOOKUP('Données projet'!$B$14,Paramètres!$A$1:$I$89,5,0)</f>
        <v>132.68528000000001</v>
      </c>
      <c r="DQ33" s="14">
        <f t="shared" si="43"/>
        <v>34.616108431184905</v>
      </c>
      <c r="DR33" s="22">
        <f t="shared" si="16"/>
        <v>291.38325151764707</v>
      </c>
      <c r="DS33" s="62">
        <f t="shared" si="17"/>
        <v>584.71658485098033</v>
      </c>
      <c r="DT33" s="62">
        <f ca="1">AVERAGE(OFFSET($DS$3,0,0,'Données projet'!$E$14+1,1))-AVERAGE(OFFSET($H$3,0,0,'Données projet'!$E$14+1,1))</f>
        <v>223.63222290670075</v>
      </c>
      <c r="DU33" s="62">
        <f t="shared" si="44"/>
        <v>290.02663909417248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295.92001273712469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</v>
      </c>
      <c r="N34" s="14">
        <f>IF('Données projet'!$A$36&gt;35,N33+M34-V33,IF(A34&lt;'Données projet'!$A$36,$K$205^A34,IF(A34='Données projet'!$A$36,'Données projet'!$B$36,N33+M34-V33)))</f>
        <v>159.10000000000002</v>
      </c>
      <c r="O34" s="14">
        <f>N34*VLOOKUP('Données projet'!$B$9,Paramètres!$A$1:$I$89,3,0)*VLOOKUP('Données projet'!$B$9,Paramètres!$A$1:$I$89,5,0)</f>
        <v>95.141800000000018</v>
      </c>
      <c r="P34" s="14">
        <f t="shared" si="33"/>
        <v>25.801265144965679</v>
      </c>
      <c r="Q34" s="22">
        <f t="shared" si="2"/>
        <v>210.64250512748188</v>
      </c>
      <c r="R34" s="62">
        <f t="shared" si="0"/>
        <v>503.97583846081523</v>
      </c>
      <c r="S34" s="62">
        <f ca="1">AVERAGE(OFFSET($R$3,0,0,'Données projet'!$E$9+1,1))-AVERAGE(OFFSET($H$3,0,0,'Données projet'!$E$9+1,1))</f>
        <v>192.24617268603629</v>
      </c>
      <c r="T34" s="62">
        <f t="shared" si="34"/>
        <v>192.48585280662832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1.1908107461635422</v>
      </c>
      <c r="AA34" s="23">
        <f>EXP(-LN(2)/25)*AA33+(1-EXP(-LN(2)/25))/(LN(2)/25)*Calculateur!V34*Calculateur!X34*VLOOKUP('Données projet'!$B$9,Paramètres!$A$1:$I$89,3,0)*0.475*44/12</f>
        <v>6.4372385338825309</v>
      </c>
      <c r="AB34" s="23">
        <f>EXP(-LN(2)/2)*AB33+(1-EXP(-LN(2)/2))/(LN(2)/2)*V34*Y34*VLOOKUP('Données projet'!$B$9,Paramètres!$A$1:$I$89,3,0)*0.475*44/12</f>
        <v>2.3635993209214003</v>
      </c>
      <c r="AC34" s="24">
        <f t="shared" si="3"/>
        <v>9.9916486009674728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9.7256666666666742</v>
      </c>
      <c r="AI34" s="14">
        <f>IF('Données projet'!$A$62&gt;35,AI33+AH34-AQ33,IF(A34&lt;'Données projet'!$A$62,$AF$205^A34,IF(A34='Données projet'!$A$62,'Données projet'!$B$62,AI33+AH34-AQ33)))</f>
        <v>185.02466666666663</v>
      </c>
      <c r="AJ34" s="14">
        <f>AI34*VLOOKUP('Données projet'!$B$10,Paramètres!$A$1:$I$89,3,0)*VLOOKUP('Données projet'!$B$10,Paramètres!$A$1:$I$89,5,0)</f>
        <v>110.64475066666665</v>
      </c>
      <c r="AK34" s="14">
        <f t="shared" si="35"/>
        <v>29.482841150443544</v>
      </c>
      <c r="AL34" s="22">
        <f t="shared" si="4"/>
        <v>244.05555574813357</v>
      </c>
      <c r="AM34" s="62">
        <f t="shared" si="5"/>
        <v>537.38888908146691</v>
      </c>
      <c r="AN34" s="62">
        <f ca="1">AVERAGE(OFFSET($AM$3,0,0,'Données projet'!$E$10+1,1))-AVERAGE(OFFSET($H$3,0,0,'Données projet'!$E$10+1,1))</f>
        <v>164.64952352018145</v>
      </c>
      <c r="AO34" s="62">
        <f t="shared" si="36"/>
        <v>280.08682720086921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7.7387095703154349</v>
      </c>
      <c r="AV34" s="23">
        <f>EXP(-LN(2)/25)*AV33+(1-EXP(-LN(2)/25))/(LN(2)/25)*Calculateur!AQ34*Calculateur!AS34*VLOOKUP('Données projet'!$B$10,Paramètres!$A$1:$I$89,3,0)*0.475*44/12</f>
        <v>5.8154342607228235</v>
      </c>
      <c r="AW34" s="23">
        <f>EXP(-LN(2)/2)*AW33+(1-EXP(-LN(2)/2))/(LN(2)/2)*AQ34*AT34*VLOOKUP('Données projet'!$B$10,Paramètres!$A$1:$I$89,3,0)*0.475*44/12</f>
        <v>2.2076314784625315</v>
      </c>
      <c r="AX34" s="23">
        <f t="shared" si="6"/>
        <v>15.76177530950079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6.3</v>
      </c>
      <c r="BD34" s="13">
        <f>IF('Données projet'!$A$88&gt;35,BD33+BC34-BL33,IF(A34&lt;'Données projet'!$A$88,$BA$205^A34,IF(A34='Données projet'!$A$88,'Données projet'!$B$88,BD33+BC34-BL33)))</f>
        <v>23.700000000000003</v>
      </c>
      <c r="BE34" s="14">
        <f>BD34*VLOOKUP('Données projet'!$B$11,Paramètres!$A$1:$I$89,3,0)*VLOOKUP('Données projet'!$B$11,Paramètres!$A$1:$I$89,5,0)</f>
        <v>19.964880000000004</v>
      </c>
      <c r="BF34" s="14">
        <f t="shared" si="37"/>
        <v>6.4933337350298608</v>
      </c>
      <c r="BG34" s="22">
        <f t="shared" si="7"/>
        <v>46.081388921843683</v>
      </c>
      <c r="BH34" s="62">
        <f t="shared" si="8"/>
        <v>339.41472225517703</v>
      </c>
      <c r="BI34" s="62">
        <f ca="1">AVERAGE(OFFSET($BH$3,0,0,'Données projet'!$E$11+1,1))-AVERAGE(OFFSET($H$3,0,0,'Données projet'!$E$11+1,1))</f>
        <v>339.58585574836434</v>
      </c>
      <c r="BJ34" s="62">
        <f t="shared" si="38"/>
        <v>42.267525972379588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0.84304141963873636</v>
      </c>
      <c r="BS34" s="24">
        <f t="shared" si="9"/>
        <v>0.84304141963873636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2.8939999999999997</v>
      </c>
      <c r="BY34" s="13">
        <f>IF('Données projet'!$A$114&gt;35,BY33+BX34-CG33,IF(A34&lt;'Données projet'!$A$114,$BV$205^A34,IF(A34='Données projet'!$A$114,'Données projet'!$B$114,BY33+BX34-CG33)))</f>
        <v>9.8140000000000001</v>
      </c>
      <c r="BZ34" s="14">
        <f>BY34*VLOOKUP('Données projet'!$B$12,Paramètres!$A$1:$I$89,3,0)*VLOOKUP('Données projet'!$B$12,Paramètres!$A$1:$I$89,5,0)</f>
        <v>9.7982976000000015</v>
      </c>
      <c r="CA34" s="14">
        <f t="shared" si="39"/>
        <v>3.4620453938799765</v>
      </c>
      <c r="CB34" s="22">
        <f t="shared" si="10"/>
        <v>23.095097381007623</v>
      </c>
      <c r="CC34" s="62">
        <f t="shared" si="11"/>
        <v>316.42843071434095</v>
      </c>
      <c r="CD34" s="62">
        <f ca="1">AVERAGE(OFFSET($CC$3,0,0,'Données projet'!$E$12+1,1))-AVERAGE(OFFSET($H$3,0,0,'Données projet'!$E$12+1,1))</f>
        <v>112.34884104798977</v>
      </c>
      <c r="CE34" s="62">
        <f t="shared" si="40"/>
        <v>18.665658139749326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0.30973966232652833</v>
      </c>
      <c r="CN34" s="24">
        <f t="shared" si="12"/>
        <v>0.30973966232652833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5.266111111111111</v>
      </c>
      <c r="CT34" s="13">
        <f>IF('Données projet'!$A$140&gt;35,CT33+CS34-DB33,IF(A34&lt;'Données projet'!$A$140,$CQ$205^A34,IF(A34='Données projet'!$A$140,'Données projet'!$B$140,CT33+CS34-DB33)))</f>
        <v>77.948333333333323</v>
      </c>
      <c r="CU34" s="18">
        <f>CT34*VLOOKUP('Données projet'!$B$13,Paramètres!$A$1:$I$89,3,0)*VLOOKUP('Données projet'!$B$13,Paramètres!$A$1:$I$89,5,0)</f>
        <v>85.119579999999985</v>
      </c>
      <c r="CV34" s="14">
        <f t="shared" si="41"/>
        <v>23.384393278368943</v>
      </c>
      <c r="CW34" s="22">
        <f t="shared" si="13"/>
        <v>188.97775345982586</v>
      </c>
      <c r="CX34" s="62">
        <f t="shared" si="14"/>
        <v>482.31108679315918</v>
      </c>
      <c r="CY34" s="62">
        <f ca="1">AVERAGE(OFFSET($CX$3,0,0,'Données projet'!$E$13+1,1))-AVERAGE(OFFSET($H$3,0,0,'Données projet'!$E$13+1,1))</f>
        <v>205.21073681197737</v>
      </c>
      <c r="CZ34" s="62">
        <f t="shared" si="42"/>
        <v>175.16446313750316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2.1119634197898378</v>
      </c>
      <c r="DH34" s="23">
        <f>EXP(-LN(2)/2)*DH33+(1-EXP(-LN(2)/2))/(LN(2)/2)*DB34*DE34*VLOOKUP('Données projet'!$B$13,Paramètres!$A$1:$I$89,3,0)*0.475*44/12</f>
        <v>4.9241107729698186</v>
      </c>
      <c r="DI34" s="24">
        <f t="shared" si="15"/>
        <v>7.0360741927596564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10.906666666666668</v>
      </c>
      <c r="DO34" s="13">
        <f>IF('Données projet'!$A$166&gt;35,DO33+DN34-DW33,IF(A34&lt;'Données projet'!$A$166,$DL$205^A34,IF(A34='Données projet'!$A$166,'Données projet'!$B$166,DO33+DN34-DW33)))</f>
        <v>174.47333333333333</v>
      </c>
      <c r="DP34" s="18">
        <f>DO34*VLOOKUP('Données projet'!$B$14,Paramètres!$A$1:$I$89,3,0)*VLOOKUP('Données projet'!$B$14,Paramètres!$A$1:$I$89,5,0)</f>
        <v>141.532768</v>
      </c>
      <c r="DQ34" s="14">
        <f t="shared" si="43"/>
        <v>36.647918284947401</v>
      </c>
      <c r="DR34" s="22">
        <f t="shared" si="16"/>
        <v>310.33136194628338</v>
      </c>
      <c r="DS34" s="62">
        <f t="shared" si="17"/>
        <v>603.66469527961669</v>
      </c>
      <c r="DT34" s="62">
        <f ca="1">AVERAGE(OFFSET($DS$3,0,0,'Données projet'!$E$14+1,1))-AVERAGE(OFFSET($H$3,0,0,'Données projet'!$E$14+1,1))</f>
        <v>223.63222290670075</v>
      </c>
      <c r="DU34" s="62">
        <f t="shared" si="44"/>
        <v>290.02663909417248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297.14903345164504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</v>
      </c>
      <c r="N35" s="14">
        <f>IF('Données projet'!$A$36&gt;35,N34+M35-V34,IF(A35&lt;'Données projet'!$A$36,$K$205^A35,IF(A35='Données projet'!$A$36,'Données projet'!$B$36,N34+M35-V34)))</f>
        <v>172.10000000000002</v>
      </c>
      <c r="O35" s="14">
        <f>N35*VLOOKUP('Données projet'!$B$9,Paramètres!$A$1:$I$89,3,0)*VLOOKUP('Données projet'!$B$9,Paramètres!$A$1:$I$89,5,0)</f>
        <v>102.91580000000002</v>
      </c>
      <c r="P35" s="14">
        <f t="shared" si="33"/>
        <v>27.655480471040217</v>
      </c>
      <c r="Q35" s="22">
        <f t="shared" ref="Q35:Q66" si="53">(O35+P35)*0.475*44/12</f>
        <v>227.41164682039505</v>
      </c>
      <c r="R35" s="62">
        <f t="shared" si="0"/>
        <v>520.74498015372842</v>
      </c>
      <c r="S35" s="62">
        <f ca="1">AVERAGE(OFFSET($R$3,0,0,'Données projet'!$E$9+1,1))-AVERAGE(OFFSET($H$3,0,0,'Données projet'!$E$9+1,1))</f>
        <v>192.24617268603629</v>
      </c>
      <c r="T35" s="62">
        <f t="shared" si="34"/>
        <v>192.48585280662832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1.1674596737541119</v>
      </c>
      <c r="AA35" s="23">
        <f>EXP(-LN(2)/25)*AA34+(1-EXP(-LN(2)/25))/(LN(2)/25)*Calculateur!V35*Calculateur!X35*VLOOKUP('Données projet'!$B$9,Paramètres!$A$1:$I$89,3,0)*0.475*44/12</f>
        <v>6.261211907653851</v>
      </c>
      <c r="AB35" s="23">
        <f>EXP(-LN(2)/2)*AB34+(1-EXP(-LN(2)/2))/(LN(2)/2)*V35*Y35*VLOOKUP('Données projet'!$B$9,Paramètres!$A$1:$I$89,3,0)*0.475*44/12</f>
        <v>1.6713171078314411</v>
      </c>
      <c r="AC35" s="24">
        <f t="shared" si="3"/>
        <v>9.0999886892394048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9.7256666666666742</v>
      </c>
      <c r="AI35" s="14">
        <f>IF('Données projet'!$A$62&gt;35,AI34+AH35-AQ34,IF(A35&lt;'Données projet'!$A$62,$AF$205^A35,IF(A35='Données projet'!$A$62,'Données projet'!$B$62,AI34+AH35-AQ34)))</f>
        <v>194.75033333333332</v>
      </c>
      <c r="AJ35" s="14">
        <f>AI35*VLOOKUP('Données projet'!$B$10,Paramètres!$A$1:$I$89,3,0)*VLOOKUP('Données projet'!$B$10,Paramètres!$A$1:$I$89,5,0)</f>
        <v>116.46069933333332</v>
      </c>
      <c r="AK35" s="14">
        <f t="shared" si="35"/>
        <v>30.84808274261772</v>
      </c>
      <c r="AL35" s="22">
        <f t="shared" si="4"/>
        <v>256.56279544894807</v>
      </c>
      <c r="AM35" s="62">
        <f t="shared" si="5"/>
        <v>549.89612878228138</v>
      </c>
      <c r="AN35" s="62">
        <f ca="1">AVERAGE(OFFSET($AM$3,0,0,'Données projet'!$E$10+1,1))-AVERAGE(OFFSET($H$3,0,0,'Données projet'!$E$10+1,1))</f>
        <v>164.64952352018145</v>
      </c>
      <c r="AO35" s="62">
        <f t="shared" si="36"/>
        <v>280.08682720086921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7.586958195788311</v>
      </c>
      <c r="AV35" s="23">
        <f>EXP(-LN(2)/25)*AV34+(1-EXP(-LN(2)/25))/(LN(2)/25)*Calculateur!AQ35*Calculateur!AS35*VLOOKUP('Données projet'!$B$10,Paramètres!$A$1:$I$89,3,0)*0.475*44/12</f>
        <v>5.6564109050429616</v>
      </c>
      <c r="AW35" s="23">
        <f>EXP(-LN(2)/2)*AW34+(1-EXP(-LN(2)/2))/(LN(2)/2)*AQ35*AT35*VLOOKUP('Données projet'!$B$10,Paramètres!$A$1:$I$89,3,0)*0.475*44/12</f>
        <v>1.5610311887817399</v>
      </c>
      <c r="AX35" s="23">
        <f t="shared" si="6"/>
        <v>14.804400289613014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6.3</v>
      </c>
      <c r="BD35" s="13">
        <f>IF('Données projet'!$A$88&gt;35,BD34+BC35-BL34,IF(A35&lt;'Données projet'!$A$88,$BA$205^A35,IF(A35='Données projet'!$A$88,'Données projet'!$B$88,BD34+BC35-BL34)))</f>
        <v>30.000000000000004</v>
      </c>
      <c r="BE35" s="14">
        <f>BD35*VLOOKUP('Données projet'!$B$11,Paramètres!$A$1:$I$89,3,0)*VLOOKUP('Données projet'!$B$11,Paramètres!$A$1:$I$89,5,0)</f>
        <v>25.272000000000006</v>
      </c>
      <c r="BF35" s="14">
        <f t="shared" si="37"/>
        <v>7.9969508502584166</v>
      </c>
      <c r="BG35" s="22">
        <f t="shared" si="7"/>
        <v>57.94342273086675</v>
      </c>
      <c r="BH35" s="62">
        <f t="shared" si="8"/>
        <v>351.27675606420007</v>
      </c>
      <c r="BI35" s="62">
        <f ca="1">AVERAGE(OFFSET($BH$3,0,0,'Données projet'!$E$11+1,1))-AVERAGE(OFFSET($H$3,0,0,'Données projet'!$E$11+1,1))</f>
        <v>339.58585574836434</v>
      </c>
      <c r="BJ35" s="62">
        <f t="shared" si="38"/>
        <v>42.267525972379588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0.5961203046476844</v>
      </c>
      <c r="BS35" s="24">
        <f t="shared" si="9"/>
        <v>0.5961203046476844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2.8939999999999997</v>
      </c>
      <c r="BY35" s="13">
        <f>IF('Données projet'!$A$114&gt;35,BY34+BX35-CG34,IF(A35&lt;'Données projet'!$A$114,$BV$205^A35,IF(A35='Données projet'!$A$114,'Données projet'!$B$114,BY34+BX35-CG34)))</f>
        <v>12.708</v>
      </c>
      <c r="BZ35" s="14">
        <f>BY35*VLOOKUP('Données projet'!$B$12,Paramètres!$A$1:$I$89,3,0)*VLOOKUP('Données projet'!$B$12,Paramètres!$A$1:$I$89,5,0)</f>
        <v>12.6876672</v>
      </c>
      <c r="CA35" s="14">
        <f t="shared" si="39"/>
        <v>4.3501096531414314</v>
      </c>
      <c r="CB35" s="22">
        <f t="shared" si="10"/>
        <v>29.674128019221325</v>
      </c>
      <c r="CC35" s="62">
        <f t="shared" si="11"/>
        <v>323.00746135255463</v>
      </c>
      <c r="CD35" s="62">
        <f ca="1">AVERAGE(OFFSET($CC$3,0,0,'Données projet'!$E$12+1,1))-AVERAGE(OFFSET($H$3,0,0,'Données projet'!$E$12+1,1))</f>
        <v>112.34884104798977</v>
      </c>
      <c r="CE35" s="62">
        <f t="shared" si="40"/>
        <v>18.665658139749326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0.21901901563351961</v>
      </c>
      <c r="CN35" s="24">
        <f t="shared" si="12"/>
        <v>0.21901901563351961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5.266111111111111</v>
      </c>
      <c r="CT35" s="13">
        <f>IF('Données projet'!$A$140&gt;35,CT34+CS35-DB34,IF(A35&lt;'Données projet'!$A$140,$CQ$205^A35,IF(A35='Données projet'!$A$140,'Données projet'!$B$140,CT34+CS35-DB34)))</f>
        <v>83.214444444444439</v>
      </c>
      <c r="CU35" s="18">
        <f>CT35*VLOOKUP('Données projet'!$B$13,Paramètres!$A$1:$I$89,3,0)*VLOOKUP('Données projet'!$B$13,Paramètres!$A$1:$I$89,5,0)</f>
        <v>90.870173333333327</v>
      </c>
      <c r="CV35" s="14">
        <f t="shared" si="41"/>
        <v>24.774972177430094</v>
      </c>
      <c r="CW35" s="22">
        <f t="shared" si="13"/>
        <v>201.41529509791295</v>
      </c>
      <c r="CX35" s="62">
        <f t="shared" si="14"/>
        <v>494.74862843124629</v>
      </c>
      <c r="CY35" s="62">
        <f ca="1">AVERAGE(OFFSET($CX$3,0,0,'Données projet'!$E$13+1,1))-AVERAGE(OFFSET($H$3,0,0,'Données projet'!$E$13+1,1))</f>
        <v>205.21073681197737</v>
      </c>
      <c r="CZ35" s="62">
        <f t="shared" si="42"/>
        <v>175.16446313750316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2.0542116690123553</v>
      </c>
      <c r="DH35" s="23">
        <f>EXP(-LN(2)/2)*DH34+(1-EXP(-LN(2)/2))/(LN(2)/2)*DB35*DE35*VLOOKUP('Données projet'!$B$13,Paramètres!$A$1:$I$89,3,0)*0.475*44/12</f>
        <v>3.4818721188806911</v>
      </c>
      <c r="DI35" s="24">
        <f t="shared" si="15"/>
        <v>5.5360837878930464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10.906666666666668</v>
      </c>
      <c r="DO35" s="13">
        <f>IF('Données projet'!$A$166&gt;35,DO34+DN35-DW34,IF(A35&lt;'Données projet'!$A$166,$DL$205^A35,IF(A35='Données projet'!$A$166,'Données projet'!$B$166,DO34+DN35-DW34)))</f>
        <v>185.38</v>
      </c>
      <c r="DP35" s="18">
        <f>DO35*VLOOKUP('Données projet'!$B$14,Paramètres!$A$1:$I$89,3,0)*VLOOKUP('Données projet'!$B$14,Paramètres!$A$1:$I$89,5,0)</f>
        <v>150.380256</v>
      </c>
      <c r="DQ35" s="14">
        <f t="shared" si="43"/>
        <v>38.6649874238188</v>
      </c>
      <c r="DR35" s="22">
        <f t="shared" si="16"/>
        <v>329.2537989631511</v>
      </c>
      <c r="DS35" s="62">
        <f t="shared" si="17"/>
        <v>622.58713229648447</v>
      </c>
      <c r="DT35" s="62">
        <f ca="1">AVERAGE(OFFSET($DS$3,0,0,'Données projet'!$E$14+1,1))-AVERAGE(OFFSET($H$3,0,0,'Données projet'!$E$14+1,1))</f>
        <v>223.63222290670075</v>
      </c>
      <c r="DU35" s="62">
        <f t="shared" si="44"/>
        <v>290.02663909417248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298.37704434769694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</v>
      </c>
      <c r="N36" s="14">
        <f>IF('Données projet'!$A$36&gt;35,N35+M36-V35,IF(A36&lt;'Données projet'!$A$36,$K$205^A36,IF(A36='Données projet'!$A$36,'Données projet'!$B$36,N35+M36-V35)))</f>
        <v>185.10000000000002</v>
      </c>
      <c r="O36" s="14">
        <f>N36*VLOOKUP('Données projet'!$B$9,Paramètres!$A$1:$I$89,3,0)*VLOOKUP('Données projet'!$B$9,Paramètres!$A$1:$I$89,5,0)</f>
        <v>110.68980000000002</v>
      </c>
      <c r="P36" s="14">
        <f t="shared" si="33"/>
        <v>29.493447655514782</v>
      </c>
      <c r="Q36" s="22">
        <f t="shared" si="53"/>
        <v>244.1524896666883</v>
      </c>
      <c r="R36" s="62">
        <f t="shared" si="0"/>
        <v>537.48582300002158</v>
      </c>
      <c r="S36" s="62">
        <f ca="1">AVERAGE(OFFSET($R$3,0,0,'Données projet'!$E$9+1,1))-AVERAGE(OFFSET($H$3,0,0,'Données projet'!$E$9+1,1))</f>
        <v>192.24617268603629</v>
      </c>
      <c r="T36" s="62">
        <f t="shared" si="34"/>
        <v>192.48585280662832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1.1445665016318827</v>
      </c>
      <c r="AA36" s="23">
        <f>EXP(-LN(2)/25)*AA35+(1-EXP(-LN(2)/25))/(LN(2)/25)*Calculateur!V36*Calculateur!X36*VLOOKUP('Données projet'!$B$9,Paramètres!$A$1:$I$89,3,0)*0.475*44/12</f>
        <v>6.0899987387762327</v>
      </c>
      <c r="AB36" s="23">
        <f>EXP(-LN(2)/2)*AB35+(1-EXP(-LN(2)/2))/(LN(2)/2)*V36*Y36*VLOOKUP('Données projet'!$B$9,Paramètres!$A$1:$I$89,3,0)*0.475*44/12</f>
        <v>1.1817996604607004</v>
      </c>
      <c r="AC36" s="24">
        <f t="shared" si="3"/>
        <v>8.4163649008688157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>
        <f>VLOOKUP(A36,'Données projet'!$A$61:$I$81,2,0)</f>
        <v>204.476</v>
      </c>
      <c r="AG36" s="13">
        <f>VLOOKUP(A36,'Données projet'!$A$61:$I$81,9,0)</f>
        <v>9.7256666666666742</v>
      </c>
      <c r="AH36" s="13">
        <f t="array" ref="AH36">INDEX(AG:AG,MIN(IF(ISNUMBER(AG36:AG232),ROW(AG36:AG232),"")))</f>
        <v>9.7256666666666742</v>
      </c>
      <c r="AI36" s="14">
        <f>IF('Données projet'!$A$62&gt;35,AI35+AH36-AQ35,IF(A36&lt;'Données projet'!$A$62,$AF$205^A36,IF(A36='Données projet'!$A$62,'Données projet'!$B$62,AI35+AH36-AQ35)))</f>
        <v>204.476</v>
      </c>
      <c r="AJ36" s="14">
        <f>AI36*VLOOKUP('Données projet'!$B$10,Paramètres!$A$1:$I$89,3,0)*VLOOKUP('Données projet'!$B$10,Paramètres!$A$1:$I$89,5,0)</f>
        <v>122.27664800000001</v>
      </c>
      <c r="AK36" s="14">
        <f t="shared" si="35"/>
        <v>32.205407845316479</v>
      </c>
      <c r="AL36" s="22">
        <f t="shared" si="4"/>
        <v>269.0562472639262</v>
      </c>
      <c r="AM36" s="62">
        <f t="shared" si="5"/>
        <v>562.38958059725951</v>
      </c>
      <c r="AN36" s="62">
        <f ca="1">AVERAGE(OFFSET($AM$3,0,0,'Données projet'!$E$10+1,1))-AVERAGE(OFFSET($H$3,0,0,'Données projet'!$E$10+1,1))</f>
        <v>164.64952352018145</v>
      </c>
      <c r="AO36" s="62">
        <f t="shared" si="36"/>
        <v>280.08682720086921</v>
      </c>
      <c r="AP36" s="16">
        <f>IF(ISNA(VLOOKUP(A36,'Données projet'!$A$61:$I$81,3,0)),0,VLOOKUP(A36,'Données projet'!$A$61:$I$81,3,0))</f>
        <v>6</v>
      </c>
      <c r="AQ36" s="16">
        <f>IF(ISNA(VLOOKUP(A36,'Données projet'!$A$61:$I$81,4,0)),0,VLOOKUP(A36,'Données projet'!$A$61:$I$81,4,0))</f>
        <v>41.17</v>
      </c>
      <c r="AR36" s="17">
        <f>IF(ISNA(VLOOKUP(A36,'Données projet'!$A$61:$I$81,5,0)),0%,VLOOKUP(A36,'Données projet'!$A$61:$I$81,5,0)*VLOOKUP('Données projet'!$B$10,Paramètres!$A$1:$I$89,7,0))</f>
        <v>0.22500000000000001</v>
      </c>
      <c r="AS36" s="17">
        <f>IF(ISNA(VLOOKUP(A36,'Données projet'!$A$61:$I$81,6,0)),0%,VLOOKUP(A36,'Données projet'!$A$61:$I$81,6,0)*VLOOKUP('Données projet'!$B$10,Paramètres!$A$1:$I$89,7,0))</f>
        <v>9.0000000000000011E-2</v>
      </c>
      <c r="AT36" s="17">
        <f>IF(ISNA(VLOOKUP(A36,'Données projet'!$A$61:$I$81,7,0)),0%,VLOOKUP(A36,'Données projet'!$A$61:$I$81,7,0))</f>
        <v>0.1</v>
      </c>
      <c r="AU36" s="23">
        <f>EXP(-LN(2)/35)*AU35+(1-EXP(-LN(2)/35))/(LN(2)/35)*AQ36*AR36*VLOOKUP('Données projet'!$B$10,Paramètres!$A$1:$I$89,3,0)*0.475*44/12</f>
        <v>14.786584891882956</v>
      </c>
      <c r="AV36" s="23">
        <f>EXP(-LN(2)/25)*AV35+(1-EXP(-LN(2)/25))/(LN(2)/25)*Calculateur!AQ36*Calculateur!AS36*VLOOKUP('Données projet'!$B$10,Paramètres!$A$1:$I$89,3,0)*0.475*44/12</f>
        <v>8.4295235949215872</v>
      </c>
      <c r="AW36" s="23">
        <f>EXP(-LN(2)/2)*AW35+(1-EXP(-LN(2)/2))/(LN(2)/2)*AQ36*AT36*VLOOKUP('Données projet'!$B$10,Paramètres!$A$1:$I$89,3,0)*0.475*44/12</f>
        <v>3.8913331598433087</v>
      </c>
      <c r="AX36" s="23">
        <f t="shared" si="6"/>
        <v>27.107441646647853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6.3</v>
      </c>
      <c r="BD36" s="13">
        <f>IF('Données projet'!$A$88&gt;35,BD35+BC36-BL35,IF(A36&lt;'Données projet'!$A$88,$BA$205^A36,IF(A36='Données projet'!$A$88,'Données projet'!$B$88,BD35+BC36-BL35)))</f>
        <v>36.300000000000004</v>
      </c>
      <c r="BE36" s="14">
        <f>BD36*VLOOKUP('Données projet'!$B$11,Paramètres!$A$1:$I$89,3,0)*VLOOKUP('Données projet'!$B$11,Paramètres!$A$1:$I$89,5,0)</f>
        <v>30.579120000000007</v>
      </c>
      <c r="BF36" s="14">
        <f t="shared" si="37"/>
        <v>9.4639749051255038</v>
      </c>
      <c r="BG36" s="22">
        <f t="shared" si="7"/>
        <v>69.741723626426932</v>
      </c>
      <c r="BH36" s="62">
        <f t="shared" si="8"/>
        <v>363.07505695976022</v>
      </c>
      <c r="BI36" s="62">
        <f ca="1">AVERAGE(OFFSET($BH$3,0,0,'Données projet'!$E$11+1,1))-AVERAGE(OFFSET($H$3,0,0,'Données projet'!$E$11+1,1))</f>
        <v>339.58585574836434</v>
      </c>
      <c r="BJ36" s="62">
        <f t="shared" si="38"/>
        <v>42.267525972379588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0.42152070981936823</v>
      </c>
      <c r="BS36" s="24">
        <f t="shared" si="9"/>
        <v>0.42152070981936823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2.8939999999999997</v>
      </c>
      <c r="BY36" s="13">
        <f>IF('Données projet'!$A$114&gt;35,BY35+BX36-CG35,IF(A36&lt;'Données projet'!$A$114,$BV$205^A36,IF(A36='Données projet'!$A$114,'Données projet'!$B$114,BY35+BX36-CG35)))</f>
        <v>15.602</v>
      </c>
      <c r="BZ36" s="14">
        <f>BY36*VLOOKUP('Données projet'!$B$12,Paramètres!$A$1:$I$89,3,0)*VLOOKUP('Données projet'!$B$12,Paramètres!$A$1:$I$89,5,0)</f>
        <v>15.577036800000002</v>
      </c>
      <c r="CA36" s="14">
        <f t="shared" si="39"/>
        <v>5.214728169774661</v>
      </c>
      <c r="CB36" s="22">
        <f t="shared" si="10"/>
        <v>36.212323989024199</v>
      </c>
      <c r="CC36" s="62">
        <f t="shared" si="11"/>
        <v>329.5456573223575</v>
      </c>
      <c r="CD36" s="62">
        <f ca="1">AVERAGE(OFFSET($CC$3,0,0,'Données projet'!$E$12+1,1))-AVERAGE(OFFSET($H$3,0,0,'Données projet'!$E$12+1,1))</f>
        <v>112.34884104798977</v>
      </c>
      <c r="CE36" s="62">
        <f t="shared" si="40"/>
        <v>18.665658139749326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0.15486983116326419</v>
      </c>
      <c r="CN36" s="24">
        <f t="shared" si="12"/>
        <v>0.15486983116326419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5.266111111111111</v>
      </c>
      <c r="CT36" s="13">
        <f>IF('Données projet'!$A$140&gt;35,CT35+CS36-DB35,IF(A36&lt;'Données projet'!$A$140,$CQ$205^A36,IF(A36='Données projet'!$A$140,'Données projet'!$B$140,CT35+CS36-DB35)))</f>
        <v>88.480555555555554</v>
      </c>
      <c r="CU36" s="18">
        <f>CT36*VLOOKUP('Données projet'!$B$13,Paramètres!$A$1:$I$89,3,0)*VLOOKUP('Données projet'!$B$13,Paramètres!$A$1:$I$89,5,0)</f>
        <v>96.620766666666668</v>
      </c>
      <c r="CV36" s="14">
        <f t="shared" si="41"/>
        <v>26.155338216686548</v>
      </c>
      <c r="CW36" s="22">
        <f t="shared" si="13"/>
        <v>213.83504933850682</v>
      </c>
      <c r="CX36" s="62">
        <f t="shared" si="14"/>
        <v>507.16838267184016</v>
      </c>
      <c r="CY36" s="62">
        <f ca="1">AVERAGE(OFFSET($CX$3,0,0,'Données projet'!$E$13+1,1))-AVERAGE(OFFSET($H$3,0,0,'Données projet'!$E$13+1,1))</f>
        <v>205.21073681197737</v>
      </c>
      <c r="CZ36" s="62">
        <f t="shared" si="42"/>
        <v>175.16446313750316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1.9980391428969158</v>
      </c>
      <c r="DH36" s="23">
        <f>EXP(-LN(2)/2)*DH35+(1-EXP(-LN(2)/2))/(LN(2)/2)*DB36*DE36*VLOOKUP('Données projet'!$B$13,Paramètres!$A$1:$I$89,3,0)*0.475*44/12</f>
        <v>2.4620553864849097</v>
      </c>
      <c r="DI36" s="24">
        <f t="shared" si="15"/>
        <v>4.4600945293818253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10.906666666666668</v>
      </c>
      <c r="DO36" s="13">
        <f>IF('Données projet'!$A$166&gt;35,DO35+DN36-DW35,IF(A36&lt;'Données projet'!$A$166,$DL$205^A36,IF(A36='Données projet'!$A$166,'Données projet'!$B$166,DO35+DN36-DW35)))</f>
        <v>196.28666666666666</v>
      </c>
      <c r="DP36" s="18">
        <f>DO36*VLOOKUP('Données projet'!$B$14,Paramètres!$A$1:$I$89,3,0)*VLOOKUP('Données projet'!$B$14,Paramètres!$A$1:$I$89,5,0)</f>
        <v>159.227744</v>
      </c>
      <c r="DQ36" s="14">
        <f t="shared" si="43"/>
        <v>40.66828189232249</v>
      </c>
      <c r="DR36" s="22">
        <f t="shared" si="16"/>
        <v>348.15224509579497</v>
      </c>
      <c r="DS36" s="62">
        <f t="shared" si="17"/>
        <v>641.48557842912828</v>
      </c>
      <c r="DT36" s="62">
        <f ca="1">AVERAGE(OFFSET($DS$3,0,0,'Données projet'!$E$14+1,1))-AVERAGE(OFFSET($H$3,0,0,'Données projet'!$E$14+1,1))</f>
        <v>223.63222290670075</v>
      </c>
      <c r="DU36" s="62">
        <f t="shared" si="44"/>
        <v>290.02663909417248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299.60407953815456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198.1</v>
      </c>
      <c r="L37" s="13">
        <f>VLOOKUP(A37,'Données projet'!$A$35:$I$55,9,0)</f>
        <v>13</v>
      </c>
      <c r="M37" s="13">
        <f t="array" ref="M37">INDEX(L:L,MIN(IF(ISNUMBER(L37:L233),ROW(L37:L233),"")))</f>
        <v>13</v>
      </c>
      <c r="N37" s="14">
        <f>IF('Données projet'!$A$36&gt;35,N36+M37-V36,IF(A37&lt;'Données projet'!$A$36,$K$205^A37,IF(A37='Données projet'!$A$36,'Données projet'!$B$36,N36+M37-V36)))</f>
        <v>198.10000000000002</v>
      </c>
      <c r="O37" s="14">
        <f>N37*VLOOKUP('Données projet'!$B$9,Paramètres!$A$1:$I$89,3,0)*VLOOKUP('Données projet'!$B$9,Paramètres!$A$1:$I$89,5,0)</f>
        <v>118.46380000000003</v>
      </c>
      <c r="P37" s="14">
        <f t="shared" si="33"/>
        <v>31.316437641959446</v>
      </c>
      <c r="Q37" s="22">
        <f t="shared" si="53"/>
        <v>260.86724722641276</v>
      </c>
      <c r="R37" s="62">
        <f t="shared" si="0"/>
        <v>554.20058055974607</v>
      </c>
      <c r="S37" s="62">
        <f ca="1">AVERAGE(OFFSET($R$3,0,0,'Données projet'!$E$9+1,1))-AVERAGE(OFFSET($H$3,0,0,'Données projet'!$E$9+1,1))</f>
        <v>192.24617268603629</v>
      </c>
      <c r="T37" s="62">
        <f t="shared" si="34"/>
        <v>192.48585280662832</v>
      </c>
      <c r="U37" s="16">
        <f>IF(ISNA(VLOOKUP(A37,'Données projet'!$A$35:$I$55,3,0)),0,VLOOKUP(A37,'Données projet'!$A$35:$I$55,3,0))</f>
        <v>6</v>
      </c>
      <c r="V37" s="16">
        <f>IF(ISNA(VLOOKUP(A37,'Données projet'!$A$35:$I$55,4,0)),0,VLOOKUP(A37,'Données projet'!$A$35:$I$55,4,0))</f>
        <v>46.2</v>
      </c>
      <c r="W37" s="17">
        <f>IF(ISNA(VLOOKUP(A37,'Données projet'!$A$35:$I$55,5,0)),0%,VLOOKUP(A37,'Données projet'!$A$35:$I$55,5,0)*VLOOKUP('Données projet'!$B$9,Paramètres!$A$1:$I$89,7,0))</f>
        <v>0.22500000000000001</v>
      </c>
      <c r="X37" s="17">
        <f>IF(ISNA(VLOOKUP(A37,'Données projet'!$A$35:$I$55,6,0)),0%,VLOOKUP(A37,'Données projet'!$A$35:$I$55,6,0)*VLOOKUP('Données projet'!$B$9,Paramètres!$A$1:$I$89,7,0))</f>
        <v>9.0000000000000011E-2</v>
      </c>
      <c r="Y37" s="17">
        <f>IF(ISNA(VLOOKUP(A37,'Données projet'!$A$35:$I$55,7,0)),0%,VLOOKUP(A37,'Données projet'!$A$35:$I$55,7,0))</f>
        <v>0.1</v>
      </c>
      <c r="Z37" s="23">
        <f>EXP(-LN(2)/35)*Z36+(1-EXP(-LN(2)/35))/(LN(2)/35)*V37*W37*VLOOKUP('Données projet'!$B$9,Paramètres!$A$1:$I$89,3,0)*0.475*44/12</f>
        <v>9.3683254841993406</v>
      </c>
      <c r="AA37" s="23">
        <f>EXP(-LN(2)/25)*AA36+(1-EXP(-LN(2)/25))/(LN(2)/25)*Calculateur!V37*Calculateur!X37*VLOOKUP('Données projet'!$B$9,Paramètres!$A$1:$I$89,3,0)*0.475*44/12</f>
        <v>9.2089613187523156</v>
      </c>
      <c r="AB37" s="23">
        <f>EXP(-LN(2)/2)*AB36+(1-EXP(-LN(2)/2))/(LN(2)/2)*V37*Y37*VLOOKUP('Données projet'!$B$9,Paramètres!$A$1:$I$89,3,0)*0.475*44/12</f>
        <v>3.9637446562299403</v>
      </c>
      <c r="AC37" s="24">
        <f t="shared" si="3"/>
        <v>22.541031459181596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11.69657142857143</v>
      </c>
      <c r="AI37" s="14">
        <f>IF('Données projet'!$A$62&gt;35,AI36+AH37-AQ36,IF(A37&lt;'Données projet'!$A$62,$AF$205^A37,IF(A37='Données projet'!$A$62,'Données projet'!$B$62,AI36+AH37-AQ36)))</f>
        <v>175.0025714285714</v>
      </c>
      <c r="AJ37" s="14">
        <f>AI37*VLOOKUP('Données projet'!$B$10,Paramètres!$A$1:$I$89,3,0)*VLOOKUP('Données projet'!$B$10,Paramètres!$A$1:$I$89,5,0)</f>
        <v>104.65153771428571</v>
      </c>
      <c r="AK37" s="14">
        <f t="shared" si="35"/>
        <v>28.067212935638516</v>
      </c>
      <c r="AL37" s="22">
        <f t="shared" si="4"/>
        <v>231.15182404861801</v>
      </c>
      <c r="AM37" s="62">
        <f t="shared" si="5"/>
        <v>524.48515738195135</v>
      </c>
      <c r="AN37" s="62">
        <f ca="1">AVERAGE(OFFSET($AM$3,0,0,'Données projet'!$E$10+1,1))-AVERAGE(OFFSET($H$3,0,0,'Données projet'!$E$10+1,1))</f>
        <v>164.64952352018145</v>
      </c>
      <c r="AO37" s="62">
        <f t="shared" si="36"/>
        <v>280.08682720086921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14.49662898107937</v>
      </c>
      <c r="AV37" s="23">
        <f>EXP(-LN(2)/25)*AV36+(1-EXP(-LN(2)/25))/(LN(2)/25)*Calculateur!AQ37*Calculateur!AS37*VLOOKUP('Données projet'!$B$10,Paramètres!$A$1:$I$89,3,0)*0.475*44/12</f>
        <v>8.199017828929076</v>
      </c>
      <c r="AW37" s="23">
        <f>EXP(-LN(2)/2)*AW36+(1-EXP(-LN(2)/2))/(LN(2)/2)*AQ37*AT37*VLOOKUP('Données projet'!$B$10,Paramètres!$A$1:$I$89,3,0)*0.475*44/12</f>
        <v>2.7515880651812794</v>
      </c>
      <c r="AX37" s="23">
        <f t="shared" si="6"/>
        <v>25.447234875189729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6.3</v>
      </c>
      <c r="BD37" s="13">
        <f>IF('Données projet'!$A$88&gt;35,BD36+BC37-BL36,IF(A37&lt;'Données projet'!$A$88,$BA$205^A37,IF(A37='Données projet'!$A$88,'Données projet'!$B$88,BD36+BC37-BL36)))</f>
        <v>42.6</v>
      </c>
      <c r="BE37" s="14">
        <f>BD37*VLOOKUP('Données projet'!$B$11,Paramètres!$A$1:$I$89,3,0)*VLOOKUP('Données projet'!$B$11,Paramètres!$A$1:$I$89,5,0)</f>
        <v>35.886240000000001</v>
      </c>
      <c r="BF37" s="14">
        <f t="shared" si="37"/>
        <v>10.901503735070825</v>
      </c>
      <c r="BG37" s="22">
        <f t="shared" si="7"/>
        <v>81.488653671915031</v>
      </c>
      <c r="BH37" s="62">
        <f t="shared" si="8"/>
        <v>374.82198700524833</v>
      </c>
      <c r="BI37" s="62">
        <f ca="1">AVERAGE(OFFSET($BH$3,0,0,'Données projet'!$E$11+1,1))-AVERAGE(OFFSET($H$3,0,0,'Données projet'!$E$11+1,1))</f>
        <v>339.58585574836434</v>
      </c>
      <c r="BJ37" s="62">
        <f t="shared" si="38"/>
        <v>42.267525972379588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0.29806015232384225</v>
      </c>
      <c r="BS37" s="24">
        <f t="shared" si="9"/>
        <v>0.29806015232384225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2.8939999999999997</v>
      </c>
      <c r="BY37" s="13">
        <f>IF('Données projet'!$A$114&gt;35,BY36+BX37-CG36,IF(A37&lt;'Données projet'!$A$114,$BV$205^A37,IF(A37='Données projet'!$A$114,'Données projet'!$B$114,BY36+BX37-CG36)))</f>
        <v>18.495999999999999</v>
      </c>
      <c r="BZ37" s="14">
        <f>BY37*VLOOKUP('Données projet'!$B$12,Paramètres!$A$1:$I$89,3,0)*VLOOKUP('Données projet'!$B$12,Paramètres!$A$1:$I$89,5,0)</f>
        <v>18.4664064</v>
      </c>
      <c r="CA37" s="14">
        <f t="shared" si="39"/>
        <v>6.0607663794944528</v>
      </c>
      <c r="CB37" s="22">
        <f t="shared" si="10"/>
        <v>42.718159257619504</v>
      </c>
      <c r="CC37" s="62">
        <f t="shared" si="11"/>
        <v>336.05149259095282</v>
      </c>
      <c r="CD37" s="62">
        <f ca="1">AVERAGE(OFFSET($CC$3,0,0,'Données projet'!$E$12+1,1))-AVERAGE(OFFSET($H$3,0,0,'Données projet'!$E$12+1,1))</f>
        <v>112.34884104798977</v>
      </c>
      <c r="CE37" s="62">
        <f t="shared" si="40"/>
        <v>18.665658139749326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0.10950950781675982</v>
      </c>
      <c r="CN37" s="24">
        <f t="shared" si="12"/>
        <v>0.10950950781675982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5.266111111111111</v>
      </c>
      <c r="CT37" s="13">
        <f>IF('Données projet'!$A$140&gt;35,CT36+CS37-DB36,IF(A37&lt;'Données projet'!$A$140,$CQ$205^A37,IF(A37='Données projet'!$A$140,'Données projet'!$B$140,CT36+CS37-DB36)))</f>
        <v>93.74666666666667</v>
      </c>
      <c r="CU37" s="18">
        <f>CT37*VLOOKUP('Données projet'!$B$13,Paramètres!$A$1:$I$89,3,0)*VLOOKUP('Données projet'!$B$13,Paramètres!$A$1:$I$89,5,0)</f>
        <v>102.37136</v>
      </c>
      <c r="CV37" s="14">
        <f t="shared" si="41"/>
        <v>27.526168466778632</v>
      </c>
      <c r="CW37" s="22">
        <f t="shared" si="13"/>
        <v>226.23819541297277</v>
      </c>
      <c r="CX37" s="62">
        <f t="shared" si="14"/>
        <v>519.57152874630606</v>
      </c>
      <c r="CY37" s="62">
        <f ca="1">AVERAGE(OFFSET($CX$3,0,0,'Données projet'!$E$13+1,1))-AVERAGE(OFFSET($H$3,0,0,'Données projet'!$E$13+1,1))</f>
        <v>205.21073681197737</v>
      </c>
      <c r="CZ37" s="62">
        <f t="shared" si="42"/>
        <v>175.16446313750316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1.9434026574620877</v>
      </c>
      <c r="DH37" s="23">
        <f>EXP(-LN(2)/2)*DH36+(1-EXP(-LN(2)/2))/(LN(2)/2)*DB37*DE37*VLOOKUP('Données projet'!$B$13,Paramètres!$A$1:$I$89,3,0)*0.475*44/12</f>
        <v>1.7409360594403458</v>
      </c>
      <c r="DI37" s="24">
        <f t="shared" si="15"/>
        <v>3.6843387169024338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10.906666666666668</v>
      </c>
      <c r="DO37" s="13">
        <f>IF('Données projet'!$A$166&gt;35,DO36+DN37-DW36,IF(A37&lt;'Données projet'!$A$166,$DL$205^A37,IF(A37='Données projet'!$A$166,'Données projet'!$B$166,DO36+DN37-DW36)))</f>
        <v>207.19333333333333</v>
      </c>
      <c r="DP37" s="18">
        <f>DO37*VLOOKUP('Données projet'!$B$14,Paramètres!$A$1:$I$89,3,0)*VLOOKUP('Données projet'!$B$14,Paramètres!$A$1:$I$89,5,0)</f>
        <v>168.075232</v>
      </c>
      <c r="DQ37" s="14">
        <f t="shared" si="43"/>
        <v>42.658654315089152</v>
      </c>
      <c r="DR37" s="22">
        <f t="shared" si="16"/>
        <v>367.02818533211354</v>
      </c>
      <c r="DS37" s="62">
        <f t="shared" si="17"/>
        <v>660.36151866544685</v>
      </c>
      <c r="DT37" s="62">
        <f ca="1">AVERAGE(OFFSET($DS$3,0,0,'Données projet'!$E$14+1,1))-AVERAGE(OFFSET($H$3,0,0,'Données projet'!$E$14+1,1))</f>
        <v>223.63222290670075</v>
      </c>
      <c r="DU37" s="62">
        <f t="shared" si="44"/>
        <v>290.02663909417248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300.83017101517061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13.700000000000003</v>
      </c>
      <c r="N38" s="14">
        <f>IF('Données projet'!$A$36&gt;35,N37+M38-V37,IF(A38&lt;'Données projet'!$A$36,$K$205^A38,IF(A38='Données projet'!$A$36,'Données projet'!$B$36,N37+M38-V37)))</f>
        <v>165.60000000000002</v>
      </c>
      <c r="O38" s="14">
        <f>N38*VLOOKUP('Données projet'!$B$9,Paramètres!$A$1:$I$89,3,0)*VLOOKUP('Données projet'!$B$9,Paramètres!$A$1:$I$89,5,0)</f>
        <v>99.028800000000018</v>
      </c>
      <c r="P38" s="14">
        <f t="shared" si="33"/>
        <v>26.730491283721712</v>
      </c>
      <c r="Q38" s="22">
        <f t="shared" si="53"/>
        <v>219.03076565248196</v>
      </c>
      <c r="R38" s="62">
        <f t="shared" si="0"/>
        <v>512.3640989858153</v>
      </c>
      <c r="S38" s="62">
        <f ca="1">AVERAGE(OFFSET($R$3,0,0,'Données projet'!$E$9+1,1))-AVERAGE(OFFSET($H$3,0,0,'Données projet'!$E$9+1,1))</f>
        <v>192.24617268603629</v>
      </c>
      <c r="T38" s="62">
        <f t="shared" si="34"/>
        <v>192.48585280662832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9.1846183355685156</v>
      </c>
      <c r="AA38" s="23">
        <f>EXP(-LN(2)/25)*AA37+(1-EXP(-LN(2)/25))/(LN(2)/25)*Calculateur!V38*Calculateur!X38*VLOOKUP('Données projet'!$B$9,Paramètres!$A$1:$I$89,3,0)*0.475*44/12</f>
        <v>8.9571417872128052</v>
      </c>
      <c r="AB38" s="23">
        <f>EXP(-LN(2)/2)*AB37+(1-EXP(-LN(2)/2))/(LN(2)/2)*V38*Y38*VLOOKUP('Données projet'!$B$9,Paramètres!$A$1:$I$89,3,0)*0.475*44/12</f>
        <v>2.8027907253121316</v>
      </c>
      <c r="AC38" s="24">
        <f t="shared" si="3"/>
        <v>20.944550848093453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11.69657142857143</v>
      </c>
      <c r="AI38" s="14">
        <f>IF('Données projet'!$A$62&gt;35,AI37+AH38-AQ37,IF(A38&lt;'Données projet'!$A$62,$AF$205^A38,IF(A38='Données projet'!$A$62,'Données projet'!$B$62,AI37+AH38-AQ37)))</f>
        <v>186.69914285714282</v>
      </c>
      <c r="AJ38" s="14">
        <f>AI38*VLOOKUP('Données projet'!$B$10,Paramètres!$A$1:$I$89,3,0)*VLOOKUP('Données projet'!$B$10,Paramètres!$A$1:$I$89,5,0)</f>
        <v>111.64608742857141</v>
      </c>
      <c r="AK38" s="14">
        <f t="shared" si="35"/>
        <v>29.718479702320185</v>
      </c>
      <c r="AL38" s="22">
        <f t="shared" si="4"/>
        <v>246.2099544196362</v>
      </c>
      <c r="AM38" s="62">
        <f t="shared" si="5"/>
        <v>539.54328775296949</v>
      </c>
      <c r="AN38" s="62">
        <f ca="1">AVERAGE(OFFSET($AM$3,0,0,'Données projet'!$E$10+1,1))-AVERAGE(OFFSET($H$3,0,0,'Données projet'!$E$10+1,1))</f>
        <v>164.64952352018145</v>
      </c>
      <c r="AO38" s="62">
        <f t="shared" si="36"/>
        <v>280.08682720086921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14.212358928831</v>
      </c>
      <c r="AV38" s="23">
        <f>EXP(-LN(2)/25)*AV37+(1-EXP(-LN(2)/25))/(LN(2)/25)*Calculateur!AQ38*Calculateur!AS38*VLOOKUP('Données projet'!$B$10,Paramètres!$A$1:$I$89,3,0)*0.475*44/12</f>
        <v>7.9748152552294016</v>
      </c>
      <c r="AW38" s="23">
        <f>EXP(-LN(2)/2)*AW37+(1-EXP(-LN(2)/2))/(LN(2)/2)*AQ38*AT38*VLOOKUP('Données projet'!$B$10,Paramètres!$A$1:$I$89,3,0)*0.475*44/12</f>
        <v>1.9456665799216548</v>
      </c>
      <c r="AX38" s="23">
        <f t="shared" si="6"/>
        <v>24.13284076398206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6.3</v>
      </c>
      <c r="BD38" s="13">
        <f>IF('Données projet'!$A$88&gt;35,BD37+BC38-BL37,IF(A38&lt;'Données projet'!$A$88,$BA$205^A38,IF(A38='Données projet'!$A$88,'Données projet'!$B$88,BD37+BC38-BL37)))</f>
        <v>48.9</v>
      </c>
      <c r="BE38" s="14">
        <f>BD38*VLOOKUP('Données projet'!$B$11,Paramètres!$A$1:$I$89,3,0)*VLOOKUP('Données projet'!$B$11,Paramètres!$A$1:$I$89,5,0)</f>
        <v>41.193360000000006</v>
      </c>
      <c r="BF38" s="14">
        <f t="shared" si="37"/>
        <v>12.314403904754746</v>
      </c>
      <c r="BG38" s="22">
        <f t="shared" si="7"/>
        <v>93.192688800781198</v>
      </c>
      <c r="BH38" s="62">
        <f t="shared" si="8"/>
        <v>386.5260221341145</v>
      </c>
      <c r="BI38" s="62">
        <f ca="1">AVERAGE(OFFSET($BH$3,0,0,'Données projet'!$E$11+1,1))-AVERAGE(OFFSET($H$3,0,0,'Données projet'!$E$11+1,1))</f>
        <v>339.58585574836434</v>
      </c>
      <c r="BJ38" s="62">
        <f t="shared" si="38"/>
        <v>42.267525972379588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0.21076035490968417</v>
      </c>
      <c r="BS38" s="24">
        <f t="shared" si="9"/>
        <v>0.21076035490968417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21.39</v>
      </c>
      <c r="BW38" s="13">
        <f>VLOOKUP(A38,'Données projet'!$A$113:$I$133,9,0)</f>
        <v>2.8939999999999997</v>
      </c>
      <c r="BX38" s="13">
        <f t="array" ref="BX38">INDEX(BW:BW,MIN(IF(ISNUMBER(BW38:BW234),ROW(BW38:BW234),"")))</f>
        <v>2.8939999999999997</v>
      </c>
      <c r="BY38" s="13">
        <f>IF('Données projet'!$A$114&gt;35,BY37+BX38-CG37,IF(A38&lt;'Données projet'!$A$114,$BV$205^A38,IF(A38='Données projet'!$A$114,'Données projet'!$B$114,BY37+BX38-CG37)))</f>
        <v>21.389999999999997</v>
      </c>
      <c r="BZ38" s="14">
        <f>BY38*VLOOKUP('Données projet'!$B$12,Paramètres!$A$1:$I$89,3,0)*VLOOKUP('Données projet'!$B$12,Paramètres!$A$1:$I$89,5,0)</f>
        <v>21.355775999999999</v>
      </c>
      <c r="CA38" s="14">
        <f t="shared" si="39"/>
        <v>6.8914694337700233</v>
      </c>
      <c r="CB38" s="22">
        <f t="shared" si="10"/>
        <v>49.197285797149455</v>
      </c>
      <c r="CC38" s="62">
        <f t="shared" si="11"/>
        <v>342.53061913048276</v>
      </c>
      <c r="CD38" s="62">
        <f ca="1">AVERAGE(OFFSET($CC$3,0,0,'Données projet'!$E$12+1,1))-AVERAGE(OFFSET($H$3,0,0,'Données projet'!$E$12+1,1))</f>
        <v>112.34884104798977</v>
      </c>
      <c r="CE38" s="62">
        <f t="shared" si="40"/>
        <v>18.665658139749326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3.82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0.3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1.1569867087687864</v>
      </c>
      <c r="CN38" s="24">
        <f t="shared" si="12"/>
        <v>1.1569867087687864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5.266111111111111</v>
      </c>
      <c r="CT38" s="13">
        <f>IF('Données projet'!$A$140&gt;35,CT37+CS38-DB37,IF(A38&lt;'Données projet'!$A$140,$CQ$205^A38,IF(A38='Données projet'!$A$140,'Données projet'!$B$140,CT37+CS38-DB37)))</f>
        <v>99.012777777777785</v>
      </c>
      <c r="CU38" s="18">
        <f>CT38*VLOOKUP('Données projet'!$B$13,Paramètres!$A$1:$I$89,3,0)*VLOOKUP('Données projet'!$B$13,Paramètres!$A$1:$I$89,5,0)</f>
        <v>108.12195333333335</v>
      </c>
      <c r="CV38" s="14">
        <f t="shared" si="41"/>
        <v>28.888059634724979</v>
      </c>
      <c r="CW38" s="22">
        <f t="shared" si="13"/>
        <v>238.62577258603494</v>
      </c>
      <c r="CX38" s="62">
        <f t="shared" si="14"/>
        <v>531.95910591936831</v>
      </c>
      <c r="CY38" s="62">
        <f ca="1">AVERAGE(OFFSET($CX$3,0,0,'Données projet'!$E$13+1,1))-AVERAGE(OFFSET($H$3,0,0,'Données projet'!$E$13+1,1))</f>
        <v>205.21073681197737</v>
      </c>
      <c r="CZ38" s="62">
        <f t="shared" si="42"/>
        <v>175.16446313750316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1.890260209594683</v>
      </c>
      <c r="DH38" s="23">
        <f>EXP(-LN(2)/2)*DH37+(1-EXP(-LN(2)/2))/(LN(2)/2)*DB38*DE38*VLOOKUP('Données projet'!$B$13,Paramètres!$A$1:$I$89,3,0)*0.475*44/12</f>
        <v>1.2310276932424549</v>
      </c>
      <c r="DI38" s="24">
        <f t="shared" si="15"/>
        <v>3.1212879028371381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218.1</v>
      </c>
      <c r="DM38" s="13">
        <f>VLOOKUP(A38,'Données projet'!$A$165:$I$185,9,0)</f>
        <v>10.906666666666668</v>
      </c>
      <c r="DN38" s="13">
        <f t="array" ref="DN38">INDEX(DM:DM,MIN(IF(ISNUMBER(DM38:DM234),ROW(DM38:DM234),"")))</f>
        <v>10.906666666666668</v>
      </c>
      <c r="DO38" s="13">
        <f>IF('Données projet'!$A$166&gt;35,DO37+DN38-DW37,IF(A38&lt;'Données projet'!$A$166,$DL$205^A38,IF(A38='Données projet'!$A$166,'Données projet'!$B$166,DO37+DN38-DW37)))</f>
        <v>218.1</v>
      </c>
      <c r="DP38" s="18">
        <f>DO38*VLOOKUP('Données projet'!$B$14,Paramètres!$A$1:$I$89,3,0)*VLOOKUP('Données projet'!$B$14,Paramètres!$A$1:$I$89,5,0)</f>
        <v>176.92272000000003</v>
      </c>
      <c r="DQ38" s="14">
        <f t="shared" si="43"/>
        <v>44.636862482481334</v>
      </c>
      <c r="DR38" s="22">
        <f t="shared" si="16"/>
        <v>385.88293949032163</v>
      </c>
      <c r="DS38" s="62">
        <f t="shared" si="17"/>
        <v>679.21627282365489</v>
      </c>
      <c r="DT38" s="62">
        <f ca="1">AVERAGE(OFFSET($DS$3,0,0,'Données projet'!$E$14+1,1))-AVERAGE(OFFSET($H$3,0,0,'Données projet'!$E$14+1,1))</f>
        <v>223.63222290670075</v>
      </c>
      <c r="DU38" s="62">
        <f t="shared" si="44"/>
        <v>290.02663909417248</v>
      </c>
      <c r="DV38" s="16">
        <f>IF(ISNA(VLOOKUP(A38,'Données projet'!$A$165:$I$185,3,0)),0,VLOOKUP(A38,'Données projet'!$A$165:$I$185,3,0))</f>
        <v>2</v>
      </c>
      <c r="DW38" s="16">
        <f>IF(ISNA(VLOOKUP(A38,'Données projet'!$A$165:$I$185,4,0)),0,VLOOKUP(A38,'Données projet'!$A$165:$I$185,4,0))</f>
        <v>114.1</v>
      </c>
      <c r="DX38" s="17">
        <f>IF(ISNA(VLOOKUP(A38,'Données projet'!$A$165:$I$185,5,0)),0%,VLOOKUP(A38,'Données projet'!$A$165:$I$185,5,0)*VLOOKUP('Données projet'!$B$14,Paramètres!$A$1:$I$89,7,0))</f>
        <v>6.4500000000000002E-2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0.85</v>
      </c>
      <c r="EA38" s="23">
        <f>EXP(-LN(2)/35)*EA37+(1-EXP(-LN(2)/35))/(LN(2)/35)*DW38*DX38*VLOOKUP('Données projet'!$B$14,Paramètres!$A$1:$I$89,3,0)*0.475*44/12</f>
        <v>6.5996425123511377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74.231255377908511</v>
      </c>
      <c r="ED38" s="24">
        <f t="shared" si="18"/>
        <v>80.830897890259649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302.05534883879602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13.700000000000003</v>
      </c>
      <c r="N39" s="14">
        <f>IF('Données projet'!$A$36&gt;35,N38+M39-V38,IF(A39&lt;'Données projet'!$A$36,$K$205^A39,IF(A39='Données projet'!$A$36,'Données projet'!$B$36,N38+M39-V38)))</f>
        <v>179.3</v>
      </c>
      <c r="O39" s="14">
        <f>N39*VLOOKUP('Données projet'!$B$9,Paramètres!$A$1:$I$89,3,0)*VLOOKUP('Données projet'!$B$9,Paramètres!$A$1:$I$89,5,0)</f>
        <v>107.22140000000002</v>
      </c>
      <c r="P39" s="14">
        <f t="shared" si="33"/>
        <v>28.67535313407349</v>
      </c>
      <c r="Q39" s="22">
        <f t="shared" si="53"/>
        <v>236.68684504184463</v>
      </c>
      <c r="R39" s="62">
        <f t="shared" si="0"/>
        <v>530.02017837517792</v>
      </c>
      <c r="S39" s="62">
        <f ca="1">AVERAGE(OFFSET($R$3,0,0,'Données projet'!$E$9+1,1))-AVERAGE(OFFSET($H$3,0,0,'Données projet'!$E$9+1,1))</f>
        <v>192.24617268603629</v>
      </c>
      <c r="T39" s="62">
        <f t="shared" si="34"/>
        <v>192.48585280662832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9.0045135720720442</v>
      </c>
      <c r="AA39" s="23">
        <f>EXP(-LN(2)/25)*AA38+(1-EXP(-LN(2)/25))/(LN(2)/25)*Calculateur!V39*Calculateur!X39*VLOOKUP('Données projet'!$B$9,Paramètres!$A$1:$I$89,3,0)*0.475*44/12</f>
        <v>8.7122082740058566</v>
      </c>
      <c r="AB39" s="23">
        <f>EXP(-LN(2)/2)*AB38+(1-EXP(-LN(2)/2))/(LN(2)/2)*V39*Y39*VLOOKUP('Données projet'!$B$9,Paramètres!$A$1:$I$89,3,0)*0.475*44/12</f>
        <v>1.9818723281149704</v>
      </c>
      <c r="AC39" s="24">
        <f t="shared" si="3"/>
        <v>19.698594174192873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11.69657142857143</v>
      </c>
      <c r="AI39" s="14">
        <f>IF('Données projet'!$A$62&gt;35,AI38+AH39-AQ38,IF(A39&lt;'Données projet'!$A$62,$AF$205^A39,IF(A39='Données projet'!$A$62,'Données projet'!$B$62,AI38+AH39-AQ38)))</f>
        <v>198.39571428571423</v>
      </c>
      <c r="AJ39" s="14">
        <f>AI39*VLOOKUP('Données projet'!$B$10,Paramètres!$A$1:$I$89,3,0)*VLOOKUP('Données projet'!$B$10,Paramètres!$A$1:$I$89,5,0)</f>
        <v>118.64063714285713</v>
      </c>
      <c r="AK39" s="14">
        <f t="shared" si="35"/>
        <v>31.357740316895292</v>
      </c>
      <c r="AL39" s="22">
        <f t="shared" si="4"/>
        <v>261.24717407573547</v>
      </c>
      <c r="AM39" s="62">
        <f t="shared" si="5"/>
        <v>554.58050740906879</v>
      </c>
      <c r="AN39" s="62">
        <f ca="1">AVERAGE(OFFSET($AM$3,0,0,'Données projet'!$E$10+1,1))-AVERAGE(OFFSET($H$3,0,0,'Données projet'!$E$10+1,1))</f>
        <v>164.64952352018145</v>
      </c>
      <c r="AO39" s="62">
        <f t="shared" si="36"/>
        <v>280.08682720086921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13.933663238919609</v>
      </c>
      <c r="AV39" s="23">
        <f>EXP(-LN(2)/25)*AV38+(1-EXP(-LN(2)/25))/(LN(2)/25)*Calculateur!AQ39*Calculateur!AS39*VLOOKUP('Données projet'!$B$10,Paramètres!$A$1:$I$89,3,0)*0.475*44/12</f>
        <v>7.7567435126978461</v>
      </c>
      <c r="AW39" s="23">
        <f>EXP(-LN(2)/2)*AW38+(1-EXP(-LN(2)/2))/(LN(2)/2)*AQ39*AT39*VLOOKUP('Données projet'!$B$10,Paramètres!$A$1:$I$89,3,0)*0.475*44/12</f>
        <v>1.3757940325906399</v>
      </c>
      <c r="AX39" s="23">
        <f t="shared" si="6"/>
        <v>23.066200784208096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55.199999999999996</v>
      </c>
      <c r="BB39" s="13">
        <f>VLOOKUP(A39,'Données projet'!$A$87:$I$107,9,0)</f>
        <v>6.3</v>
      </c>
      <c r="BC39" s="13">
        <f t="array" ref="BC39">INDEX(BB:BB,MIN(IF(ISNUMBER(BB39:BB235),ROW(BB39:BB235),"")))</f>
        <v>6.3</v>
      </c>
      <c r="BD39" s="13">
        <f>IF('Données projet'!$A$88&gt;35,BD38+BC39-BL38,IF(A39&lt;'Données projet'!$A$88,$BA$205^A39,IF(A39='Données projet'!$A$88,'Données projet'!$B$88,BD38+BC39-BL38)))</f>
        <v>55.199999999999996</v>
      </c>
      <c r="BE39" s="14">
        <f>BD39*VLOOKUP('Données projet'!$B$11,Paramètres!$A$1:$I$89,3,0)*VLOOKUP('Données projet'!$B$11,Paramètres!$A$1:$I$89,5,0)</f>
        <v>46.500480000000003</v>
      </c>
      <c r="BF39" s="14">
        <f t="shared" si="37"/>
        <v>13.706212324429247</v>
      </c>
      <c r="BG39" s="22">
        <f t="shared" si="7"/>
        <v>104.85998913171427</v>
      </c>
      <c r="BH39" s="62">
        <f t="shared" si="8"/>
        <v>398.19332246504757</v>
      </c>
      <c r="BI39" s="62">
        <f ca="1">AVERAGE(OFFSET($BH$3,0,0,'Données projet'!$E$11+1,1))-AVERAGE(OFFSET($H$3,0,0,'Données projet'!$E$11+1,1))</f>
        <v>339.58585574836434</v>
      </c>
      <c r="BJ39" s="62">
        <f t="shared" si="38"/>
        <v>42.267525972379588</v>
      </c>
      <c r="BK39" s="16">
        <f>IF(ISNA(VLOOKUP(A39,'Données projet'!$A$87:$I$107,3,0)),0,VLOOKUP(A39,'Données projet'!$A$87:$I$107,3,0))</f>
        <v>2</v>
      </c>
      <c r="BL39" s="16">
        <f>IF(ISNA(VLOOKUP(A39,'Données projet'!$A$87:$I$107,4,0)),0,VLOOKUP(A39,'Données projet'!$A$87:$I$107,4,0))</f>
        <v>12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0.3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3.0104075384708051</v>
      </c>
      <c r="BS39" s="24">
        <f t="shared" si="9"/>
        <v>3.0104075384708051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2.3959999999999999</v>
      </c>
      <c r="BY39" s="13">
        <f>IF('Données projet'!$A$114&gt;35,BY38+BX39-CG38,IF(A39&lt;'Données projet'!$A$114,$BV$205^A39,IF(A39='Données projet'!$A$114,'Données projet'!$B$114,BY38+BX39-CG38)))</f>
        <v>19.965999999999998</v>
      </c>
      <c r="BZ39" s="14">
        <f>BY39*VLOOKUP('Données projet'!$B$12,Paramètres!$A$1:$I$89,3,0)*VLOOKUP('Données projet'!$B$12,Paramètres!$A$1:$I$89,5,0)</f>
        <v>19.934054399999997</v>
      </c>
      <c r="CA39" s="14">
        <f t="shared" si="39"/>
        <v>6.4844742737822756</v>
      </c>
      <c r="CB39" s="22">
        <f t="shared" si="10"/>
        <v>46.012270773504127</v>
      </c>
      <c r="CC39" s="62">
        <f t="shared" si="11"/>
        <v>339.34560410683741</v>
      </c>
      <c r="CD39" s="62">
        <f ca="1">AVERAGE(OFFSET($CC$3,0,0,'Données projet'!$E$12+1,1))-AVERAGE(OFFSET($H$3,0,0,'Données projet'!$E$12+1,1))</f>
        <v>112.34884104798977</v>
      </c>
      <c r="CE39" s="62">
        <f t="shared" si="40"/>
        <v>18.665658139749326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0.81811314751311404</v>
      </c>
      <c r="CN39" s="24">
        <f t="shared" si="12"/>
        <v>0.81811314751311404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5.266111111111111</v>
      </c>
      <c r="CT39" s="13">
        <f>IF('Données projet'!$A$140&gt;35,CT38+CS39-DB38,IF(A39&lt;'Données projet'!$A$140,$CQ$205^A39,IF(A39='Données projet'!$A$140,'Données projet'!$B$140,CT38+CS39-DB38)))</f>
        <v>104.2788888888889</v>
      </c>
      <c r="CU39" s="18">
        <f>CT39*VLOOKUP('Données projet'!$B$13,Paramètres!$A$1:$I$89,3,0)*VLOOKUP('Données projet'!$B$13,Paramètres!$A$1:$I$89,5,0)</f>
        <v>113.87254666666668</v>
      </c>
      <c r="CV39" s="14">
        <f t="shared" si="41"/>
        <v>30.241541369529749</v>
      </c>
      <c r="CW39" s="22">
        <f t="shared" si="13"/>
        <v>250.99870332970875</v>
      </c>
      <c r="CX39" s="62">
        <f t="shared" si="14"/>
        <v>544.33203666304212</v>
      </c>
      <c r="CY39" s="62">
        <f ca="1">AVERAGE(OFFSET($CX$3,0,0,'Données projet'!$E$13+1,1))-AVERAGE(OFFSET($H$3,0,0,'Données projet'!$E$13+1,1))</f>
        <v>205.21073681197737</v>
      </c>
      <c r="CZ39" s="62">
        <f t="shared" si="42"/>
        <v>175.16446313750316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1.8385709447588523</v>
      </c>
      <c r="DH39" s="23">
        <f>EXP(-LN(2)/2)*DH38+(1-EXP(-LN(2)/2))/(LN(2)/2)*DB39*DE39*VLOOKUP('Données projet'!$B$13,Paramètres!$A$1:$I$89,3,0)*0.475*44/12</f>
        <v>0.8704680297201729</v>
      </c>
      <c r="DI39" s="24">
        <f t="shared" si="15"/>
        <v>2.7090389744790251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8.2880000000000003</v>
      </c>
      <c r="DO39" s="13">
        <f>IF('Données projet'!$A$166&gt;35,DO38+DN39-DW38,IF(A39&lt;'Données projet'!$A$166,$DL$205^A39,IF(A39='Données projet'!$A$166,'Données projet'!$B$166,DO38+DN39-DW38)))</f>
        <v>112.28800000000001</v>
      </c>
      <c r="DP39" s="18">
        <f>DO39*VLOOKUP('Données projet'!$B$14,Paramètres!$A$1:$I$89,3,0)*VLOOKUP('Données projet'!$B$14,Paramètres!$A$1:$I$89,5,0)</f>
        <v>91.088025600000023</v>
      </c>
      <c r="DQ39" s="14">
        <f t="shared" si="43"/>
        <v>24.827446768438698</v>
      </c>
      <c r="DR39" s="22">
        <f t="shared" si="16"/>
        <v>201.88611437503073</v>
      </c>
      <c r="DS39" s="62">
        <f t="shared" si="17"/>
        <v>495.21944770836404</v>
      </c>
      <c r="DT39" s="62">
        <f ca="1">AVERAGE(OFFSET($DS$3,0,0,'Données projet'!$E$14+1,1))-AVERAGE(OFFSET($H$3,0,0,'Données projet'!$E$14+1,1))</f>
        <v>223.63222290670075</v>
      </c>
      <c r="DU39" s="62">
        <f t="shared" si="44"/>
        <v>290.02663909417248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6.4702275480683911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52.489424053709484</v>
      </c>
      <c r="ED39" s="24">
        <f t="shared" si="18"/>
        <v>58.959651601777878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303.27964130405229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13.700000000000003</v>
      </c>
      <c r="N40" s="14">
        <f>IF('Données projet'!$A$36&gt;35,N39+M40-V39,IF(A40&lt;'Données projet'!$A$36,$K$205^A40,IF(A40='Données projet'!$A$36,'Données projet'!$B$36,N39+M40-V39)))</f>
        <v>193</v>
      </c>
      <c r="O40" s="14">
        <f>N40*VLOOKUP('Données projet'!$B$9,Paramètres!$A$1:$I$89,3,0)*VLOOKUP('Données projet'!$B$9,Paramètres!$A$1:$I$89,5,0)</f>
        <v>115.414</v>
      </c>
      <c r="P40" s="14">
        <f t="shared" si="33"/>
        <v>30.602976534547519</v>
      </c>
      <c r="Q40" s="22">
        <f t="shared" si="53"/>
        <v>254.31290079767027</v>
      </c>
      <c r="R40" s="62">
        <f t="shared" si="0"/>
        <v>547.64623413100355</v>
      </c>
      <c r="S40" s="62">
        <f ca="1">AVERAGE(OFFSET($R$3,0,0,'Données projet'!$E$9+1,1))-AVERAGE(OFFSET($H$3,0,0,'Données projet'!$E$9+1,1))</f>
        <v>192.24617268603629</v>
      </c>
      <c r="T40" s="62">
        <f t="shared" si="34"/>
        <v>192.48585280662832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8.8279405531346793</v>
      </c>
      <c r="AA40" s="23">
        <f>EXP(-LN(2)/25)*AA39+(1-EXP(-LN(2)/25))/(LN(2)/25)*Calculateur!V40*Calculateur!X40*VLOOKUP('Données projet'!$B$9,Paramètres!$A$1:$I$89,3,0)*0.475*44/12</f>
        <v>8.4739724805980448</v>
      </c>
      <c r="AB40" s="23">
        <f>EXP(-LN(2)/2)*AB39+(1-EXP(-LN(2)/2))/(LN(2)/2)*V40*Y40*VLOOKUP('Données projet'!$B$9,Paramètres!$A$1:$I$89,3,0)*0.475*44/12</f>
        <v>1.401395362656066</v>
      </c>
      <c r="AC40" s="24">
        <f t="shared" si="3"/>
        <v>18.703308396388792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11.69657142857143</v>
      </c>
      <c r="AI40" s="14">
        <f>IF('Données projet'!$A$62&gt;35,AI39+AH40-AQ39,IF(A40&lt;'Données projet'!$A$62,$AF$205^A40,IF(A40='Données projet'!$A$62,'Données projet'!$B$62,AI39+AH40-AQ39)))</f>
        <v>210.09228571428565</v>
      </c>
      <c r="AJ40" s="14">
        <f>AI40*VLOOKUP('Données projet'!$B$10,Paramètres!$A$1:$I$89,3,0)*VLOOKUP('Données projet'!$B$10,Paramètres!$A$1:$I$89,5,0)</f>
        <v>125.63518685714283</v>
      </c>
      <c r="AK40" s="14">
        <f t="shared" si="35"/>
        <v>32.985783237546563</v>
      </c>
      <c r="AL40" s="22">
        <f t="shared" si="4"/>
        <v>276.26485624825074</v>
      </c>
      <c r="AM40" s="62">
        <f t="shared" si="5"/>
        <v>569.59818958158405</v>
      </c>
      <c r="AN40" s="62">
        <f ca="1">AVERAGE(OFFSET($AM$3,0,0,'Données projet'!$E$10+1,1))-AVERAGE(OFFSET($H$3,0,0,'Données projet'!$E$10+1,1))</f>
        <v>164.64952352018145</v>
      </c>
      <c r="AO40" s="62">
        <f t="shared" si="36"/>
        <v>280.08682720086921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13.660432601499794</v>
      </c>
      <c r="AV40" s="23">
        <f>EXP(-LN(2)/25)*AV39+(1-EXP(-LN(2)/25))/(LN(2)/25)*Calculateur!AQ40*Calculateur!AS40*VLOOKUP('Données projet'!$B$10,Paramètres!$A$1:$I$89,3,0)*0.475*44/12</f>
        <v>7.54463495343371</v>
      </c>
      <c r="AW40" s="23">
        <f>EXP(-LN(2)/2)*AW39+(1-EXP(-LN(2)/2))/(LN(2)/2)*AQ40*AT40*VLOOKUP('Données projet'!$B$10,Paramètres!$A$1:$I$89,3,0)*0.475*44/12</f>
        <v>0.97283328996082752</v>
      </c>
      <c r="AX40" s="23">
        <f t="shared" si="6"/>
        <v>22.177900844894332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5.4666666666666677</v>
      </c>
      <c r="BD40" s="13">
        <f>IF('Données projet'!$A$88&gt;35,BD39+BC40-BL39,IF(A40&lt;'Données projet'!$A$88,$BA$205^A40,IF(A40='Données projet'!$A$88,'Données projet'!$B$88,BD39+BC40-BL39)))</f>
        <v>48.666666666666664</v>
      </c>
      <c r="BE40" s="14">
        <f>BD40*VLOOKUP('Données projet'!$B$11,Paramètres!$A$1:$I$89,3,0)*VLOOKUP('Données projet'!$B$11,Paramètres!$A$1:$I$89,5,0)</f>
        <v>40.9968</v>
      </c>
      <c r="BF40" s="14">
        <f t="shared" si="37"/>
        <v>12.262469180140661</v>
      </c>
      <c r="BG40" s="22">
        <f t="shared" si="7"/>
        <v>92.759893822078311</v>
      </c>
      <c r="BH40" s="62">
        <f t="shared" si="8"/>
        <v>386.09322715541163</v>
      </c>
      <c r="BI40" s="62">
        <f ca="1">AVERAGE(OFFSET($BH$3,0,0,'Données projet'!$E$11+1,1))-AVERAGE(OFFSET($H$3,0,0,'Données projet'!$E$11+1,1))</f>
        <v>339.58585574836434</v>
      </c>
      <c r="BJ40" s="62">
        <f t="shared" si="38"/>
        <v>42.267525972379588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2.1286795845878088</v>
      </c>
      <c r="BS40" s="24">
        <f t="shared" si="9"/>
        <v>2.1286795845878088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2.3959999999999999</v>
      </c>
      <c r="BY40" s="13">
        <f>IF('Données projet'!$A$114&gt;35,BY39+BX40-CG39,IF(A40&lt;'Données projet'!$A$114,$BV$205^A40,IF(A40='Données projet'!$A$114,'Données projet'!$B$114,BY39+BX40-CG39)))</f>
        <v>22.361999999999998</v>
      </c>
      <c r="BZ40" s="14">
        <f>BY40*VLOOKUP('Données projet'!$B$12,Paramètres!$A$1:$I$89,3,0)*VLOOKUP('Données projet'!$B$12,Paramètres!$A$1:$I$89,5,0)</f>
        <v>22.326220799999998</v>
      </c>
      <c r="CA40" s="14">
        <f t="shared" si="39"/>
        <v>7.167458536776933</v>
      </c>
      <c r="CB40" s="22">
        <f t="shared" si="10"/>
        <v>51.368158178219822</v>
      </c>
      <c r="CC40" s="62">
        <f t="shared" si="11"/>
        <v>344.70149151155312</v>
      </c>
      <c r="CD40" s="62">
        <f ca="1">AVERAGE(OFFSET($CC$3,0,0,'Données projet'!$E$12+1,1))-AVERAGE(OFFSET($H$3,0,0,'Données projet'!$E$12+1,1))</f>
        <v>112.34884104798977</v>
      </c>
      <c r="CE40" s="62">
        <f t="shared" si="40"/>
        <v>18.665658139749326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0.5784933543843932</v>
      </c>
      <c r="CN40" s="24">
        <f t="shared" si="12"/>
        <v>0.5784933543843932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5.266111111111111</v>
      </c>
      <c r="CT40" s="13">
        <f>IF('Données projet'!$A$140&gt;35,CT39+CS40-DB39,IF(A40&lt;'Données projet'!$A$140,$CQ$205^A40,IF(A40='Données projet'!$A$140,'Données projet'!$B$140,CT39+CS40-DB39)))</f>
        <v>109.54500000000002</v>
      </c>
      <c r="CU40" s="18">
        <f>CT40*VLOOKUP('Données projet'!$B$13,Paramètres!$A$1:$I$89,3,0)*VLOOKUP('Données projet'!$B$13,Paramètres!$A$1:$I$89,5,0)</f>
        <v>119.62314000000001</v>
      </c>
      <c r="CV40" s="14">
        <f t="shared" si="41"/>
        <v>31.587086803609878</v>
      </c>
      <c r="CW40" s="22">
        <f t="shared" si="13"/>
        <v>263.35781168295387</v>
      </c>
      <c r="CX40" s="62">
        <f t="shared" si="14"/>
        <v>556.69114501628724</v>
      </c>
      <c r="CY40" s="62">
        <f ca="1">AVERAGE(OFFSET($CX$3,0,0,'Données projet'!$E$13+1,1))-AVERAGE(OFFSET($H$3,0,0,'Données projet'!$E$13+1,1))</f>
        <v>205.21073681197737</v>
      </c>
      <c r="CZ40" s="62">
        <f t="shared" si="42"/>
        <v>175.16446313750316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1.7882951255881776</v>
      </c>
      <c r="DH40" s="23">
        <f>EXP(-LN(2)/2)*DH39+(1-EXP(-LN(2)/2))/(LN(2)/2)*DB40*DE40*VLOOKUP('Données projet'!$B$13,Paramètres!$A$1:$I$89,3,0)*0.475*44/12</f>
        <v>0.61551384662122743</v>
      </c>
      <c r="DI40" s="24">
        <f t="shared" si="15"/>
        <v>2.4038089722094051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8.2880000000000003</v>
      </c>
      <c r="DO40" s="13">
        <f>IF('Données projet'!$A$166&gt;35,DO39+DN40-DW39,IF(A40&lt;'Données projet'!$A$166,$DL$205^A40,IF(A40='Données projet'!$A$166,'Données projet'!$B$166,DO39+DN40-DW39)))</f>
        <v>120.57600000000001</v>
      </c>
      <c r="DP40" s="18">
        <f>DO40*VLOOKUP('Données projet'!$B$14,Paramètres!$A$1:$I$89,3,0)*VLOOKUP('Données projet'!$B$14,Paramètres!$A$1:$I$89,5,0)</f>
        <v>97.811251200000015</v>
      </c>
      <c r="DQ40" s="14">
        <f t="shared" si="43"/>
        <v>26.439888618800602</v>
      </c>
      <c r="DR40" s="22">
        <f t="shared" si="16"/>
        <v>216.40406851774443</v>
      </c>
      <c r="DS40" s="62">
        <f t="shared" si="17"/>
        <v>509.73740185107772</v>
      </c>
      <c r="DT40" s="62">
        <f ca="1">AVERAGE(OFFSET($DS$3,0,0,'Données projet'!$E$14+1,1))-AVERAGE(OFFSET($H$3,0,0,'Données projet'!$E$14+1,1))</f>
        <v>223.63222290670075</v>
      </c>
      <c r="DU40" s="62">
        <f t="shared" si="44"/>
        <v>290.02663909417248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6.3433503322998943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37.115627688954262</v>
      </c>
      <c r="ED40" s="24">
        <f t="shared" si="18"/>
        <v>43.458978021254154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304.50307508943433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13.700000000000003</v>
      </c>
      <c r="N41" s="14">
        <f>IF('Données projet'!$A$36&gt;35,N40+M41-V40,IF(A41&lt;'Données projet'!$A$36,$K$205^A41,IF(A41='Données projet'!$A$36,'Données projet'!$B$36,N40+M41-V40)))</f>
        <v>206.7</v>
      </c>
      <c r="O41" s="14">
        <f>N41*VLOOKUP('Données projet'!$B$9,Paramètres!$A$1:$I$89,3,0)*VLOOKUP('Données projet'!$B$9,Paramètres!$A$1:$I$89,5,0)</f>
        <v>123.6066</v>
      </c>
      <c r="P41" s="14">
        <f t="shared" si="33"/>
        <v>32.514724323596916</v>
      </c>
      <c r="Q41" s="22">
        <f t="shared" si="53"/>
        <v>271.91130653026465</v>
      </c>
      <c r="R41" s="62">
        <f t="shared" si="0"/>
        <v>565.24463986359797</v>
      </c>
      <c r="S41" s="62">
        <f ca="1">AVERAGE(OFFSET($R$3,0,0,'Données projet'!$E$9+1,1))-AVERAGE(OFFSET($H$3,0,0,'Données projet'!$E$9+1,1))</f>
        <v>192.24617268603629</v>
      </c>
      <c r="T41" s="62">
        <f t="shared" si="34"/>
        <v>192.48585280662832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8.6548300233997697</v>
      </c>
      <c r="AA41" s="23">
        <f>EXP(-LN(2)/25)*AA40+(1-EXP(-LN(2)/25))/(LN(2)/25)*Calculateur!V41*Calculateur!X41*VLOOKUP('Données projet'!$B$9,Paramètres!$A$1:$I$89,3,0)*0.475*44/12</f>
        <v>8.2422512574892455</v>
      </c>
      <c r="AB41" s="23">
        <f>EXP(-LN(2)/2)*AB40+(1-EXP(-LN(2)/2))/(LN(2)/2)*V41*Y41*VLOOKUP('Données projet'!$B$9,Paramètres!$A$1:$I$89,3,0)*0.475*44/12</f>
        <v>0.9909361640574853</v>
      </c>
      <c r="AC41" s="24">
        <f t="shared" si="3"/>
        <v>17.888017444946499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11.69657142857143</v>
      </c>
      <c r="AI41" s="14">
        <f>IF('Données projet'!$A$62&gt;35,AI40+AH41-AQ40,IF(A41&lt;'Données projet'!$A$62,$AF$205^A41,IF(A41='Données projet'!$A$62,'Données projet'!$B$62,AI40+AH41-AQ40)))</f>
        <v>221.78885714285707</v>
      </c>
      <c r="AJ41" s="14">
        <f>AI41*VLOOKUP('Données projet'!$B$10,Paramètres!$A$1:$I$89,3,0)*VLOOKUP('Données projet'!$B$10,Paramètres!$A$1:$I$89,5,0)</f>
        <v>132.62973657142854</v>
      </c>
      <c r="AK41" s="14">
        <f t="shared" si="35"/>
        <v>34.603304171572745</v>
      </c>
      <c r="AL41" s="22">
        <f t="shared" si="4"/>
        <v>291.26421262739387</v>
      </c>
      <c r="AM41" s="62">
        <f t="shared" si="5"/>
        <v>584.59754596072719</v>
      </c>
      <c r="AN41" s="62">
        <f ca="1">AVERAGE(OFFSET($AM$3,0,0,'Données projet'!$E$10+1,1))-AVERAGE(OFFSET($H$3,0,0,'Données projet'!$E$10+1,1))</f>
        <v>164.64952352018145</v>
      </c>
      <c r="AO41" s="62">
        <f t="shared" si="36"/>
        <v>280.08682720086921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13.392559850225549</v>
      </c>
      <c r="AV41" s="23">
        <f>EXP(-LN(2)/25)*AV40+(1-EXP(-LN(2)/25))/(LN(2)/25)*Calculateur!AQ41*Calculateur!AS41*VLOOKUP('Données projet'!$B$10,Paramètres!$A$1:$I$89,3,0)*0.475*44/12</f>
        <v>7.3383265138769564</v>
      </c>
      <c r="AW41" s="23">
        <f>EXP(-LN(2)/2)*AW40+(1-EXP(-LN(2)/2))/(LN(2)/2)*AQ41*AT41*VLOOKUP('Données projet'!$B$10,Paramètres!$A$1:$I$89,3,0)*0.475*44/12</f>
        <v>0.68789701629532007</v>
      </c>
      <c r="AX41" s="23">
        <f t="shared" si="6"/>
        <v>21.418783380397826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5.4666666666666677</v>
      </c>
      <c r="BD41" s="13">
        <f>IF('Données projet'!$A$88&gt;35,BD40+BC41-BL40,IF(A41&lt;'Données projet'!$A$88,$BA$205^A41,IF(A41='Données projet'!$A$88,'Données projet'!$B$88,BD40+BC41-BL40)))</f>
        <v>54.133333333333333</v>
      </c>
      <c r="BE41" s="14">
        <f>BD41*VLOOKUP('Données projet'!$B$11,Paramètres!$A$1:$I$89,3,0)*VLOOKUP('Données projet'!$B$11,Paramètres!$A$1:$I$89,5,0)</f>
        <v>45.601920000000007</v>
      </c>
      <c r="BF41" s="14">
        <f t="shared" si="37"/>
        <v>13.471921919810917</v>
      </c>
      <c r="BG41" s="22">
        <f t="shared" si="7"/>
        <v>102.88694134367069</v>
      </c>
      <c r="BH41" s="62">
        <f t="shared" si="8"/>
        <v>396.220274677004</v>
      </c>
      <c r="BI41" s="62">
        <f ca="1">AVERAGE(OFFSET($BH$3,0,0,'Données projet'!$E$11+1,1))-AVERAGE(OFFSET($H$3,0,0,'Données projet'!$E$11+1,1))</f>
        <v>339.58585574836434</v>
      </c>
      <c r="BJ41" s="62">
        <f t="shared" si="38"/>
        <v>42.267525972379588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1.5052037692354028</v>
      </c>
      <c r="BS41" s="24">
        <f t="shared" si="9"/>
        <v>1.5052037692354028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2.3959999999999999</v>
      </c>
      <c r="BY41" s="13">
        <f>IF('Données projet'!$A$114&gt;35,BY40+BX41-CG40,IF(A41&lt;'Données projet'!$A$114,$BV$205^A41,IF(A41='Données projet'!$A$114,'Données projet'!$B$114,BY40+BX41-CG40)))</f>
        <v>24.757999999999999</v>
      </c>
      <c r="BZ41" s="14">
        <f>BY41*VLOOKUP('Données projet'!$B$12,Paramètres!$A$1:$I$89,3,0)*VLOOKUP('Données projet'!$B$12,Paramètres!$A$1:$I$89,5,0)</f>
        <v>24.718387199999999</v>
      </c>
      <c r="CA41" s="14">
        <f t="shared" si="39"/>
        <v>7.8419605386789693</v>
      </c>
      <c r="CB41" s="22">
        <f t="shared" si="10"/>
        <v>56.709272311532537</v>
      </c>
      <c r="CC41" s="62">
        <f t="shared" si="11"/>
        <v>350.04260564486583</v>
      </c>
      <c r="CD41" s="62">
        <f ca="1">AVERAGE(OFFSET($CC$3,0,0,'Données projet'!$E$12+1,1))-AVERAGE(OFFSET($H$3,0,0,'Données projet'!$E$12+1,1))</f>
        <v>112.34884104798977</v>
      </c>
      <c r="CE41" s="62">
        <f t="shared" si="40"/>
        <v>18.665658139749326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0.40905657375655702</v>
      </c>
      <c r="CN41" s="24">
        <f t="shared" si="12"/>
        <v>0.40905657375655702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5.266111111111111</v>
      </c>
      <c r="CT41" s="13">
        <f>IF('Données projet'!$A$140&gt;35,CT40+CS41-DB40,IF(A41&lt;'Données projet'!$A$140,$CQ$205^A41,IF(A41='Données projet'!$A$140,'Données projet'!$B$140,CT40+CS41-DB40)))</f>
        <v>114.81111111111113</v>
      </c>
      <c r="CU41" s="18">
        <f>CT41*VLOOKUP('Données projet'!$B$13,Paramètres!$A$1:$I$89,3,0)*VLOOKUP('Données projet'!$B$13,Paramètres!$A$1:$I$89,5,0)</f>
        <v>125.37373333333336</v>
      </c>
      <c r="CV41" s="14">
        <f t="shared" si="41"/>
        <v>32.925121009744423</v>
      </c>
      <c r="CW41" s="22">
        <f t="shared" si="13"/>
        <v>275.70383798086044</v>
      </c>
      <c r="CX41" s="62">
        <f t="shared" si="14"/>
        <v>569.03717131419376</v>
      </c>
      <c r="CY41" s="62">
        <f ca="1">AVERAGE(OFFSET($CX$3,0,0,'Données projet'!$E$13+1,1))-AVERAGE(OFFSET($H$3,0,0,'Données projet'!$E$13+1,1))</f>
        <v>205.21073681197737</v>
      </c>
      <c r="CZ41" s="62">
        <f t="shared" si="42"/>
        <v>175.16446313750316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1.7393941013366154</v>
      </c>
      <c r="DH41" s="23">
        <f>EXP(-LN(2)/2)*DH40+(1-EXP(-LN(2)/2))/(LN(2)/2)*DB41*DE41*VLOOKUP('Données projet'!$B$13,Paramètres!$A$1:$I$89,3,0)*0.475*44/12</f>
        <v>0.43523401486008645</v>
      </c>
      <c r="DI41" s="24">
        <f t="shared" si="15"/>
        <v>2.1746281161967018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8.2880000000000003</v>
      </c>
      <c r="DO41" s="13">
        <f>IF('Données projet'!$A$166&gt;35,DO40+DN41-DW40,IF(A41&lt;'Données projet'!$A$166,$DL$205^A41,IF(A41='Données projet'!$A$166,'Données projet'!$B$166,DO40+DN41-DW40)))</f>
        <v>128.864</v>
      </c>
      <c r="DP41" s="18">
        <f>DO41*VLOOKUP('Données projet'!$B$14,Paramètres!$A$1:$I$89,3,0)*VLOOKUP('Données projet'!$B$14,Paramètres!$A$1:$I$89,5,0)</f>
        <v>104.53447680000001</v>
      </c>
      <c r="DQ41" s="14">
        <f t="shared" si="43"/>
        <v>28.039470181165441</v>
      </c>
      <c r="DR41" s="22">
        <f t="shared" si="16"/>
        <v>230.8996243255298</v>
      </c>
      <c r="DS41" s="62">
        <f t="shared" si="17"/>
        <v>524.23295765886314</v>
      </c>
      <c r="DT41" s="62">
        <f ca="1">AVERAGE(OFFSET($DS$3,0,0,'Données projet'!$E$14+1,1))-AVERAGE(OFFSET($H$3,0,0,'Données projet'!$E$14+1,1))</f>
        <v>223.63222290670075</v>
      </c>
      <c r="DU41" s="62">
        <f t="shared" si="44"/>
        <v>290.02663909417248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6.2189611013451582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26.244712026854749</v>
      </c>
      <c r="ED41" s="24">
        <f t="shared" si="18"/>
        <v>32.463673128199908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305.72567538934157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13.700000000000003</v>
      </c>
      <c r="N42" s="14">
        <f>IF('Données projet'!$A$36&gt;35,N41+M42-V41,IF(A42&lt;'Données projet'!$A$36,$K$205^A42,IF(A42='Données projet'!$A$36,'Données projet'!$B$36,N41+M42-V41)))</f>
        <v>220.39999999999998</v>
      </c>
      <c r="O42" s="14">
        <f>N42*VLOOKUP('Données projet'!$B$9,Paramètres!$A$1:$I$89,3,0)*VLOOKUP('Données projet'!$B$9,Paramètres!$A$1:$I$89,5,0)</f>
        <v>131.79920000000001</v>
      </c>
      <c r="P42" s="14">
        <f t="shared" si="33"/>
        <v>34.411768463304291</v>
      </c>
      <c r="Q42" s="22">
        <f t="shared" si="53"/>
        <v>289.48410340692169</v>
      </c>
      <c r="R42" s="62">
        <f t="shared" si="0"/>
        <v>582.81743674025506</v>
      </c>
      <c r="S42" s="62">
        <f ca="1">AVERAGE(OFFSET($R$3,0,0,'Données projet'!$E$9+1,1))-AVERAGE(OFFSET($H$3,0,0,'Données projet'!$E$9+1,1))</f>
        <v>192.24617268603629</v>
      </c>
      <c r="T42" s="62">
        <f t="shared" si="34"/>
        <v>192.48585280662832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8.4851140855659644</v>
      </c>
      <c r="AA42" s="23">
        <f>EXP(-LN(2)/25)*AA41+(1-EXP(-LN(2)/25))/(LN(2)/25)*Calculateur!V42*Calculateur!X42*VLOOKUP('Données projet'!$B$9,Paramètres!$A$1:$I$89,3,0)*0.475*44/12</f>
        <v>8.0168664634120468</v>
      </c>
      <c r="AB42" s="23">
        <f>EXP(-LN(2)/2)*AB41+(1-EXP(-LN(2)/2))/(LN(2)/2)*V42*Y42*VLOOKUP('Données projet'!$B$9,Paramètres!$A$1:$I$89,3,0)*0.475*44/12</f>
        <v>0.70069768132803312</v>
      </c>
      <c r="AC42" s="24">
        <f t="shared" si="3"/>
        <v>17.202678230306045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11.69657142857143</v>
      </c>
      <c r="AI42" s="14">
        <f>IF('Données projet'!$A$62&gt;35,AI41+AH42-AQ41,IF(A42&lt;'Données projet'!$A$62,$AF$205^A42,IF(A42='Données projet'!$A$62,'Données projet'!$B$62,AI41+AH42-AQ41)))</f>
        <v>233.48542857142849</v>
      </c>
      <c r="AJ42" s="14">
        <f>AI42*VLOOKUP('Données projet'!$B$10,Paramètres!$A$1:$I$89,3,0)*VLOOKUP('Données projet'!$B$10,Paramètres!$A$1:$I$89,5,0)</f>
        <v>139.62428628571425</v>
      </c>
      <c r="AK42" s="14">
        <f t="shared" si="35"/>
        <v>36.210921302215525</v>
      </c>
      <c r="AL42" s="22">
        <f t="shared" si="4"/>
        <v>306.24631988231101</v>
      </c>
      <c r="AM42" s="62">
        <f t="shared" si="5"/>
        <v>599.57965321564438</v>
      </c>
      <c r="AN42" s="62">
        <f ca="1">AVERAGE(OFFSET($AM$3,0,0,'Données projet'!$E$10+1,1))-AVERAGE(OFFSET($H$3,0,0,'Données projet'!$E$10+1,1))</f>
        <v>164.64952352018145</v>
      </c>
      <c r="AO42" s="62">
        <f t="shared" si="36"/>
        <v>280.08682720086921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13.129939920217547</v>
      </c>
      <c r="AV42" s="23">
        <f>EXP(-LN(2)/25)*AV41+(1-EXP(-LN(2)/25))/(LN(2)/25)*Calculateur!AQ42*Calculateur!AS42*VLOOKUP('Données projet'!$B$10,Paramètres!$A$1:$I$89,3,0)*0.475*44/12</f>
        <v>7.1376595894491714</v>
      </c>
      <c r="AW42" s="23">
        <f>EXP(-LN(2)/2)*AW41+(1-EXP(-LN(2)/2))/(LN(2)/2)*AQ42*AT42*VLOOKUP('Données projet'!$B$10,Paramètres!$A$1:$I$89,3,0)*0.475*44/12</f>
        <v>0.48641664498041381</v>
      </c>
      <c r="AX42" s="23">
        <f t="shared" si="6"/>
        <v>20.754016154647129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5.4666666666666677</v>
      </c>
      <c r="BD42" s="13">
        <f>IF('Données projet'!$A$88&gt;35,BD41+BC42-BL41,IF(A42&lt;'Données projet'!$A$88,$BA$205^A42,IF(A42='Données projet'!$A$88,'Données projet'!$B$88,BD41+BC42-BL41)))</f>
        <v>59.6</v>
      </c>
      <c r="BE42" s="14">
        <f>BD42*VLOOKUP('Données projet'!$B$11,Paramètres!$A$1:$I$89,3,0)*VLOOKUP('Données projet'!$B$11,Paramètres!$A$1:$I$89,5,0)</f>
        <v>50.207040000000006</v>
      </c>
      <c r="BF42" s="14">
        <f t="shared" si="37"/>
        <v>14.667215780386766</v>
      </c>
      <c r="BG42" s="22">
        <f t="shared" si="7"/>
        <v>112.98932881750697</v>
      </c>
      <c r="BH42" s="62">
        <f t="shared" si="8"/>
        <v>406.3226621508403</v>
      </c>
      <c r="BI42" s="62">
        <f ca="1">AVERAGE(OFFSET($BH$3,0,0,'Données projet'!$E$11+1,1))-AVERAGE(OFFSET($H$3,0,0,'Données projet'!$E$11+1,1))</f>
        <v>339.58585574836434</v>
      </c>
      <c r="BJ42" s="62">
        <f t="shared" si="38"/>
        <v>42.267525972379588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1.0643397922939046</v>
      </c>
      <c r="BS42" s="24">
        <f t="shared" si="9"/>
        <v>1.0643397922939046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2.3959999999999999</v>
      </c>
      <c r="BY42" s="13">
        <f>IF('Données projet'!$A$114&gt;35,BY41+BX42-CG41,IF(A42&lt;'Données projet'!$A$114,$BV$205^A42,IF(A42='Données projet'!$A$114,'Données projet'!$B$114,BY41+BX42-CG41)))</f>
        <v>27.154</v>
      </c>
      <c r="BZ42" s="14">
        <f>BY42*VLOOKUP('Données projet'!$B$12,Paramètres!$A$1:$I$89,3,0)*VLOOKUP('Données projet'!$B$12,Paramètres!$A$1:$I$89,5,0)</f>
        <v>27.110553600000003</v>
      </c>
      <c r="CA42" s="14">
        <f t="shared" si="39"/>
        <v>8.5088945740417028</v>
      </c>
      <c r="CB42" s="22">
        <f t="shared" si="10"/>
        <v>62.037205569789307</v>
      </c>
      <c r="CC42" s="62">
        <f t="shared" si="11"/>
        <v>355.37053890312262</v>
      </c>
      <c r="CD42" s="62">
        <f ca="1">AVERAGE(OFFSET($CC$3,0,0,'Données projet'!$E$12+1,1))-AVERAGE(OFFSET($H$3,0,0,'Données projet'!$E$12+1,1))</f>
        <v>112.34884104798977</v>
      </c>
      <c r="CE42" s="62">
        <f t="shared" si="40"/>
        <v>18.665658139749326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0.2892466771921966</v>
      </c>
      <c r="CN42" s="24">
        <f t="shared" si="12"/>
        <v>0.2892466771921966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5.266111111111111</v>
      </c>
      <c r="CT42" s="13">
        <f>IF('Données projet'!$A$140&gt;35,CT41+CS42-DB41,IF(A42&lt;'Données projet'!$A$140,$CQ$205^A42,IF(A42='Données projet'!$A$140,'Données projet'!$B$140,CT41+CS42-DB41)))</f>
        <v>120.07722222222225</v>
      </c>
      <c r="CU42" s="18">
        <f>CT42*VLOOKUP('Données projet'!$B$13,Paramètres!$A$1:$I$89,3,0)*VLOOKUP('Données projet'!$B$13,Paramètres!$A$1:$I$89,5,0)</f>
        <v>131.12432666666669</v>
      </c>
      <c r="CV42" s="14">
        <f t="shared" si="41"/>
        <v>34.256027862545771</v>
      </c>
      <c r="CW42" s="22">
        <f t="shared" si="13"/>
        <v>288.03745080504507</v>
      </c>
      <c r="CX42" s="62">
        <f t="shared" si="14"/>
        <v>581.37078413837844</v>
      </c>
      <c r="CY42" s="62">
        <f ca="1">AVERAGE(OFFSET($CX$3,0,0,'Données projet'!$E$13+1,1))-AVERAGE(OFFSET($H$3,0,0,'Données projet'!$E$13+1,1))</f>
        <v>205.21073681197737</v>
      </c>
      <c r="CZ42" s="62">
        <f t="shared" si="42"/>
        <v>175.16446313750316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1.6918302781648054</v>
      </c>
      <c r="DH42" s="23">
        <f>EXP(-LN(2)/2)*DH41+(1-EXP(-LN(2)/2))/(LN(2)/2)*DB42*DE42*VLOOKUP('Données projet'!$B$13,Paramètres!$A$1:$I$89,3,0)*0.475*44/12</f>
        <v>0.30775692331061372</v>
      </c>
      <c r="DI42" s="24">
        <f t="shared" si="15"/>
        <v>1.999587201475419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8.2880000000000003</v>
      </c>
      <c r="DO42" s="13">
        <f>IF('Données projet'!$A$166&gt;35,DO41+DN42-DW41,IF(A42&lt;'Données projet'!$A$166,$DL$205^A42,IF(A42='Données projet'!$A$166,'Données projet'!$B$166,DO41+DN42-DW41)))</f>
        <v>137.15200000000002</v>
      </c>
      <c r="DP42" s="18">
        <f>DO42*VLOOKUP('Données projet'!$B$14,Paramètres!$A$1:$I$89,3,0)*VLOOKUP('Données projet'!$B$14,Paramètres!$A$1:$I$89,5,0)</f>
        <v>111.25770240000003</v>
      </c>
      <c r="DQ42" s="14">
        <f t="shared" si="43"/>
        <v>29.627112715823152</v>
      </c>
      <c r="DR42" s="22">
        <f t="shared" si="16"/>
        <v>245.37438632672536</v>
      </c>
      <c r="DS42" s="62">
        <f t="shared" si="17"/>
        <v>538.70771966005873</v>
      </c>
      <c r="DT42" s="62">
        <f ca="1">AVERAGE(OFFSET($DS$3,0,0,'Données projet'!$E$14+1,1))-AVERAGE(OFFSET($H$3,0,0,'Données projet'!$E$14+1,1))</f>
        <v>223.63222290670075</v>
      </c>
      <c r="DU42" s="62">
        <f t="shared" si="44"/>
        <v>290.02663909417248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6.0970110673395048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18.557813844477135</v>
      </c>
      <c r="ED42" s="24">
        <f t="shared" si="18"/>
        <v>24.65482491181664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306.9474660325443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234.1</v>
      </c>
      <c r="L43" s="13">
        <f>VLOOKUP(A43,'Données projet'!$A$35:$I$55,9,0)</f>
        <v>13.700000000000003</v>
      </c>
      <c r="M43" s="13">
        <f t="array" ref="M43">INDEX(L:L,MIN(IF(ISNUMBER(L43:L239),ROW(L43:L239),"")))</f>
        <v>13.700000000000003</v>
      </c>
      <c r="N43" s="14">
        <f>IF('Données projet'!$A$36&gt;35,N42+M43-V42,IF(A43&lt;'Données projet'!$A$36,$K$205^A43,IF(A43='Données projet'!$A$36,'Données projet'!$B$36,N42+M43-V42)))</f>
        <v>234.09999999999997</v>
      </c>
      <c r="O43" s="14">
        <f>N43*VLOOKUP('Données projet'!$B$9,Paramètres!$A$1:$I$89,3,0)*VLOOKUP('Données projet'!$B$9,Paramètres!$A$1:$I$89,5,0)</f>
        <v>139.99179999999998</v>
      </c>
      <c r="P43" s="14">
        <f t="shared" si="33"/>
        <v>36.295126983752503</v>
      </c>
      <c r="Q43" s="22">
        <f t="shared" si="53"/>
        <v>307.03306449670225</v>
      </c>
      <c r="R43" s="62">
        <f t="shared" si="0"/>
        <v>600.36639783003557</v>
      </c>
      <c r="S43" s="62">
        <f ca="1">AVERAGE(OFFSET($R$3,0,0,'Données projet'!$E$9+1,1))-AVERAGE(OFFSET($H$3,0,0,'Données projet'!$E$9+1,1))</f>
        <v>192.24617268603629</v>
      </c>
      <c r="T43" s="62">
        <f t="shared" si="34"/>
        <v>192.48585280662832</v>
      </c>
      <c r="U43" s="16">
        <f>IF(ISNA(VLOOKUP(A43,'Données projet'!$A$35:$I$55,3,0)),0,VLOOKUP(A43,'Données projet'!$A$35:$I$55,3,0))</f>
        <v>7</v>
      </c>
      <c r="V43" s="16">
        <f>IF(ISNA(VLOOKUP(A43,'Données projet'!$A$35:$I$55,4,0)),0,VLOOKUP(A43,'Données projet'!$A$35:$I$55,4,0))</f>
        <v>41.3</v>
      </c>
      <c r="W43" s="17">
        <f>IF(ISNA(VLOOKUP(A43,'Données projet'!$A$35:$I$55,5,0)),0%,VLOOKUP(A43,'Données projet'!$A$35:$I$55,5,0)*VLOOKUP('Données projet'!$B$9,Paramètres!$A$1:$I$89,7,0))</f>
        <v>0.27</v>
      </c>
      <c r="X43" s="17">
        <f>IF(ISNA(VLOOKUP(A43,'Données projet'!$A$35:$I$55,6,0)),0%,VLOOKUP(A43,'Données projet'!$A$35:$I$55,6,0)*VLOOKUP('Données projet'!$B$9,Paramètres!$A$1:$I$89,7,0))</f>
        <v>9.0000000000000011E-2</v>
      </c>
      <c r="Y43" s="17">
        <f>IF(ISNA(VLOOKUP(A43,'Données projet'!$A$35:$I$55,7,0)),0%,VLOOKUP(A43,'Données projet'!$A$35:$I$55,7,0))</f>
        <v>0.1</v>
      </c>
      <c r="Z43" s="23">
        <f>EXP(-LN(2)/35)*Z42+(1-EXP(-LN(2)/35))/(LN(2)/35)*V43*W43*VLOOKUP('Données projet'!$B$9,Paramètres!$A$1:$I$89,3,0)*0.475*44/12</f>
        <v>17.164653278835154</v>
      </c>
      <c r="AA43" s="23">
        <f>EXP(-LN(2)/25)*AA42+(1-EXP(-LN(2)/25))/(LN(2)/25)*Calculateur!V43*Calculateur!X43*VLOOKUP('Données projet'!$B$9,Paramètres!$A$1:$I$89,3,0)*0.475*44/12</f>
        <v>10.73467726821583</v>
      </c>
      <c r="AB43" s="23">
        <f>EXP(-LN(2)/2)*AB42+(1-EXP(-LN(2)/2))/(LN(2)/2)*V43*Y43*VLOOKUP('Données projet'!$B$9,Paramètres!$A$1:$I$89,3,0)*0.475*44/12</f>
        <v>3.291787476521757</v>
      </c>
      <c r="AC43" s="24">
        <f t="shared" si="3"/>
        <v>31.191118023572741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245.18199999999999</v>
      </c>
      <c r="AG43" s="13">
        <f>VLOOKUP(A43,'Données projet'!$A$61:$I$81,9,0)</f>
        <v>11.69657142857143</v>
      </c>
      <c r="AH43" s="13">
        <f t="array" ref="AH43">INDEX(AG:AG,MIN(IF(ISNUMBER(AG43:AG239),ROW(AG43:AG239),"")))</f>
        <v>11.69657142857143</v>
      </c>
      <c r="AI43" s="14">
        <f>IF('Données projet'!$A$62&gt;35,AI42+AH43-AQ42,IF(A43&lt;'Données projet'!$A$62,$AF$205^A43,IF(A43='Données projet'!$A$62,'Données projet'!$B$62,AI42+AH43-AQ42)))</f>
        <v>245.1819999999999</v>
      </c>
      <c r="AJ43" s="14">
        <f>AI43*VLOOKUP('Données projet'!$B$10,Paramètres!$A$1:$I$89,3,0)*VLOOKUP('Données projet'!$B$10,Paramètres!$A$1:$I$89,5,0)</f>
        <v>146.61883599999996</v>
      </c>
      <c r="AK43" s="14">
        <f t="shared" si="35"/>
        <v>37.809187377582674</v>
      </c>
      <c r="AL43" s="22">
        <f t="shared" si="4"/>
        <v>321.21214071595642</v>
      </c>
      <c r="AM43" s="62">
        <f t="shared" si="5"/>
        <v>614.54547404928974</v>
      </c>
      <c r="AN43" s="62">
        <f ca="1">AVERAGE(OFFSET($AM$3,0,0,'Données projet'!$E$10+1,1))-AVERAGE(OFFSET($H$3,0,0,'Données projet'!$E$10+1,1))</f>
        <v>164.64952352018145</v>
      </c>
      <c r="AO43" s="62">
        <f t="shared" si="36"/>
        <v>280.08682720086921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245.18</v>
      </c>
      <c r="AR43" s="17">
        <f>IF(ISNA(VLOOKUP(A43,'Données projet'!$A$61:$I$81,5,0)),0%,VLOOKUP(A43,'Données projet'!$A$61:$I$81,5,0)*VLOOKUP('Données projet'!$B$10,Paramètres!$A$1:$I$89,7,0))</f>
        <v>0.27</v>
      </c>
      <c r="AS43" s="17">
        <f>IF(ISNA(VLOOKUP(A43,'Données projet'!$A$61:$I$81,6,0)),0%,VLOOKUP(A43,'Données projet'!$A$61:$I$81,6,0)*VLOOKUP('Données projet'!$B$10,Paramètres!$A$1:$I$89,7,0))</f>
        <v>9.0000000000000011E-2</v>
      </c>
      <c r="AT43" s="17">
        <f>IF(ISNA(VLOOKUP(A43,'Données projet'!$A$61:$I$81,7,0)),0%,VLOOKUP(A43,'Données projet'!$A$61:$I$81,7,0))</f>
        <v>0.1</v>
      </c>
      <c r="AU43" s="23">
        <f>EXP(-LN(2)/35)*AU42+(1-EXP(-LN(2)/35))/(LN(2)/35)*AQ43*AR43*VLOOKUP('Données projet'!$B$10,Paramètres!$A$1:$I$89,3,0)*0.475*44/12</f>
        <v>65.386862243250903</v>
      </c>
      <c r="AV43" s="23">
        <f>EXP(-LN(2)/25)*AV42+(1-EXP(-LN(2)/25))/(LN(2)/25)*Calculateur!AQ43*Calculateur!AS43*VLOOKUP('Données projet'!$B$10,Paramètres!$A$1:$I$89,3,0)*0.475*44/12</f>
        <v>24.378354333896453</v>
      </c>
      <c r="AW43" s="23">
        <f>EXP(-LN(2)/2)*AW42+(1-EXP(-LN(2)/2))/(LN(2)/2)*AQ43*AT43*VLOOKUP('Données projet'!$B$10,Paramètres!$A$1:$I$89,3,0)*0.475*44/12</f>
        <v>16.944471247658484</v>
      </c>
      <c r="AX43" s="23">
        <f t="shared" si="6"/>
        <v>106.70968782480584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5.4666666666666677</v>
      </c>
      <c r="BD43" s="13">
        <f>IF('Données projet'!$A$88&gt;35,BD42+BC43-BL42,IF(A43&lt;'Données projet'!$A$88,$BA$205^A43,IF(A43='Données projet'!$A$88,'Données projet'!$B$88,BD42+BC43-BL42)))</f>
        <v>65.066666666666663</v>
      </c>
      <c r="BE43" s="14">
        <f>BD43*VLOOKUP('Données projet'!$B$11,Paramètres!$A$1:$I$89,3,0)*VLOOKUP('Données projet'!$B$11,Paramètres!$A$1:$I$89,5,0)</f>
        <v>54.812160000000006</v>
      </c>
      <c r="BF43" s="14">
        <f t="shared" si="37"/>
        <v>15.849797156312768</v>
      </c>
      <c r="BG43" s="22">
        <f t="shared" si="7"/>
        <v>123.06957538057809</v>
      </c>
      <c r="BH43" s="62">
        <f t="shared" si="8"/>
        <v>416.40290871391142</v>
      </c>
      <c r="BI43" s="62">
        <f ca="1">AVERAGE(OFFSET($BH$3,0,0,'Données projet'!$E$11+1,1))-AVERAGE(OFFSET($H$3,0,0,'Données projet'!$E$11+1,1))</f>
        <v>339.58585574836434</v>
      </c>
      <c r="BJ43" s="62">
        <f t="shared" si="38"/>
        <v>42.267525972379588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0.7526018846177015</v>
      </c>
      <c r="BS43" s="24">
        <f t="shared" si="9"/>
        <v>0.7526018846177015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2.3959999999999999</v>
      </c>
      <c r="BY43" s="13">
        <f>IF('Données projet'!$A$114&gt;35,BY42+BX43-CG42,IF(A43&lt;'Données projet'!$A$114,$BV$205^A43,IF(A43='Données projet'!$A$114,'Données projet'!$B$114,BY42+BX43-CG42)))</f>
        <v>29.55</v>
      </c>
      <c r="BZ43" s="14">
        <f>BY43*VLOOKUP('Données projet'!$B$12,Paramètres!$A$1:$I$89,3,0)*VLOOKUP('Données projet'!$B$12,Paramètres!$A$1:$I$89,5,0)</f>
        <v>29.502720000000004</v>
      </c>
      <c r="CA43" s="14">
        <f t="shared" si="39"/>
        <v>9.1690043532964491</v>
      </c>
      <c r="CB43" s="22">
        <f t="shared" si="10"/>
        <v>67.353253248657992</v>
      </c>
      <c r="CC43" s="62">
        <f t="shared" si="11"/>
        <v>360.68658658199132</v>
      </c>
      <c r="CD43" s="62">
        <f ca="1">AVERAGE(OFFSET($CC$3,0,0,'Données projet'!$E$12+1,1))-AVERAGE(OFFSET($H$3,0,0,'Données projet'!$E$12+1,1))</f>
        <v>112.34884104798977</v>
      </c>
      <c r="CE43" s="62">
        <f t="shared" si="40"/>
        <v>18.665658139749326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0.20452828687827851</v>
      </c>
      <c r="CN43" s="24">
        <f t="shared" si="12"/>
        <v>0.20452828687827851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5.266111111111111</v>
      </c>
      <c r="CT43" s="13">
        <f>IF('Données projet'!$A$140&gt;35,CT42+CS43-DB42,IF(A43&lt;'Données projet'!$A$140,$CQ$205^A43,IF(A43='Données projet'!$A$140,'Données projet'!$B$140,CT42+CS43-DB42)))</f>
        <v>125.34333333333336</v>
      </c>
      <c r="CU43" s="18">
        <f>CT43*VLOOKUP('Données projet'!$B$13,Paramètres!$A$1:$I$89,3,0)*VLOOKUP('Données projet'!$B$13,Paramètres!$A$1:$I$89,5,0)</f>
        <v>136.87492000000003</v>
      </c>
      <c r="CV43" s="14">
        <f t="shared" si="41"/>
        <v>35.58015566228827</v>
      </c>
      <c r="CW43" s="22">
        <f t="shared" si="13"/>
        <v>300.35925677848542</v>
      </c>
      <c r="CX43" s="62">
        <f t="shared" si="14"/>
        <v>593.69259011181873</v>
      </c>
      <c r="CY43" s="62">
        <f ca="1">AVERAGE(OFFSET($CX$3,0,0,'Données projet'!$E$13+1,1))-AVERAGE(OFFSET($H$3,0,0,'Données projet'!$E$13+1,1))</f>
        <v>205.21073681197737</v>
      </c>
      <c r="CZ43" s="62">
        <f t="shared" si="42"/>
        <v>175.16446313750316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1.6455670902389012</v>
      </c>
      <c r="DH43" s="23">
        <f>EXP(-LN(2)/2)*DH42+(1-EXP(-LN(2)/2))/(LN(2)/2)*DB43*DE43*VLOOKUP('Données projet'!$B$13,Paramètres!$A$1:$I$89,3,0)*0.475*44/12</f>
        <v>0.21761700743004322</v>
      </c>
      <c r="DI43" s="24">
        <f t="shared" si="15"/>
        <v>1.8631840976689444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8.2880000000000003</v>
      </c>
      <c r="DO43" s="13">
        <f>IF('Données projet'!$A$166&gt;35,DO42+DN43-DW42,IF(A43&lt;'Données projet'!$A$166,$DL$205^A43,IF(A43='Données projet'!$A$166,'Données projet'!$B$166,DO42+DN43-DW42)))</f>
        <v>145.44000000000003</v>
      </c>
      <c r="DP43" s="18">
        <f>DO43*VLOOKUP('Données projet'!$B$14,Paramètres!$A$1:$I$89,3,0)*VLOOKUP('Données projet'!$B$14,Paramètres!$A$1:$I$89,5,0)</f>
        <v>117.98092800000002</v>
      </c>
      <c r="DQ43" s="14">
        <f t="shared" si="43"/>
        <v>31.203619849826058</v>
      </c>
      <c r="DR43" s="22">
        <f t="shared" si="16"/>
        <v>259.82975417178045</v>
      </c>
      <c r="DS43" s="62">
        <f t="shared" si="17"/>
        <v>553.16308750511371</v>
      </c>
      <c r="DT43" s="62">
        <f ca="1">AVERAGE(OFFSET($DS$3,0,0,'Données projet'!$E$14+1,1))-AVERAGE(OFFSET($H$3,0,0,'Données projet'!$E$14+1,1))</f>
        <v>223.63222290670075</v>
      </c>
      <c r="DU43" s="62">
        <f t="shared" si="44"/>
        <v>290.02663909417248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5.9774523991185262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13.122356013427376</v>
      </c>
      <c r="ED43" s="24">
        <f t="shared" si="18"/>
        <v>19.099808412545904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308.16846958846969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11.800000000000002</v>
      </c>
      <c r="N44" s="14">
        <f>IF('Données projet'!$A$36&gt;35,N43+M44-V43,IF(A44&lt;'Données projet'!$A$36,$K$205^A44,IF(A44='Données projet'!$A$36,'Données projet'!$B$36,N43+M44-V43)))</f>
        <v>204.59999999999997</v>
      </c>
      <c r="O44" s="14">
        <f>N44*VLOOKUP('Données projet'!$B$9,Paramètres!$A$1:$I$89,3,0)*VLOOKUP('Données projet'!$B$9,Paramètres!$A$1:$I$89,5,0)</f>
        <v>122.35079999999998</v>
      </c>
      <c r="P44" s="14">
        <f t="shared" si="33"/>
        <v>32.222664179000326</v>
      </c>
      <c r="Q44" s="22">
        <f t="shared" si="53"/>
        <v>269.2154501117588</v>
      </c>
      <c r="R44" s="62">
        <f t="shared" si="0"/>
        <v>562.54878344509211</v>
      </c>
      <c r="S44" s="62">
        <f ca="1">AVERAGE(OFFSET($R$3,0,0,'Données projet'!$E$9+1,1))-AVERAGE(OFFSET($H$3,0,0,'Données projet'!$E$9+1,1))</f>
        <v>192.24617268603629</v>
      </c>
      <c r="T44" s="62">
        <f t="shared" si="34"/>
        <v>192.48585280662832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16.82806489744193</v>
      </c>
      <c r="AA44" s="23">
        <f>EXP(-LN(2)/25)*AA43+(1-EXP(-LN(2)/25))/(LN(2)/25)*Calculateur!V44*Calculateur!X44*VLOOKUP('Données projet'!$B$9,Paramètres!$A$1:$I$89,3,0)*0.475*44/12</f>
        <v>10.441136953804325</v>
      </c>
      <c r="AB44" s="23">
        <f>EXP(-LN(2)/2)*AB43+(1-EXP(-LN(2)/2))/(LN(2)/2)*V44*Y44*VLOOKUP('Données projet'!$B$9,Paramètres!$A$1:$I$89,3,0)*0.475*44/12</f>
        <v>2.3276452468734874</v>
      </c>
      <c r="AC44" s="24">
        <f t="shared" si="3"/>
        <v>29.596847098119742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1.9999999998958629E-3</v>
      </c>
      <c r="AJ44" s="14">
        <f>AI44*VLOOKUP('Données projet'!$B$10,Paramètres!$A$1:$I$89,3,0)*VLOOKUP('Données projet'!$B$10,Paramètres!$A$1:$I$89,5,0)</f>
        <v>1.195999999937726E-3</v>
      </c>
      <c r="AK44" s="14">
        <f t="shared" si="35"/>
        <v>1.2062444695752218E-3</v>
      </c>
      <c r="AL44" s="22">
        <f t="shared" si="4"/>
        <v>4.1839091177350513E-3</v>
      </c>
      <c r="AM44" s="62">
        <f t="shared" si="5"/>
        <v>293.33751724245104</v>
      </c>
      <c r="AN44" s="62">
        <f ca="1">AVERAGE(OFFSET($AM$3,0,0,'Données projet'!$E$10+1,1))-AVERAGE(OFFSET($H$3,0,0,'Données projet'!$E$10+1,1))</f>
        <v>164.64952352018145</v>
      </c>
      <c r="AO44" s="62">
        <f t="shared" si="36"/>
        <v>280.08682720086921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64.104665756708698</v>
      </c>
      <c r="AV44" s="23">
        <f>EXP(-LN(2)/25)*AV43+(1-EXP(-LN(2)/25))/(LN(2)/25)*Calculateur!AQ44*Calculateur!AS44*VLOOKUP('Données projet'!$B$10,Paramètres!$A$1:$I$89,3,0)*0.475*44/12</f>
        <v>23.71172695263412</v>
      </c>
      <c r="AW44" s="23">
        <f>EXP(-LN(2)/2)*AW43+(1-EXP(-LN(2)/2))/(LN(2)/2)*AQ44*AT44*VLOOKUP('Données projet'!$B$10,Paramètres!$A$1:$I$89,3,0)*0.475*44/12</f>
        <v>11.981550522839795</v>
      </c>
      <c r="AX44" s="23">
        <f t="shared" si="6"/>
        <v>99.797943232182618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5.4666666666666677</v>
      </c>
      <c r="BD44" s="13">
        <f>IF('Données projet'!$A$88&gt;35,BD43+BC44-BL43,IF(A44&lt;'Données projet'!$A$88,$BA$205^A44,IF(A44='Données projet'!$A$88,'Données projet'!$B$88,BD43+BC44-BL43)))</f>
        <v>70.533333333333331</v>
      </c>
      <c r="BE44" s="14">
        <f>BD44*VLOOKUP('Données projet'!$B$11,Paramètres!$A$1:$I$89,3,0)*VLOOKUP('Données projet'!$B$11,Paramètres!$A$1:$I$89,5,0)</f>
        <v>59.417280000000005</v>
      </c>
      <c r="BF44" s="14">
        <f t="shared" si="37"/>
        <v>17.020855534615848</v>
      </c>
      <c r="BG44" s="22">
        <f t="shared" si="7"/>
        <v>133.12975272278928</v>
      </c>
      <c r="BH44" s="62">
        <f t="shared" si="8"/>
        <v>426.46308605612262</v>
      </c>
      <c r="BI44" s="62">
        <f ca="1">AVERAGE(OFFSET($BH$3,0,0,'Données projet'!$E$11+1,1))-AVERAGE(OFFSET($H$3,0,0,'Données projet'!$E$11+1,1))</f>
        <v>339.58585574836434</v>
      </c>
      <c r="BJ44" s="62">
        <f t="shared" si="38"/>
        <v>42.267525972379588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0.53216989614695243</v>
      </c>
      <c r="BS44" s="24">
        <f t="shared" si="9"/>
        <v>0.53216989614695243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2.3959999999999999</v>
      </c>
      <c r="BY44" s="13">
        <f>IF('Données projet'!$A$114&gt;35,BY43+BX44-CG43,IF(A44&lt;'Données projet'!$A$114,$BV$205^A44,IF(A44='Données projet'!$A$114,'Données projet'!$B$114,BY43+BX44-CG43)))</f>
        <v>31.946000000000002</v>
      </c>
      <c r="BZ44" s="14">
        <f>BY44*VLOOKUP('Données projet'!$B$12,Paramètres!$A$1:$I$89,3,0)*VLOOKUP('Données projet'!$B$12,Paramètres!$A$1:$I$89,5,0)</f>
        <v>31.894886400000004</v>
      </c>
      <c r="CA44" s="14">
        <f t="shared" si="39"/>
        <v>9.8229061150983679</v>
      </c>
      <c r="CB44" s="22">
        <f t="shared" si="10"/>
        <v>72.658488630462998</v>
      </c>
      <c r="CC44" s="62">
        <f t="shared" si="11"/>
        <v>365.99182196379633</v>
      </c>
      <c r="CD44" s="62">
        <f ca="1">AVERAGE(OFFSET($CC$3,0,0,'Données projet'!$E$12+1,1))-AVERAGE(OFFSET($H$3,0,0,'Données projet'!$E$12+1,1))</f>
        <v>112.34884104798977</v>
      </c>
      <c r="CE44" s="62">
        <f t="shared" si="40"/>
        <v>18.665658139749326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0.1446233385960983</v>
      </c>
      <c r="CN44" s="24">
        <f t="shared" si="12"/>
        <v>0.1446233385960983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5.266111111111111</v>
      </c>
      <c r="CT44" s="13">
        <f>IF('Données projet'!$A$140&gt;35,CT43+CS44-DB43,IF(A44&lt;'Données projet'!$A$140,$CQ$205^A44,IF(A44='Données projet'!$A$140,'Données projet'!$B$140,CT43+CS44-DB43)))</f>
        <v>130.60944444444448</v>
      </c>
      <c r="CU44" s="18">
        <f>CT44*VLOOKUP('Données projet'!$B$13,Paramètres!$A$1:$I$89,3,0)*VLOOKUP('Données projet'!$B$13,Paramètres!$A$1:$I$89,5,0)</f>
        <v>142.62551333333337</v>
      </c>
      <c r="CV44" s="14">
        <f t="shared" si="41"/>
        <v>36.897821786992324</v>
      </c>
      <c r="CW44" s="22">
        <f t="shared" si="13"/>
        <v>312.66980866790055</v>
      </c>
      <c r="CX44" s="62">
        <f t="shared" si="14"/>
        <v>606.00314200123387</v>
      </c>
      <c r="CY44" s="62">
        <f ca="1">AVERAGE(OFFSET($CX$3,0,0,'Données projet'!$E$13+1,1))-AVERAGE(OFFSET($H$3,0,0,'Données projet'!$E$13+1,1))</f>
        <v>205.21073681197737</v>
      </c>
      <c r="CZ44" s="62">
        <f t="shared" si="42"/>
        <v>175.16446313750316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1.6005689716197062</v>
      </c>
      <c r="DH44" s="23">
        <f>EXP(-LN(2)/2)*DH43+(1-EXP(-LN(2)/2))/(LN(2)/2)*DB44*DE44*VLOOKUP('Données projet'!$B$13,Paramètres!$A$1:$I$89,3,0)*0.475*44/12</f>
        <v>0.15387846165530686</v>
      </c>
      <c r="DI44" s="24">
        <f t="shared" si="15"/>
        <v>1.7544474332750131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8.2880000000000003</v>
      </c>
      <c r="DO44" s="13">
        <f>IF('Données projet'!$A$166&gt;35,DO43+DN44-DW43,IF(A44&lt;'Données projet'!$A$166,$DL$205^A44,IF(A44='Données projet'!$A$166,'Données projet'!$B$166,DO43+DN44-DW43)))</f>
        <v>153.72800000000004</v>
      </c>
      <c r="DP44" s="18">
        <f>DO44*VLOOKUP('Données projet'!$B$14,Paramètres!$A$1:$I$89,3,0)*VLOOKUP('Données projet'!$B$14,Paramètres!$A$1:$I$89,5,0)</f>
        <v>124.70415360000004</v>
      </c>
      <c r="DQ44" s="14">
        <f t="shared" si="43"/>
        <v>32.769698446472987</v>
      </c>
      <c r="DR44" s="22">
        <f t="shared" si="16"/>
        <v>274.2669589809405</v>
      </c>
      <c r="DS44" s="62">
        <f t="shared" si="17"/>
        <v>567.60029231427382</v>
      </c>
      <c r="DT44" s="62">
        <f ca="1">AVERAGE(OFFSET($DS$3,0,0,'Données projet'!$E$14+1,1))-AVERAGE(OFFSET($H$3,0,0,'Données projet'!$E$14+1,1))</f>
        <v>223.63222290670075</v>
      </c>
      <c r="DU44" s="62">
        <f t="shared" si="44"/>
        <v>290.02663909417248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5.860238203457774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9.2789069222385692</v>
      </c>
      <c r="ED44" s="24">
        <f t="shared" si="18"/>
        <v>15.139145125696343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309.38870746282663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11.800000000000002</v>
      </c>
      <c r="N45" s="14">
        <f>IF('Données projet'!$A$36&gt;35,N44+M45-V44,IF(A45&lt;'Données projet'!$A$36,$K$205^A45,IF(A45='Données projet'!$A$36,'Données projet'!$B$36,N44+M45-V44)))</f>
        <v>216.39999999999998</v>
      </c>
      <c r="O45" s="14">
        <f>N45*VLOOKUP('Données projet'!$B$9,Paramètres!$A$1:$I$89,3,0)*VLOOKUP('Données projet'!$B$9,Paramètres!$A$1:$I$89,5,0)</f>
        <v>129.40719999999999</v>
      </c>
      <c r="P45" s="14">
        <f t="shared" si="33"/>
        <v>33.859344242503859</v>
      </c>
      <c r="Q45" s="22">
        <f t="shared" si="53"/>
        <v>284.35589788902752</v>
      </c>
      <c r="R45" s="62">
        <f t="shared" si="0"/>
        <v>577.68923122236083</v>
      </c>
      <c r="S45" s="62">
        <f ca="1">AVERAGE(OFFSET($R$3,0,0,'Données projet'!$E$9+1,1))-AVERAGE(OFFSET($H$3,0,0,'Données projet'!$E$9+1,1))</f>
        <v>192.24617268603629</v>
      </c>
      <c r="T45" s="62">
        <f t="shared" si="34"/>
        <v>192.48585280662832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16.498076808909186</v>
      </c>
      <c r="AA45" s="23">
        <f>EXP(-LN(2)/25)*AA44+(1-EXP(-LN(2)/25))/(LN(2)/25)*Calculateur!V45*Calculateur!X45*VLOOKUP('Données projet'!$B$9,Paramètres!$A$1:$I$89,3,0)*0.475*44/12</f>
        <v>10.155623514727017</v>
      </c>
      <c r="AB45" s="23">
        <f>EXP(-LN(2)/2)*AB44+(1-EXP(-LN(2)/2))/(LN(2)/2)*V45*Y45*VLOOKUP('Données projet'!$B$9,Paramètres!$A$1:$I$89,3,0)*0.475*44/12</f>
        <v>1.6458937382608785</v>
      </c>
      <c r="AC45" s="24">
        <f t="shared" si="3"/>
        <v>28.299594061897078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1.9999999998958629E-3</v>
      </c>
      <c r="AJ45" s="14">
        <f>AI45*VLOOKUP('Données projet'!$B$10,Paramètres!$A$1:$I$89,3,0)*VLOOKUP('Données projet'!$B$10,Paramètres!$A$1:$I$89,5,0)</f>
        <v>1.195999999937726E-3</v>
      </c>
      <c r="AK45" s="14">
        <f t="shared" si="35"/>
        <v>1.2062444695752218E-3</v>
      </c>
      <c r="AL45" s="22">
        <f t="shared" si="4"/>
        <v>4.1839091177350513E-3</v>
      </c>
      <c r="AM45" s="62">
        <f t="shared" si="5"/>
        <v>293.33751724245104</v>
      </c>
      <c r="AN45" s="62">
        <f ca="1">AVERAGE(OFFSET($AM$3,0,0,'Données projet'!$E$10+1,1))-AVERAGE(OFFSET($H$3,0,0,'Données projet'!$E$10+1,1))</f>
        <v>164.64952352018145</v>
      </c>
      <c r="AO45" s="62">
        <f t="shared" si="36"/>
        <v>280.08682720086921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62.847612361204952</v>
      </c>
      <c r="AV45" s="23">
        <f>EXP(-LN(2)/25)*AV44+(1-EXP(-LN(2)/25))/(LN(2)/25)*Calculateur!AQ45*Calculateur!AS45*VLOOKUP('Données projet'!$B$10,Paramètres!$A$1:$I$89,3,0)*0.475*44/12</f>
        <v>23.063328532168814</v>
      </c>
      <c r="AW45" s="23">
        <f>EXP(-LN(2)/2)*AW44+(1-EXP(-LN(2)/2))/(LN(2)/2)*AQ45*AT45*VLOOKUP('Données projet'!$B$10,Paramètres!$A$1:$I$89,3,0)*0.475*44/12</f>
        <v>8.4722356238292438</v>
      </c>
      <c r="AX45" s="23">
        <f t="shared" si="6"/>
        <v>94.383176517203012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76</v>
      </c>
      <c r="BB45" s="13">
        <f>VLOOKUP(A45,'Données projet'!$A$87:$I$107,9,0)</f>
        <v>5.4666666666666677</v>
      </c>
      <c r="BC45" s="13">
        <f t="array" ref="BC45">INDEX(BB:BB,MIN(IF(ISNUMBER(BB45:BB241),ROW(BB45:BB241),"")))</f>
        <v>5.4666666666666677</v>
      </c>
      <c r="BD45" s="13">
        <f>IF('Données projet'!$A$88&gt;35,BD44+BC45-BL44,IF(A45&lt;'Données projet'!$A$88,$BA$205^A45,IF(A45='Données projet'!$A$88,'Données projet'!$B$88,BD44+BC45-BL44)))</f>
        <v>76</v>
      </c>
      <c r="BE45" s="14">
        <f>BD45*VLOOKUP('Données projet'!$B$11,Paramètres!$A$1:$I$89,3,0)*VLOOKUP('Données projet'!$B$11,Paramètres!$A$1:$I$89,5,0)</f>
        <v>64.022400000000019</v>
      </c>
      <c r="BF45" s="14">
        <f t="shared" si="37"/>
        <v>18.181385543312242</v>
      </c>
      <c r="BG45" s="22">
        <f t="shared" si="7"/>
        <v>143.17159315460219</v>
      </c>
      <c r="BH45" s="62">
        <f t="shared" si="8"/>
        <v>436.50492648793551</v>
      </c>
      <c r="BI45" s="62">
        <f ca="1">AVERAGE(OFFSET($BH$3,0,0,'Données projet'!$E$11+1,1))-AVERAGE(OFFSET($H$3,0,0,'Données projet'!$E$11+1,1))</f>
        <v>339.58585574836434</v>
      </c>
      <c r="BJ45" s="62">
        <f t="shared" si="38"/>
        <v>42.267525972379588</v>
      </c>
      <c r="BK45" s="16">
        <f>IF(ISNA(VLOOKUP(A45,'Données projet'!$A$87:$I$107,3,0)),0,VLOOKUP(A45,'Données projet'!$A$87:$I$107,3,0))</f>
        <v>3</v>
      </c>
      <c r="BL45" s="16">
        <f>IF(ISNA(VLOOKUP(A45,'Données projet'!$A$87:$I$107,4,0)),0,VLOOKUP(A45,'Données projet'!$A$87:$I$107,4,0))</f>
        <v>16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0.3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4.1914708920540296</v>
      </c>
      <c r="BS45" s="24">
        <f t="shared" si="9"/>
        <v>4.1914708920540296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2.3959999999999999</v>
      </c>
      <c r="BY45" s="13">
        <f>IF('Données projet'!$A$114&gt;35,BY44+BX45-CG44,IF(A45&lt;'Données projet'!$A$114,$BV$205^A45,IF(A45='Données projet'!$A$114,'Données projet'!$B$114,BY44+BX45-CG44)))</f>
        <v>34.341999999999999</v>
      </c>
      <c r="BZ45" s="14">
        <f>BY45*VLOOKUP('Données projet'!$B$12,Paramètres!$A$1:$I$89,3,0)*VLOOKUP('Données projet'!$B$12,Paramètres!$A$1:$I$89,5,0)</f>
        <v>34.287052800000005</v>
      </c>
      <c r="CA45" s="14">
        <f t="shared" si="39"/>
        <v>10.471118414329494</v>
      </c>
      <c r="CB45" s="22">
        <f t="shared" si="10"/>
        <v>77.953814864957209</v>
      </c>
      <c r="CC45" s="62">
        <f t="shared" si="11"/>
        <v>371.28714819829054</v>
      </c>
      <c r="CD45" s="62">
        <f ca="1">AVERAGE(OFFSET($CC$3,0,0,'Données projet'!$E$12+1,1))-AVERAGE(OFFSET($H$3,0,0,'Données projet'!$E$12+1,1))</f>
        <v>112.34884104798977</v>
      </c>
      <c r="CE45" s="62">
        <f t="shared" si="40"/>
        <v>18.665658139749326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0.10226414343913925</v>
      </c>
      <c r="CN45" s="24">
        <f t="shared" si="12"/>
        <v>0.10226414343913925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5.266111111111111</v>
      </c>
      <c r="CT45" s="13">
        <f>IF('Données projet'!$A$140&gt;35,CT44+CS45-DB44,IF(A45&lt;'Données projet'!$A$140,$CQ$205^A45,IF(A45='Données projet'!$A$140,'Données projet'!$B$140,CT44+CS45-DB44)))</f>
        <v>135.87555555555559</v>
      </c>
      <c r="CU45" s="18">
        <f>CT45*VLOOKUP('Données projet'!$B$13,Paramètres!$A$1:$I$89,3,0)*VLOOKUP('Données projet'!$B$13,Paramètres!$A$1:$I$89,5,0)</f>
        <v>148.37610666666669</v>
      </c>
      <c r="CV45" s="14">
        <f t="shared" si="41"/>
        <v>38.209316573105625</v>
      </c>
      <c r="CW45" s="22">
        <f t="shared" si="13"/>
        <v>324.96961214260341</v>
      </c>
      <c r="CX45" s="62">
        <f t="shared" si="14"/>
        <v>618.30294547593667</v>
      </c>
      <c r="CY45" s="62">
        <f ca="1">AVERAGE(OFFSET($CX$3,0,0,'Données projet'!$E$13+1,1))-AVERAGE(OFFSET($H$3,0,0,'Données projet'!$E$13+1,1))</f>
        <v>205.21073681197737</v>
      </c>
      <c r="CZ45" s="62">
        <f t="shared" si="42"/>
        <v>175.16446313750316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1.5568013289205014</v>
      </c>
      <c r="DH45" s="23">
        <f>EXP(-LN(2)/2)*DH44+(1-EXP(-LN(2)/2))/(LN(2)/2)*DB45*DE45*VLOOKUP('Données projet'!$B$13,Paramètres!$A$1:$I$89,3,0)*0.475*44/12</f>
        <v>0.10880850371502161</v>
      </c>
      <c r="DI45" s="24">
        <f t="shared" si="15"/>
        <v>1.6656098326355231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8.2880000000000003</v>
      </c>
      <c r="DO45" s="13">
        <f>IF('Données projet'!$A$166&gt;35,DO44+DN45-DW44,IF(A45&lt;'Données projet'!$A$166,$DL$205^A45,IF(A45='Données projet'!$A$166,'Données projet'!$B$166,DO44+DN45-DW44)))</f>
        <v>162.01600000000005</v>
      </c>
      <c r="DP45" s="18">
        <f>DO45*VLOOKUP('Données projet'!$B$14,Paramètres!$A$1:$I$89,3,0)*VLOOKUP('Données projet'!$B$14,Paramètres!$A$1:$I$89,5,0)</f>
        <v>131.42737920000005</v>
      </c>
      <c r="DQ45" s="14">
        <f t="shared" si="43"/>
        <v>34.325974845555059</v>
      </c>
      <c r="DR45" s="22">
        <f t="shared" si="16"/>
        <v>288.68709162934181</v>
      </c>
      <c r="DS45" s="62">
        <f t="shared" si="17"/>
        <v>582.02042496267518</v>
      </c>
      <c r="DT45" s="62">
        <f ca="1">AVERAGE(OFFSET($DS$3,0,0,'Données projet'!$E$14+1,1))-AVERAGE(OFFSET($H$3,0,0,'Données projet'!$E$14+1,1))</f>
        <v>223.63222290670075</v>
      </c>
      <c r="DU45" s="62">
        <f t="shared" si="44"/>
        <v>290.02663909417248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5.7453225066803295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6.5611780067136891</v>
      </c>
      <c r="ED45" s="24">
        <f t="shared" si="18"/>
        <v>12.306500513394019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310.608199983867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11.800000000000002</v>
      </c>
      <c r="N46" s="14">
        <f>IF('Données projet'!$A$36&gt;35,N45+M46-V45,IF(A46&lt;'Données projet'!$A$36,$K$205^A46,IF(A46='Données projet'!$A$36,'Données projet'!$B$36,N45+M46-V45)))</f>
        <v>228.2</v>
      </c>
      <c r="O46" s="14">
        <f>N46*VLOOKUP('Données projet'!$B$9,Paramètres!$A$1:$I$89,3,0)*VLOOKUP('Données projet'!$B$9,Paramètres!$A$1:$I$89,5,0)</f>
        <v>136.46359999999999</v>
      </c>
      <c r="P46" s="14">
        <f t="shared" si="33"/>
        <v>35.485663555001167</v>
      </c>
      <c r="Q46" s="22">
        <f t="shared" si="53"/>
        <v>299.478300691627</v>
      </c>
      <c r="R46" s="62">
        <f t="shared" si="0"/>
        <v>592.81163402496031</v>
      </c>
      <c r="S46" s="62">
        <f ca="1">AVERAGE(OFFSET($R$3,0,0,'Données projet'!$E$9+1,1))-AVERAGE(OFFSET($H$3,0,0,'Données projet'!$E$9+1,1))</f>
        <v>192.24617268603629</v>
      </c>
      <c r="T46" s="62">
        <f t="shared" si="34"/>
        <v>192.48585280662832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16.17455958551971</v>
      </c>
      <c r="AA46" s="23">
        <f>EXP(-LN(2)/25)*AA45+(1-EXP(-LN(2)/25))/(LN(2)/25)*Calculateur!V46*Calculateur!X46*VLOOKUP('Données projet'!$B$9,Paramètres!$A$1:$I$89,3,0)*0.475*44/12</f>
        <v>9.8779174556557763</v>
      </c>
      <c r="AB46" s="23">
        <f>EXP(-LN(2)/2)*AB45+(1-EXP(-LN(2)/2))/(LN(2)/2)*V46*Y46*VLOOKUP('Données projet'!$B$9,Paramètres!$A$1:$I$89,3,0)*0.475*44/12</f>
        <v>1.1638226234367437</v>
      </c>
      <c r="AC46" s="24">
        <f t="shared" si="3"/>
        <v>27.216299664612229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1.9999999998958629E-3</v>
      </c>
      <c r="AJ46" s="14">
        <f>AI46*VLOOKUP('Données projet'!$B$10,Paramètres!$A$1:$I$89,3,0)*VLOOKUP('Données projet'!$B$10,Paramètres!$A$1:$I$89,5,0)</f>
        <v>1.195999999937726E-3</v>
      </c>
      <c r="AK46" s="14">
        <f t="shared" si="35"/>
        <v>1.2062444695752218E-3</v>
      </c>
      <c r="AL46" s="22">
        <f t="shared" si="4"/>
        <v>4.1839091177350513E-3</v>
      </c>
      <c r="AM46" s="62">
        <f t="shared" si="5"/>
        <v>293.33751724245104</v>
      </c>
      <c r="AN46" s="62">
        <f ca="1">AVERAGE(OFFSET($AM$3,0,0,'Données projet'!$E$10+1,1))-AVERAGE(OFFSET($H$3,0,0,'Données projet'!$E$10+1,1))</f>
        <v>164.64952352018145</v>
      </c>
      <c r="AO46" s="62">
        <f t="shared" si="36"/>
        <v>280.08682720086921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61.61520901606017</v>
      </c>
      <c r="AV46" s="23">
        <f>EXP(-LN(2)/25)*AV45+(1-EXP(-LN(2)/25))/(LN(2)/25)*Calculateur!AQ46*Calculateur!AS46*VLOOKUP('Données projet'!$B$10,Paramètres!$A$1:$I$89,3,0)*0.475*44/12</f>
        <v>22.432660600608923</v>
      </c>
      <c r="AW46" s="23">
        <f>EXP(-LN(2)/2)*AW45+(1-EXP(-LN(2)/2))/(LN(2)/2)*AQ46*AT46*VLOOKUP('Données projet'!$B$10,Paramètres!$A$1:$I$89,3,0)*0.475*44/12</f>
        <v>5.9907752614198984</v>
      </c>
      <c r="AX46" s="23">
        <f t="shared" si="6"/>
        <v>90.038644878088988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</v>
      </c>
      <c r="BD46" s="13">
        <f>IF('Données projet'!$A$88&gt;35,BD45+BC46-BL45,IF(A46&lt;'Données projet'!$A$88,$BA$205^A46,IF(A46='Données projet'!$A$88,'Données projet'!$B$88,BD45+BC46-BL45)))</f>
        <v>68</v>
      </c>
      <c r="BE46" s="14">
        <f>BD46*VLOOKUP('Données projet'!$B$11,Paramètres!$A$1:$I$89,3,0)*VLOOKUP('Données projet'!$B$11,Paramètres!$A$1:$I$89,5,0)</f>
        <v>57.283200000000001</v>
      </c>
      <c r="BF46" s="14">
        <f t="shared" si="37"/>
        <v>16.479535314783966</v>
      </c>
      <c r="BG46" s="22">
        <f t="shared" si="7"/>
        <v>128.47009733991538</v>
      </c>
      <c r="BH46" s="62">
        <f t="shared" si="8"/>
        <v>421.80343067324873</v>
      </c>
      <c r="BI46" s="62">
        <f ca="1">AVERAGE(OFFSET($BH$3,0,0,'Données projet'!$E$11+1,1))-AVERAGE(OFFSET($H$3,0,0,'Données projet'!$E$11+1,1))</f>
        <v>339.58585574836434</v>
      </c>
      <c r="BJ46" s="62">
        <f t="shared" si="38"/>
        <v>42.267525972379588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2.9638174909174322</v>
      </c>
      <c r="BS46" s="24">
        <f t="shared" si="9"/>
        <v>2.9638174909174322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2.3959999999999999</v>
      </c>
      <c r="BY46" s="13">
        <f>IF('Données projet'!$A$114&gt;35,BY45+BX46-CG45,IF(A46&lt;'Données projet'!$A$114,$BV$205^A46,IF(A46='Données projet'!$A$114,'Données projet'!$B$114,BY45+BX46-CG45)))</f>
        <v>36.738</v>
      </c>
      <c r="BZ46" s="14">
        <f>BY46*VLOOKUP('Données projet'!$B$12,Paramètres!$A$1:$I$89,3,0)*VLOOKUP('Données projet'!$B$12,Paramètres!$A$1:$I$89,5,0)</f>
        <v>36.679219199999999</v>
      </c>
      <c r="CA46" s="14">
        <f t="shared" si="39"/>
        <v>11.114083350351546</v>
      </c>
      <c r="CB46" s="22">
        <f t="shared" si="10"/>
        <v>83.240001941862261</v>
      </c>
      <c r="CC46" s="62">
        <f t="shared" si="11"/>
        <v>376.57333527519557</v>
      </c>
      <c r="CD46" s="62">
        <f ca="1">AVERAGE(OFFSET($CC$3,0,0,'Données projet'!$E$12+1,1))-AVERAGE(OFFSET($H$3,0,0,'Données projet'!$E$12+1,1))</f>
        <v>112.34884104798977</v>
      </c>
      <c r="CE46" s="62">
        <f t="shared" si="40"/>
        <v>18.665658139749326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7.231166929804915E-2</v>
      </c>
      <c r="CN46" s="24">
        <f t="shared" si="12"/>
        <v>7.231166929804915E-2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5.266111111111111</v>
      </c>
      <c r="CT46" s="13">
        <f>IF('Données projet'!$A$140&gt;35,CT45+CS46-DB45,IF(A46&lt;'Données projet'!$A$140,$CQ$205^A46,IF(A46='Données projet'!$A$140,'Données projet'!$B$140,CT45+CS46-DB45)))</f>
        <v>141.14166666666671</v>
      </c>
      <c r="CU46" s="18">
        <f>CT46*VLOOKUP('Données projet'!$B$13,Paramètres!$A$1:$I$89,3,0)*VLOOKUP('Données projet'!$B$13,Paramètres!$A$1:$I$89,5,0)</f>
        <v>154.12670000000006</v>
      </c>
      <c r="CV46" s="14">
        <f t="shared" si="41"/>
        <v>39.514906577648532</v>
      </c>
      <c r="CW46" s="22">
        <f t="shared" si="13"/>
        <v>337.25913145607126</v>
      </c>
      <c r="CX46" s="62">
        <f t="shared" si="14"/>
        <v>630.59246478940463</v>
      </c>
      <c r="CY46" s="62">
        <f ca="1">AVERAGE(OFFSET($CX$3,0,0,'Données projet'!$E$13+1,1))-AVERAGE(OFFSET($H$3,0,0,'Données projet'!$E$13+1,1))</f>
        <v>205.21073681197737</v>
      </c>
      <c r="CZ46" s="62">
        <f t="shared" si="42"/>
        <v>175.16446313750316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1.5142305147125465</v>
      </c>
      <c r="DH46" s="23">
        <f>EXP(-LN(2)/2)*DH45+(1-EXP(-LN(2)/2))/(LN(2)/2)*DB46*DE46*VLOOKUP('Données projet'!$B$13,Paramètres!$A$1:$I$89,3,0)*0.475*44/12</f>
        <v>7.6939230827653429E-2</v>
      </c>
      <c r="DI46" s="24">
        <f t="shared" si="15"/>
        <v>1.5911697455402001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8.2880000000000003</v>
      </c>
      <c r="DO46" s="13">
        <f>IF('Données projet'!$A$166&gt;35,DO45+DN46-DW45,IF(A46&lt;'Données projet'!$A$166,$DL$205^A46,IF(A46='Données projet'!$A$166,'Données projet'!$B$166,DO45+DN46-DW45)))</f>
        <v>170.30400000000006</v>
      </c>
      <c r="DP46" s="18">
        <f>DO46*VLOOKUP('Données projet'!$B$14,Paramètres!$A$1:$I$89,3,0)*VLOOKUP('Données projet'!$B$14,Paramètres!$A$1:$I$89,5,0)</f>
        <v>138.15060480000005</v>
      </c>
      <c r="DQ46" s="14">
        <f t="shared" si="43"/>
        <v>35.873007685903588</v>
      </c>
      <c r="DR46" s="22">
        <f t="shared" si="16"/>
        <v>303.09112507961555</v>
      </c>
      <c r="DS46" s="62">
        <f t="shared" si="17"/>
        <v>596.42445841294887</v>
      </c>
      <c r="DT46" s="62">
        <f ca="1">AVERAGE(OFFSET($DS$3,0,0,'Données projet'!$E$14+1,1))-AVERAGE(OFFSET($H$3,0,0,'Données projet'!$E$14+1,1))</f>
        <v>223.63222290670075</v>
      </c>
      <c r="DU46" s="62">
        <f t="shared" si="44"/>
        <v>290.02663909417248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5.6326602366250365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4.6394534611192846</v>
      </c>
      <c r="ED46" s="24">
        <f t="shared" si="18"/>
        <v>10.27211369774432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311.82696648039632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11.800000000000002</v>
      </c>
      <c r="N47" s="14">
        <f>IF('Données projet'!$A$36&gt;35,N46+M47-V46,IF(A47&lt;'Données projet'!$A$36,$K$205^A47,IF(A47='Données projet'!$A$36,'Données projet'!$B$36,N46+M47-V46)))</f>
        <v>240</v>
      </c>
      <c r="O47" s="14">
        <f>N47*VLOOKUP('Données projet'!$B$9,Paramètres!$A$1:$I$89,3,0)*VLOOKUP('Données projet'!$B$9,Paramètres!$A$1:$I$89,5,0)</f>
        <v>143.52000000000001</v>
      </c>
      <c r="P47" s="14">
        <f t="shared" si="33"/>
        <v>37.102218970378601</v>
      </c>
      <c r="Q47" s="22">
        <f t="shared" si="53"/>
        <v>314.58369804007606</v>
      </c>
      <c r="R47" s="62">
        <f t="shared" si="0"/>
        <v>607.91703137340937</v>
      </c>
      <c r="S47" s="62">
        <f ca="1">AVERAGE(OFFSET($R$3,0,0,'Données projet'!$E$9+1,1))-AVERAGE(OFFSET($H$3,0,0,'Données projet'!$E$9+1,1))</f>
        <v>192.24617268603629</v>
      </c>
      <c r="T47" s="62">
        <f t="shared" si="34"/>
        <v>192.48585280662832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15.857386337554876</v>
      </c>
      <c r="AA47" s="23">
        <f>EXP(-LN(2)/25)*AA46+(1-EXP(-LN(2)/25))/(LN(2)/25)*Calculateur!V47*Calculateur!X47*VLOOKUP('Données projet'!$B$9,Paramètres!$A$1:$I$89,3,0)*0.475*44/12</f>
        <v>9.6078052833737662</v>
      </c>
      <c r="AB47" s="23">
        <f>EXP(-LN(2)/2)*AB46+(1-EXP(-LN(2)/2))/(LN(2)/2)*V47*Y47*VLOOKUP('Données projet'!$B$9,Paramètres!$A$1:$I$89,3,0)*0.475*44/12</f>
        <v>0.82294686913043924</v>
      </c>
      <c r="AC47" s="24">
        <f t="shared" si="3"/>
        <v>26.288138490059083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1.9999999998958629E-3</v>
      </c>
      <c r="AJ47" s="14">
        <f>AI47*VLOOKUP('Données projet'!$B$10,Paramètres!$A$1:$I$89,3,0)*VLOOKUP('Données projet'!$B$10,Paramètres!$A$1:$I$89,5,0)</f>
        <v>1.195999999937726E-3</v>
      </c>
      <c r="AK47" s="14">
        <f t="shared" si="35"/>
        <v>1.2062444695752218E-3</v>
      </c>
      <c r="AL47" s="22">
        <f t="shared" si="4"/>
        <v>4.1839091177350513E-3</v>
      </c>
      <c r="AM47" s="62">
        <f t="shared" si="5"/>
        <v>293.33751724245104</v>
      </c>
      <c r="AN47" s="62">
        <f ca="1">AVERAGE(OFFSET($AM$3,0,0,'Données projet'!$E$10+1,1))-AVERAGE(OFFSET($H$3,0,0,'Données projet'!$E$10+1,1))</f>
        <v>164.64952352018145</v>
      </c>
      <c r="AO47" s="62">
        <f t="shared" si="36"/>
        <v>280.08682720086921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60.40697234882186</v>
      </c>
      <c r="AV47" s="23">
        <f>EXP(-LN(2)/25)*AV46+(1-EXP(-LN(2)/25))/(LN(2)/25)*Calculateur!AQ47*Calculateur!AS47*VLOOKUP('Données projet'!$B$10,Paramètres!$A$1:$I$89,3,0)*0.475*44/12</f>
        <v>21.81923831680292</v>
      </c>
      <c r="AW47" s="23">
        <f>EXP(-LN(2)/2)*AW46+(1-EXP(-LN(2)/2))/(LN(2)/2)*AQ47*AT47*VLOOKUP('Données projet'!$B$10,Paramètres!$A$1:$I$89,3,0)*0.475*44/12</f>
        <v>4.2361178119146228</v>
      </c>
      <c r="AX47" s="23">
        <f t="shared" si="6"/>
        <v>86.462328477539401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</v>
      </c>
      <c r="BD47" s="13">
        <f>IF('Données projet'!$A$88&gt;35,BD46+BC47-BL46,IF(A47&lt;'Données projet'!$A$88,$BA$205^A47,IF(A47='Données projet'!$A$88,'Données projet'!$B$88,BD46+BC47-BL46)))</f>
        <v>76</v>
      </c>
      <c r="BE47" s="14">
        <f>BD47*VLOOKUP('Données projet'!$B$11,Paramètres!$A$1:$I$89,3,0)*VLOOKUP('Données projet'!$B$11,Paramètres!$A$1:$I$89,5,0)</f>
        <v>64.022400000000019</v>
      </c>
      <c r="BF47" s="14">
        <f t="shared" si="37"/>
        <v>18.181385543312242</v>
      </c>
      <c r="BG47" s="22">
        <f t="shared" si="7"/>
        <v>143.17159315460219</v>
      </c>
      <c r="BH47" s="62">
        <f t="shared" si="8"/>
        <v>436.50492648793551</v>
      </c>
      <c r="BI47" s="62">
        <f ca="1">AVERAGE(OFFSET($BH$3,0,0,'Données projet'!$E$11+1,1))-AVERAGE(OFFSET($H$3,0,0,'Données projet'!$E$11+1,1))</f>
        <v>339.58585574836434</v>
      </c>
      <c r="BJ47" s="62">
        <f t="shared" si="38"/>
        <v>42.267525972379588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2.0957354460270152</v>
      </c>
      <c r="BS47" s="24">
        <f t="shared" si="9"/>
        <v>2.0957354460270152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2.3959999999999999</v>
      </c>
      <c r="BY47" s="13">
        <f>IF('Données projet'!$A$114&gt;35,BY46+BX47-CG46,IF(A47&lt;'Données projet'!$A$114,$BV$205^A47,IF(A47='Données projet'!$A$114,'Données projet'!$B$114,BY46+BX47-CG46)))</f>
        <v>39.134</v>
      </c>
      <c r="BZ47" s="14">
        <f>BY47*VLOOKUP('Données projet'!$B$12,Paramètres!$A$1:$I$89,3,0)*VLOOKUP('Données projet'!$B$12,Paramètres!$A$1:$I$89,5,0)</f>
        <v>39.071385600000006</v>
      </c>
      <c r="CA47" s="14">
        <f t="shared" si="39"/>
        <v>11.752182095142137</v>
      </c>
      <c r="CB47" s="22">
        <f t="shared" si="10"/>
        <v>88.517713735705897</v>
      </c>
      <c r="CC47" s="62">
        <f t="shared" si="11"/>
        <v>381.85104706903923</v>
      </c>
      <c r="CD47" s="62">
        <f ca="1">AVERAGE(OFFSET($CC$3,0,0,'Données projet'!$E$12+1,1))-AVERAGE(OFFSET($H$3,0,0,'Données projet'!$E$12+1,1))</f>
        <v>112.34884104798977</v>
      </c>
      <c r="CE47" s="62">
        <f t="shared" si="40"/>
        <v>18.665658139749326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5.1132071719569627E-2</v>
      </c>
      <c r="CN47" s="24">
        <f t="shared" si="12"/>
        <v>5.1132071719569627E-2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5.266111111111111</v>
      </c>
      <c r="CT47" s="13">
        <f>IF('Données projet'!$A$140&gt;35,CT46+CS47-DB46,IF(A47&lt;'Données projet'!$A$140,$CQ$205^A47,IF(A47='Données projet'!$A$140,'Données projet'!$B$140,CT46+CS47-DB46)))</f>
        <v>146.40777777777782</v>
      </c>
      <c r="CU47" s="18">
        <f>CT47*VLOOKUP('Données projet'!$B$13,Paramètres!$A$1:$I$89,3,0)*VLOOKUP('Données projet'!$B$13,Paramètres!$A$1:$I$89,5,0)</f>
        <v>159.87729333333337</v>
      </c>
      <c r="CV47" s="14">
        <f t="shared" si="41"/>
        <v>40.814837339818332</v>
      </c>
      <c r="CW47" s="22">
        <f t="shared" si="13"/>
        <v>349.53879425573922</v>
      </c>
      <c r="CX47" s="62">
        <f t="shared" si="14"/>
        <v>642.87212758907253</v>
      </c>
      <c r="CY47" s="62">
        <f ca="1">AVERAGE(OFFSET($CX$3,0,0,'Données projet'!$E$13+1,1))-AVERAGE(OFFSET($H$3,0,0,'Données projet'!$E$13+1,1))</f>
        <v>205.21073681197737</v>
      </c>
      <c r="CZ47" s="62">
        <f t="shared" si="42"/>
        <v>175.16446313750316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1.4728238016578099</v>
      </c>
      <c r="DH47" s="23">
        <f>EXP(-LN(2)/2)*DH46+(1-EXP(-LN(2)/2))/(LN(2)/2)*DB47*DE47*VLOOKUP('Données projet'!$B$13,Paramètres!$A$1:$I$89,3,0)*0.475*44/12</f>
        <v>5.4404251857510806E-2</v>
      </c>
      <c r="DI47" s="24">
        <f t="shared" si="15"/>
        <v>1.5272280535153206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8.2880000000000003</v>
      </c>
      <c r="DO47" s="13">
        <f>IF('Données projet'!$A$166&gt;35,DO46+DN47-DW46,IF(A47&lt;'Données projet'!$A$166,$DL$205^A47,IF(A47='Données projet'!$A$166,'Données projet'!$B$166,DO46+DN47-DW46)))</f>
        <v>178.59200000000007</v>
      </c>
      <c r="DP47" s="18">
        <f>DO47*VLOOKUP('Données projet'!$B$14,Paramètres!$A$1:$I$89,3,0)*VLOOKUP('Données projet'!$B$14,Paramètres!$A$1:$I$89,5,0)</f>
        <v>144.87383040000006</v>
      </c>
      <c r="DQ47" s="14">
        <f t="shared" si="43"/>
        <v>37.411298161042197</v>
      </c>
      <c r="DR47" s="22">
        <f t="shared" si="16"/>
        <v>317.4799322438152</v>
      </c>
      <c r="DS47" s="62">
        <f t="shared" si="17"/>
        <v>610.81326557714851</v>
      </c>
      <c r="DT47" s="62">
        <f ca="1">AVERAGE(OFFSET($DS$3,0,0,'Données projet'!$E$14+1,1))-AVERAGE(OFFSET($H$3,0,0,'Données projet'!$E$14+1,1))</f>
        <v>223.63222290670075</v>
      </c>
      <c r="DU47" s="62">
        <f t="shared" si="44"/>
        <v>290.02663909417248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5.5222072049683284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3.2805890033568446</v>
      </c>
      <c r="ED47" s="24">
        <f t="shared" si="18"/>
        <v>8.802796208325173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313.04502535249287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11.800000000000002</v>
      </c>
      <c r="N48" s="14">
        <f>IF('Données projet'!$A$36&gt;35,N47+M48-V47,IF(A48&lt;'Données projet'!$A$36,$K$205^A48,IF(A48='Données projet'!$A$36,'Données projet'!$B$36,N47+M48-V47)))</f>
        <v>251.8</v>
      </c>
      <c r="O48" s="14">
        <f>N48*VLOOKUP('Données projet'!$B$9,Paramètres!$A$1:$I$89,3,0)*VLOOKUP('Données projet'!$B$9,Paramètres!$A$1:$I$89,5,0)</f>
        <v>150.57640000000004</v>
      </c>
      <c r="P48" s="14">
        <f t="shared" si="33"/>
        <v>38.709545336200733</v>
      </c>
      <c r="Q48" s="22">
        <f t="shared" si="53"/>
        <v>329.67302146054971</v>
      </c>
      <c r="R48" s="62">
        <f t="shared" si="0"/>
        <v>623.00635479388302</v>
      </c>
      <c r="S48" s="62">
        <f ca="1">AVERAGE(OFFSET($R$3,0,0,'Données projet'!$E$9+1,1))-AVERAGE(OFFSET($H$3,0,0,'Données projet'!$E$9+1,1))</f>
        <v>192.24617268603629</v>
      </c>
      <c r="T48" s="62">
        <f t="shared" si="34"/>
        <v>192.48585280662832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15.546432663526055</v>
      </c>
      <c r="AA48" s="23">
        <f>EXP(-LN(2)/25)*AA47+(1-EXP(-LN(2)/25))/(LN(2)/25)*Calculateur!V48*Calculateur!X48*VLOOKUP('Données projet'!$B$9,Paramètres!$A$1:$I$89,3,0)*0.475*44/12</f>
        <v>9.3450793426473897</v>
      </c>
      <c r="AB48" s="23">
        <f>EXP(-LN(2)/2)*AB47+(1-EXP(-LN(2)/2))/(LN(2)/2)*V48*Y48*VLOOKUP('Données projet'!$B$9,Paramètres!$A$1:$I$89,3,0)*0.475*44/12</f>
        <v>0.58191131171837185</v>
      </c>
      <c r="AC48" s="24">
        <f t="shared" si="3"/>
        <v>25.473423317891815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1.9999999998958629E-3</v>
      </c>
      <c r="AJ48" s="14">
        <f>AI48*VLOOKUP('Données projet'!$B$10,Paramètres!$A$1:$I$89,3,0)*VLOOKUP('Données projet'!$B$10,Paramètres!$A$1:$I$89,5,0)</f>
        <v>1.195999999937726E-3</v>
      </c>
      <c r="AK48" s="14">
        <f t="shared" si="35"/>
        <v>1.2062444695752218E-3</v>
      </c>
      <c r="AL48" s="22">
        <f t="shared" si="4"/>
        <v>4.1839091177350513E-3</v>
      </c>
      <c r="AM48" s="62">
        <f t="shared" si="5"/>
        <v>293.33751724245104</v>
      </c>
      <c r="AN48" s="62">
        <f ca="1">AVERAGE(OFFSET($AM$3,0,0,'Données projet'!$E$10+1,1))-AVERAGE(OFFSET($H$3,0,0,'Données projet'!$E$10+1,1))</f>
        <v>164.64952352018145</v>
      </c>
      <c r="AO48" s="62">
        <f t="shared" si="36"/>
        <v>280.08682720086921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59.222428465676494</v>
      </c>
      <c r="AV48" s="23">
        <f>EXP(-LN(2)/25)*AV47+(1-EXP(-LN(2)/25))/(LN(2)/25)*Calculateur!AQ48*Calculateur!AS48*VLOOKUP('Données projet'!$B$10,Paramètres!$A$1:$I$89,3,0)*0.475*44/12</f>
        <v>21.222590097606069</v>
      </c>
      <c r="AW48" s="23">
        <f>EXP(-LN(2)/2)*AW47+(1-EXP(-LN(2)/2))/(LN(2)/2)*AQ48*AT48*VLOOKUP('Données projet'!$B$10,Paramètres!$A$1:$I$89,3,0)*0.475*44/12</f>
        <v>2.9953876307099501</v>
      </c>
      <c r="AX48" s="23">
        <f t="shared" si="6"/>
        <v>83.440406193992516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8</v>
      </c>
      <c r="BD48" s="13">
        <f>IF('Données projet'!$A$88&gt;35,BD47+BC48-BL47,IF(A48&lt;'Données projet'!$A$88,$BA$205^A48,IF(A48='Données projet'!$A$88,'Données projet'!$B$88,BD47+BC48-BL47)))</f>
        <v>84</v>
      </c>
      <c r="BE48" s="14">
        <f>BD48*VLOOKUP('Données projet'!$B$11,Paramètres!$A$1:$I$89,3,0)*VLOOKUP('Données projet'!$B$11,Paramètres!$A$1:$I$89,5,0)</f>
        <v>70.761600000000001</v>
      </c>
      <c r="BF48" s="14">
        <f t="shared" si="37"/>
        <v>19.862470414169767</v>
      </c>
      <c r="BG48" s="22">
        <f t="shared" si="7"/>
        <v>157.83692263801234</v>
      </c>
      <c r="BH48" s="62">
        <f t="shared" si="8"/>
        <v>451.17025597134568</v>
      </c>
      <c r="BI48" s="62">
        <f ca="1">AVERAGE(OFFSET($BH$3,0,0,'Données projet'!$E$11+1,1))-AVERAGE(OFFSET($H$3,0,0,'Données projet'!$E$11+1,1))</f>
        <v>339.58585574836434</v>
      </c>
      <c r="BJ48" s="62">
        <f t="shared" si="38"/>
        <v>42.267525972379588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1.4819087454587163</v>
      </c>
      <c r="BS48" s="24">
        <f t="shared" si="9"/>
        <v>1.4819087454587163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41.53</v>
      </c>
      <c r="BW48" s="13">
        <f>VLOOKUP(A48,'Données projet'!$A$113:$I$133,9,0)</f>
        <v>2.3959999999999999</v>
      </c>
      <c r="BX48" s="13">
        <f t="array" ref="BX48">INDEX(BW:BW,MIN(IF(ISNUMBER(BW48:BW244),ROW(BW48:BW244),"")))</f>
        <v>2.3959999999999999</v>
      </c>
      <c r="BY48" s="13">
        <f>IF('Données projet'!$A$114&gt;35,BY47+BX48-CG47,IF(A48&lt;'Données projet'!$A$114,$BV$205^A48,IF(A48='Données projet'!$A$114,'Données projet'!$B$114,BY47+BX48-CG47)))</f>
        <v>41.53</v>
      </c>
      <c r="BZ48" s="14">
        <f>BY48*VLOOKUP('Données projet'!$B$12,Paramètres!$A$1:$I$89,3,0)*VLOOKUP('Données projet'!$B$12,Paramètres!$A$1:$I$89,5,0)</f>
        <v>41.463552</v>
      </c>
      <c r="CA48" s="14">
        <f t="shared" si="39"/>
        <v>12.385746508257279</v>
      </c>
      <c r="CB48" s="22">
        <f t="shared" si="10"/>
        <v>93.787528235214765</v>
      </c>
      <c r="CC48" s="62">
        <f t="shared" si="11"/>
        <v>387.12086156854809</v>
      </c>
      <c r="CD48" s="62">
        <f ca="1">AVERAGE(OFFSET($CC$3,0,0,'Données projet'!$E$12+1,1))-AVERAGE(OFFSET($H$3,0,0,'Données projet'!$E$12+1,1))</f>
        <v>112.34884104798977</v>
      </c>
      <c r="CE48" s="62">
        <f t="shared" si="40"/>
        <v>18.665658139749326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7.22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0.3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2.0765652448090388</v>
      </c>
      <c r="CN48" s="24">
        <f t="shared" si="12"/>
        <v>2.0765652448090388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5.266111111111111</v>
      </c>
      <c r="CT48" s="13">
        <f>IF('Données projet'!$A$140&gt;35,CT47+CS48-DB47,IF(A48&lt;'Données projet'!$A$140,$CQ$205^A48,IF(A48='Données projet'!$A$140,'Données projet'!$B$140,CT47+CS48-DB47)))</f>
        <v>151.67388888888894</v>
      </c>
      <c r="CU48" s="18">
        <f>CT48*VLOOKUP('Données projet'!$B$13,Paramètres!$A$1:$I$89,3,0)*VLOOKUP('Données projet'!$B$13,Paramètres!$A$1:$I$89,5,0)</f>
        <v>165.62788666666674</v>
      </c>
      <c r="CV48" s="14">
        <f t="shared" si="41"/>
        <v>42.109335734101428</v>
      </c>
      <c r="CW48" s="22">
        <f t="shared" si="13"/>
        <v>361.80899568133788</v>
      </c>
      <c r="CX48" s="62">
        <f t="shared" si="14"/>
        <v>655.14232901467119</v>
      </c>
      <c r="CY48" s="62">
        <f ca="1">AVERAGE(OFFSET($CX$3,0,0,'Données projet'!$E$13+1,1))-AVERAGE(OFFSET($H$3,0,0,'Données projet'!$E$13+1,1))</f>
        <v>205.21073681197737</v>
      </c>
      <c r="CZ48" s="62">
        <f t="shared" si="42"/>
        <v>175.16446313750316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1.4325493573490395</v>
      </c>
      <c r="DH48" s="23">
        <f>EXP(-LN(2)/2)*DH47+(1-EXP(-LN(2)/2))/(LN(2)/2)*DB48*DE48*VLOOKUP('Données projet'!$B$13,Paramètres!$A$1:$I$89,3,0)*0.475*44/12</f>
        <v>3.8469615413826715E-2</v>
      </c>
      <c r="DI48" s="24">
        <f t="shared" si="15"/>
        <v>1.4710189727628662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8.2880000000000003</v>
      </c>
      <c r="DO48" s="13">
        <f>IF('Données projet'!$A$166&gt;35,DO47+DN48-DW47,IF(A48&lt;'Données projet'!$A$166,$DL$205^A48,IF(A48='Données projet'!$A$166,'Données projet'!$B$166,DO47+DN48-DW47)))</f>
        <v>186.88000000000008</v>
      </c>
      <c r="DP48" s="18">
        <f>DO48*VLOOKUP('Données projet'!$B$14,Paramètres!$A$1:$I$89,3,0)*VLOOKUP('Données projet'!$B$14,Paramètres!$A$1:$I$89,5,0)</f>
        <v>151.59705600000007</v>
      </c>
      <c r="DQ48" s="14">
        <f t="shared" si="43"/>
        <v>38.941298317216749</v>
      </c>
      <c r="DR48" s="22">
        <f t="shared" si="16"/>
        <v>331.85430043581931</v>
      </c>
      <c r="DS48" s="62">
        <f t="shared" si="17"/>
        <v>625.18763376915263</v>
      </c>
      <c r="DT48" s="62">
        <f ca="1">AVERAGE(OFFSET($DS$3,0,0,'Données projet'!$E$14+1,1))-AVERAGE(OFFSET($H$3,0,0,'Données projet'!$E$14+1,1))</f>
        <v>223.63222290670075</v>
      </c>
      <c r="DU48" s="62">
        <f t="shared" si="44"/>
        <v>290.02663909417248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5.4139200898927111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2.3197267305596423</v>
      </c>
      <c r="ED48" s="24">
        <f t="shared" si="18"/>
        <v>7.7336468204523534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314.26239413576309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>
        <f>VLOOKUP(A49,'Données projet'!$A$35:$I$55,2,0)</f>
        <v>263.60000000000002</v>
      </c>
      <c r="L49" s="13">
        <f>VLOOKUP(A49,'Données projet'!$A$35:$I$55,9,0)</f>
        <v>11.800000000000002</v>
      </c>
      <c r="M49" s="13">
        <f t="array" ref="M49">INDEX(L:L,MIN(IF(ISNUMBER(L49:L245),ROW(L49:L245),"")))</f>
        <v>11.800000000000002</v>
      </c>
      <c r="N49" s="14">
        <f>IF('Données projet'!$A$36&gt;35,N48+M49-V48,IF(A49&lt;'Données projet'!$A$36,$K$205^A49,IF(A49='Données projet'!$A$36,'Données projet'!$B$36,N48+M49-V48)))</f>
        <v>263.60000000000002</v>
      </c>
      <c r="O49" s="14">
        <f>N49*VLOOKUP('Données projet'!$B$9,Paramètres!$A$1:$I$89,3,0)*VLOOKUP('Données projet'!$B$9,Paramètres!$A$1:$I$89,5,0)</f>
        <v>157.63280000000003</v>
      </c>
      <c r="P49" s="14">
        <f t="shared" si="33"/>
        <v>40.308124538466352</v>
      </c>
      <c r="Q49" s="22">
        <f t="shared" si="53"/>
        <v>344.74711023782896</v>
      </c>
      <c r="R49" s="62">
        <f t="shared" si="0"/>
        <v>638.08044357116228</v>
      </c>
      <c r="S49" s="62">
        <f ca="1">AVERAGE(OFFSET($R$3,0,0,'Données projet'!$E$9+1,1))-AVERAGE(OFFSET($H$3,0,0,'Données projet'!$E$9+1,1))</f>
        <v>192.24617268603629</v>
      </c>
      <c r="T49" s="62">
        <f t="shared" si="34"/>
        <v>192.48585280662832</v>
      </c>
      <c r="U49" s="16">
        <f>IF(ISNA(VLOOKUP(A49,'Données projet'!$A$35:$I$55,3,0)),0,VLOOKUP(A49,'Données projet'!$A$35:$I$55,3,0))</f>
        <v>8</v>
      </c>
      <c r="V49" s="16">
        <f>IF(ISNA(VLOOKUP(A49,'Données projet'!$A$35:$I$55,4,0)),0,VLOOKUP(A49,'Données projet'!$A$35:$I$55,4,0))</f>
        <v>28.7</v>
      </c>
      <c r="W49" s="17">
        <f>IF(ISNA(VLOOKUP(A49,'Données projet'!$A$35:$I$55,5,0)),0%,VLOOKUP(A49,'Données projet'!$A$35:$I$55,5,0)*VLOOKUP('Données projet'!$B$9,Paramètres!$A$1:$I$89,7,0))</f>
        <v>0.27</v>
      </c>
      <c r="X49" s="17">
        <f>IF(ISNA(VLOOKUP(A49,'Données projet'!$A$35:$I$55,6,0)),0%,VLOOKUP(A49,'Données projet'!$A$35:$I$55,6,0)*VLOOKUP('Données projet'!$B$9,Paramètres!$A$1:$I$89,7,0))</f>
        <v>9.0000000000000011E-2</v>
      </c>
      <c r="Y49" s="17">
        <f>IF(ISNA(VLOOKUP(A49,'Données projet'!$A$35:$I$55,7,0)),0%,VLOOKUP(A49,'Données projet'!$A$35:$I$55,7,0))</f>
        <v>0.1</v>
      </c>
      <c r="Z49" s="23">
        <f>EXP(-LN(2)/35)*Z48+(1-EXP(-LN(2)/35))/(LN(2)/35)*V49*W49*VLOOKUP('Données projet'!$B$9,Paramètres!$A$1:$I$89,3,0)*0.475*44/12</f>
        <v>21.388746284572122</v>
      </c>
      <c r="AA49" s="23">
        <f>EXP(-LN(2)/25)*AA48+(1-EXP(-LN(2)/25))/(LN(2)/25)*Calculateur!V49*Calculateur!X49*VLOOKUP('Données projet'!$B$9,Paramètres!$A$1:$I$89,3,0)*0.475*44/12</f>
        <v>11.130526301217065</v>
      </c>
      <c r="AB49" s="23">
        <f>EXP(-LN(2)/2)*AB48+(1-EXP(-LN(2)/2))/(LN(2)/2)*V49*Y49*VLOOKUP('Données projet'!$B$9,Paramètres!$A$1:$I$89,3,0)*0.475*44/12</f>
        <v>2.3546784375179919</v>
      </c>
      <c r="AC49" s="24">
        <f t="shared" si="3"/>
        <v>34.873951023307178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1.9999999998958629E-3</v>
      </c>
      <c r="AJ49" s="14">
        <f>AI49*VLOOKUP('Données projet'!$B$10,Paramètres!$A$1:$I$89,3,0)*VLOOKUP('Données projet'!$B$10,Paramètres!$A$1:$I$89,5,0)</f>
        <v>1.195999999937726E-3</v>
      </c>
      <c r="AK49" s="14">
        <f t="shared" si="35"/>
        <v>1.2062444695752218E-3</v>
      </c>
      <c r="AL49" s="22">
        <f t="shared" si="4"/>
        <v>4.1839091177350513E-3</v>
      </c>
      <c r="AM49" s="62">
        <f t="shared" si="5"/>
        <v>293.33751724245104</v>
      </c>
      <c r="AN49" s="62">
        <f ca="1">AVERAGE(OFFSET($AM$3,0,0,'Données projet'!$E$10+1,1))-AVERAGE(OFFSET($H$3,0,0,'Données projet'!$E$10+1,1))</f>
        <v>164.64952352018145</v>
      </c>
      <c r="AO49" s="62">
        <f t="shared" si="36"/>
        <v>280.08682720086921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58.061112765579182</v>
      </c>
      <c r="AV49" s="23">
        <f>EXP(-LN(2)/25)*AV48+(1-EXP(-LN(2)/25))/(LN(2)/25)*Calculateur!AQ49*Calculateur!AS49*VLOOKUP('Données projet'!$B$10,Paramètres!$A$1:$I$89,3,0)*0.475*44/12</f>
        <v>20.642257255339523</v>
      </c>
      <c r="AW49" s="23">
        <f>EXP(-LN(2)/2)*AW48+(1-EXP(-LN(2)/2))/(LN(2)/2)*AQ49*AT49*VLOOKUP('Données projet'!$B$10,Paramètres!$A$1:$I$89,3,0)*0.475*44/12</f>
        <v>2.1180589059573118</v>
      </c>
      <c r="AX49" s="23">
        <f t="shared" si="6"/>
        <v>80.82142892687601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</v>
      </c>
      <c r="BD49" s="13">
        <f>IF('Données projet'!$A$88&gt;35,BD48+BC49-BL48,IF(A49&lt;'Données projet'!$A$88,$BA$205^A49,IF(A49='Données projet'!$A$88,'Données projet'!$B$88,BD48+BC49-BL48)))</f>
        <v>92</v>
      </c>
      <c r="BE49" s="14">
        <f>BD49*VLOOKUP('Données projet'!$B$11,Paramètres!$A$1:$I$89,3,0)*VLOOKUP('Données projet'!$B$11,Paramètres!$A$1:$I$89,5,0)</f>
        <v>77.500800000000012</v>
      </c>
      <c r="BF49" s="14">
        <f t="shared" si="37"/>
        <v>21.524992579009275</v>
      </c>
      <c r="BG49" s="22">
        <f t="shared" si="7"/>
        <v>172.46992207510786</v>
      </c>
      <c r="BH49" s="62">
        <f t="shared" si="8"/>
        <v>465.80325540844115</v>
      </c>
      <c r="BI49" s="62">
        <f ca="1">AVERAGE(OFFSET($BH$3,0,0,'Données projet'!$E$11+1,1))-AVERAGE(OFFSET($H$3,0,0,'Données projet'!$E$11+1,1))</f>
        <v>339.58585574836434</v>
      </c>
      <c r="BJ49" s="62">
        <f t="shared" si="38"/>
        <v>42.267525972379588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1.0478677230135078</v>
      </c>
      <c r="BS49" s="24">
        <f t="shared" si="9"/>
        <v>1.0478677230135078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4.9640000000000004</v>
      </c>
      <c r="BY49" s="13">
        <f>IF('Données projet'!$A$114&gt;35,BY48+BX49-CG48,IF(A49&lt;'Données projet'!$A$114,$BV$205^A49,IF(A49='Données projet'!$A$114,'Données projet'!$B$114,BY48+BX49-CG48)))</f>
        <v>39.274000000000001</v>
      </c>
      <c r="BZ49" s="14">
        <f>BY49*VLOOKUP('Données projet'!$B$12,Paramètres!$A$1:$I$89,3,0)*VLOOKUP('Données projet'!$B$12,Paramètres!$A$1:$I$89,5,0)</f>
        <v>39.211161600000004</v>
      </c>
      <c r="CA49" s="14">
        <f t="shared" si="39"/>
        <v>11.789323446535688</v>
      </c>
      <c r="CB49" s="22">
        <f t="shared" si="10"/>
        <v>88.825844789382998</v>
      </c>
      <c r="CC49" s="62">
        <f t="shared" si="11"/>
        <v>382.1591781227163</v>
      </c>
      <c r="CD49" s="62">
        <f ca="1">AVERAGE(OFFSET($CC$3,0,0,'Données projet'!$E$12+1,1))-AVERAGE(OFFSET($H$3,0,0,'Données projet'!$E$12+1,1))</f>
        <v>112.34884104798977</v>
      </c>
      <c r="CE49" s="62">
        <f t="shared" si="40"/>
        <v>18.665658139749326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1.4683533661807746</v>
      </c>
      <c r="CN49" s="24">
        <f t="shared" si="12"/>
        <v>1.4683533661807746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>
        <f>VLOOKUP(A49,'Données projet'!$A$139:$I$159,2,0)</f>
        <v>156.94</v>
      </c>
      <c r="CR49" s="13">
        <f>VLOOKUP(A49,'Données projet'!$A$139:$I$159,9,0)</f>
        <v>5.266111111111111</v>
      </c>
      <c r="CS49" s="13">
        <f t="array" ref="CS49">INDEX(CR:CR,MIN(IF(ISNUMBER(CR49:CR245),ROW(CR49:CR245),"")))</f>
        <v>5.266111111111111</v>
      </c>
      <c r="CT49" s="13">
        <f>IF('Données projet'!$A$140&gt;35,CT48+CS49-DB48,IF(A49&lt;'Données projet'!$A$140,$CQ$205^A49,IF(A49='Données projet'!$A$140,'Données projet'!$B$140,CT48+CS49-DB48)))</f>
        <v>156.94000000000005</v>
      </c>
      <c r="CU49" s="18">
        <f>CT49*VLOOKUP('Données projet'!$B$13,Paramètres!$A$1:$I$89,3,0)*VLOOKUP('Données projet'!$B$13,Paramètres!$A$1:$I$89,5,0)</f>
        <v>171.37848000000005</v>
      </c>
      <c r="CV49" s="14">
        <f t="shared" si="41"/>
        <v>43.398611987403868</v>
      </c>
      <c r="CW49" s="22">
        <f t="shared" si="13"/>
        <v>374.07010187806185</v>
      </c>
      <c r="CX49" s="62">
        <f t="shared" si="14"/>
        <v>667.40343521139516</v>
      </c>
      <c r="CY49" s="62">
        <f ca="1">AVERAGE(OFFSET($CX$3,0,0,'Données projet'!$E$13+1,1))-AVERAGE(OFFSET($H$3,0,0,'Données projet'!$E$13+1,1))</f>
        <v>205.21073681197737</v>
      </c>
      <c r="CZ49" s="62">
        <f t="shared" si="42"/>
        <v>175.16446313750316</v>
      </c>
      <c r="DA49" s="16">
        <f>IF(ISNA(VLOOKUP(A49,'Données projet'!$A$139:$I$159,3,0)),0,VLOOKUP(A49,'Données projet'!$A$139:$I$159,3,0))</f>
        <v>3</v>
      </c>
      <c r="DB49" s="16">
        <f>IF(ISNA(VLOOKUP(A49,'Données projet'!$A$139:$I$159,4,0)),0,VLOOKUP(A49,'Données projet'!$A$139:$I$159,4,0))</f>
        <v>67.260000000000005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8.6000000000000007E-2</v>
      </c>
      <c r="DE49" s="17">
        <f>IF(ISNA(VLOOKUP(A49,'Données projet'!$A$139:$I$159,7,0)),0%,VLOOKUP(A49,'Données projet'!$A$139:$I$159,7,0))</f>
        <v>0.2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8.3486095628661268</v>
      </c>
      <c r="DH49" s="23">
        <f>EXP(-LN(2)/2)*DH48+(1-EXP(-LN(2)/2))/(LN(2)/2)*DB49*DE49*VLOOKUP('Données projet'!$B$13,Paramètres!$A$1:$I$89,3,0)*0.475*44/12</f>
        <v>13.887219994285434</v>
      </c>
      <c r="DI49" s="24">
        <f t="shared" si="15"/>
        <v>22.235829557151561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8.2880000000000003</v>
      </c>
      <c r="DO49" s="13">
        <f>IF('Données projet'!$A$166&gt;35,DO48+DN49-DW48,IF(A49&lt;'Données projet'!$A$166,$DL$205^A49,IF(A49='Données projet'!$A$166,'Données projet'!$B$166,DO48+DN49-DW48)))</f>
        <v>195.16800000000009</v>
      </c>
      <c r="DP49" s="18">
        <f>DO49*VLOOKUP('Données projet'!$B$14,Paramètres!$A$1:$I$89,3,0)*VLOOKUP('Données projet'!$B$14,Paramètres!$A$1:$I$89,5,0)</f>
        <v>158.3202816000001</v>
      </c>
      <c r="DQ49" s="14">
        <f t="shared" si="43"/>
        <v>40.4634178378098</v>
      </c>
      <c r="DR49" s="22">
        <f t="shared" si="16"/>
        <v>346.21494318751888</v>
      </c>
      <c r="DS49" s="62">
        <f t="shared" si="17"/>
        <v>639.54827652085214</v>
      </c>
      <c r="DT49" s="62">
        <f ca="1">AVERAGE(OFFSET($DS$3,0,0,'Données projet'!$E$14+1,1))-AVERAGE(OFFSET($H$3,0,0,'Données projet'!$E$14+1,1))</f>
        <v>223.63222290670075</v>
      </c>
      <c r="DU49" s="62">
        <f t="shared" si="44"/>
        <v>290.02663909417248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5.3077564190951083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1.6402945016784223</v>
      </c>
      <c r="ED49" s="24">
        <f t="shared" si="18"/>
        <v>6.9480509207735306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315.47908955985213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7.5749999999999957</v>
      </c>
      <c r="N50" s="14">
        <f>IF('Données projet'!$A$36&gt;35,N49+M50-V49,IF(A50&lt;'Données projet'!$A$36,$K$205^A50,IF(A50='Données projet'!$A$36,'Données projet'!$B$36,N49+M50-V49)))</f>
        <v>242.47500000000002</v>
      </c>
      <c r="O50" s="14">
        <f>N50*VLOOKUP('Données projet'!$B$9,Paramètres!$A$1:$I$89,3,0)*VLOOKUP('Données projet'!$B$9,Paramètres!$A$1:$I$89,5,0)</f>
        <v>145.00005000000002</v>
      </c>
      <c r="P50" s="14">
        <f t="shared" si="33"/>
        <v>37.440096890466073</v>
      </c>
      <c r="Q50" s="22">
        <f t="shared" si="53"/>
        <v>317.74992250089502</v>
      </c>
      <c r="R50" s="62">
        <f t="shared" si="0"/>
        <v>611.08325583422834</v>
      </c>
      <c r="S50" s="62">
        <f ca="1">AVERAGE(OFFSET($R$3,0,0,'Données projet'!$E$9+1,1))-AVERAGE(OFFSET($H$3,0,0,'Données projet'!$E$9+1,1))</f>
        <v>192.24617268603629</v>
      </c>
      <c r="T50" s="62">
        <f t="shared" si="34"/>
        <v>192.48585280662832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20.969326015778726</v>
      </c>
      <c r="AA50" s="23">
        <f>EXP(-LN(2)/25)*AA49+(1-EXP(-LN(2)/25))/(LN(2)/25)*Calculateur!V50*Calculateur!X50*VLOOKUP('Données projet'!$B$9,Paramètres!$A$1:$I$89,3,0)*0.475*44/12</f>
        <v>10.826161474181346</v>
      </c>
      <c r="AB50" s="23">
        <f>EXP(-LN(2)/2)*AB49+(1-EXP(-LN(2)/2))/(LN(2)/2)*V50*Y50*VLOOKUP('Données projet'!$B$9,Paramètres!$A$1:$I$89,3,0)*0.475*44/12</f>
        <v>1.6650090906827164</v>
      </c>
      <c r="AC50" s="24">
        <f t="shared" si="3"/>
        <v>33.46049658064279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1.9999999998958629E-3</v>
      </c>
      <c r="AJ50" s="14">
        <f>AI50*VLOOKUP('Données projet'!$B$10,Paramètres!$A$1:$I$89,3,0)*VLOOKUP('Données projet'!$B$10,Paramètres!$A$1:$I$89,5,0)</f>
        <v>1.195999999937726E-3</v>
      </c>
      <c r="AK50" s="14">
        <f t="shared" si="35"/>
        <v>1.2062444695752218E-3</v>
      </c>
      <c r="AL50" s="22">
        <f t="shared" si="4"/>
        <v>4.1839091177350513E-3</v>
      </c>
      <c r="AM50" s="62">
        <f t="shared" si="5"/>
        <v>293.33751724245104</v>
      </c>
      <c r="AN50" s="62">
        <f ca="1">AVERAGE(OFFSET($AM$3,0,0,'Données projet'!$E$10+1,1))-AVERAGE(OFFSET($H$3,0,0,'Données projet'!$E$10+1,1))</f>
        <v>164.64952352018145</v>
      </c>
      <c r="AO50" s="62">
        <f t="shared" si="36"/>
        <v>280.08682720086921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56.922569758028139</v>
      </c>
      <c r="AV50" s="23">
        <f>EXP(-LN(2)/25)*AV49+(1-EXP(-LN(2)/25))/(LN(2)/25)*Calculateur!AQ50*Calculateur!AS50*VLOOKUP('Données projet'!$B$10,Paramètres!$A$1:$I$89,3,0)*0.475*44/12</f>
        <v>20.077793645163133</v>
      </c>
      <c r="AW50" s="23">
        <f>EXP(-LN(2)/2)*AW49+(1-EXP(-LN(2)/2))/(LN(2)/2)*AQ50*AT50*VLOOKUP('Données projet'!$B$10,Paramètres!$A$1:$I$89,3,0)*0.475*44/12</f>
        <v>1.4976938153549753</v>
      </c>
      <c r="AX50" s="23">
        <f t="shared" si="6"/>
        <v>78.498057218546251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</v>
      </c>
      <c r="BD50" s="13">
        <f>IF('Données projet'!$A$88&gt;35,BD49+BC50-BL49,IF(A50&lt;'Données projet'!$A$88,$BA$205^A50,IF(A50='Données projet'!$A$88,'Données projet'!$B$88,BD49+BC50-BL49)))</f>
        <v>100</v>
      </c>
      <c r="BE50" s="14">
        <f>BD50*VLOOKUP('Données projet'!$B$11,Paramètres!$A$1:$I$89,3,0)*VLOOKUP('Données projet'!$B$11,Paramètres!$A$1:$I$89,5,0)</f>
        <v>84.240000000000009</v>
      </c>
      <c r="BF50" s="14">
        <f t="shared" si="37"/>
        <v>23.170749718409468</v>
      </c>
      <c r="BG50" s="22">
        <f t="shared" si="7"/>
        <v>187.07372242622981</v>
      </c>
      <c r="BH50" s="62">
        <f t="shared" si="8"/>
        <v>480.40705575956315</v>
      </c>
      <c r="BI50" s="62">
        <f ca="1">AVERAGE(OFFSET($BH$3,0,0,'Données projet'!$E$11+1,1))-AVERAGE(OFFSET($H$3,0,0,'Données projet'!$E$11+1,1))</f>
        <v>339.58585574836434</v>
      </c>
      <c r="BJ50" s="62">
        <f t="shared" si="38"/>
        <v>42.267525972379588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0.74095437272935838</v>
      </c>
      <c r="BS50" s="24">
        <f t="shared" si="9"/>
        <v>0.74095437272935838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4.9640000000000004</v>
      </c>
      <c r="BY50" s="13">
        <f>IF('Données projet'!$A$114&gt;35,BY49+BX50-CG49,IF(A50&lt;'Données projet'!$A$114,$BV$205^A50,IF(A50='Données projet'!$A$114,'Données projet'!$B$114,BY49+BX50-CG49)))</f>
        <v>44.238</v>
      </c>
      <c r="BZ50" s="14">
        <f>BY50*VLOOKUP('Données projet'!$B$12,Paramètres!$A$1:$I$89,3,0)*VLOOKUP('Données projet'!$B$12,Paramètres!$A$1:$I$89,5,0)</f>
        <v>44.167219199999998</v>
      </c>
      <c r="CA50" s="14">
        <f t="shared" si="39"/>
        <v>13.096717956755981</v>
      </c>
      <c r="CB50" s="22">
        <f t="shared" si="10"/>
        <v>99.734690548016658</v>
      </c>
      <c r="CC50" s="62">
        <f t="shared" si="11"/>
        <v>393.06802388134997</v>
      </c>
      <c r="CD50" s="62">
        <f ca="1">AVERAGE(OFFSET($CC$3,0,0,'Données projet'!$E$12+1,1))-AVERAGE(OFFSET($H$3,0,0,'Données projet'!$E$12+1,1))</f>
        <v>112.34884104798977</v>
      </c>
      <c r="CE50" s="62">
        <f t="shared" si="40"/>
        <v>18.665658139749326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1.0382826224045196</v>
      </c>
      <c r="CN50" s="24">
        <f t="shared" si="12"/>
        <v>1.0382826224045196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3.502307692307693</v>
      </c>
      <c r="CT50" s="13">
        <f>IF('Données projet'!$A$140&gt;35,CT49+CS50-DB49,IF(A50&lt;'Données projet'!$A$140,$CQ$205^A50,IF(A50='Données projet'!$A$140,'Données projet'!$B$140,CT49+CS50-DB49)))</f>
        <v>93.182307692307731</v>
      </c>
      <c r="CU50" s="18">
        <f>CT50*VLOOKUP('Données projet'!$B$13,Paramètres!$A$1:$I$89,3,0)*VLOOKUP('Données projet'!$B$13,Paramètres!$A$1:$I$89,5,0)</f>
        <v>101.75508000000004</v>
      </c>
      <c r="CV50" s="14">
        <f t="shared" si="41"/>
        <v>27.379696825123688</v>
      </c>
      <c r="CW50" s="22">
        <f t="shared" si="13"/>
        <v>224.90973630375711</v>
      </c>
      <c r="CX50" s="62">
        <f t="shared" si="14"/>
        <v>518.24306963709046</v>
      </c>
      <c r="CY50" s="62">
        <f ca="1">AVERAGE(OFFSET($CX$3,0,0,'Données projet'!$E$13+1,1))-AVERAGE(OFFSET($H$3,0,0,'Données projet'!$E$13+1,1))</f>
        <v>205.21073681197737</v>
      </c>
      <c r="CZ50" s="62">
        <f t="shared" si="42"/>
        <v>175.16446313750316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8.1203163953352568</v>
      </c>
      <c r="DH50" s="23">
        <f>EXP(-LN(2)/2)*DH49+(1-EXP(-LN(2)/2))/(LN(2)/2)*DB50*DE50*VLOOKUP('Données projet'!$B$13,Paramètres!$A$1:$I$89,3,0)*0.475*44/12</f>
        <v>9.8197474297886398</v>
      </c>
      <c r="DI50" s="24">
        <f t="shared" si="15"/>
        <v>17.940063825123897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8.2880000000000003</v>
      </c>
      <c r="DO50" s="13">
        <f>IF('Données projet'!$A$166&gt;35,DO49+DN50-DW49,IF(A50&lt;'Données projet'!$A$166,$DL$205^A50,IF(A50='Données projet'!$A$166,'Données projet'!$B$166,DO49+DN50-DW49)))</f>
        <v>203.4560000000001</v>
      </c>
      <c r="DP50" s="18">
        <f>DO50*VLOOKUP('Données projet'!$B$14,Paramètres!$A$1:$I$89,3,0)*VLOOKUP('Données projet'!$B$14,Paramètres!$A$1:$I$89,5,0)</f>
        <v>165.04350720000011</v>
      </c>
      <c r="DQ50" s="14">
        <f t="shared" si="43"/>
        <v>41.978029642835487</v>
      </c>
      <c r="DR50" s="22">
        <f t="shared" si="16"/>
        <v>360.56251000127196</v>
      </c>
      <c r="DS50" s="62">
        <f t="shared" si="17"/>
        <v>653.89584333460527</v>
      </c>
      <c r="DT50" s="62">
        <f ca="1">AVERAGE(OFFSET($DS$3,0,0,'Données projet'!$E$14+1,1))-AVERAGE(OFFSET($H$3,0,0,'Données projet'!$E$14+1,1))</f>
        <v>223.63222290670075</v>
      </c>
      <c r="DU50" s="62">
        <f t="shared" si="44"/>
        <v>290.02663909417248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5.2036745531284012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1.1598633652798211</v>
      </c>
      <c r="ED50" s="24">
        <f t="shared" si="18"/>
        <v>6.3635379184082224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316.69512760183437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7.5749999999999957</v>
      </c>
      <c r="N51" s="14">
        <f>IF('Données projet'!$A$36&gt;35,N50+M51-V50,IF(A51&lt;'Données projet'!$A$36,$K$205^A51,IF(A51='Données projet'!$A$36,'Données projet'!$B$36,N50+M51-V50)))</f>
        <v>250.05</v>
      </c>
      <c r="O51" s="14">
        <f>N51*VLOOKUP('Données projet'!$B$9,Paramètres!$A$1:$I$89,3,0)*VLOOKUP('Données projet'!$B$9,Paramètres!$A$1:$I$89,5,0)</f>
        <v>149.52990000000003</v>
      </c>
      <c r="P51" s="14">
        <f t="shared" si="33"/>
        <v>38.471734200187633</v>
      </c>
      <c r="Q51" s="22">
        <f t="shared" si="53"/>
        <v>327.43617956532677</v>
      </c>
      <c r="R51" s="62">
        <f t="shared" si="0"/>
        <v>620.76951289866008</v>
      </c>
      <c r="S51" s="62">
        <f ca="1">AVERAGE(OFFSET($R$3,0,0,'Données projet'!$E$9+1,1))-AVERAGE(OFFSET($H$3,0,0,'Données projet'!$E$9+1,1))</f>
        <v>192.24617268603629</v>
      </c>
      <c r="T51" s="62">
        <f t="shared" si="34"/>
        <v>192.48585280662832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20.558130322635265</v>
      </c>
      <c r="AA51" s="23">
        <f>EXP(-LN(2)/25)*AA50+(1-EXP(-LN(2)/25))/(LN(2)/25)*Calculateur!V51*Calculateur!X51*VLOOKUP('Données projet'!$B$9,Paramètres!$A$1:$I$89,3,0)*0.475*44/12</f>
        <v>10.530119519346769</v>
      </c>
      <c r="AB51" s="23">
        <f>EXP(-LN(2)/2)*AB50+(1-EXP(-LN(2)/2))/(LN(2)/2)*V51*Y51*VLOOKUP('Données projet'!$B$9,Paramètres!$A$1:$I$89,3,0)*0.475*44/12</f>
        <v>1.1773392187589962</v>
      </c>
      <c r="AC51" s="24">
        <f t="shared" si="3"/>
        <v>32.265589060741029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1.9999999998958629E-3</v>
      </c>
      <c r="AJ51" s="14">
        <f>AI51*VLOOKUP('Données projet'!$B$10,Paramètres!$A$1:$I$89,3,0)*VLOOKUP('Données projet'!$B$10,Paramètres!$A$1:$I$89,5,0)</f>
        <v>1.195999999937726E-3</v>
      </c>
      <c r="AK51" s="14">
        <f t="shared" si="35"/>
        <v>1.2062444695752218E-3</v>
      </c>
      <c r="AL51" s="22">
        <f t="shared" si="4"/>
        <v>4.1839091177350513E-3</v>
      </c>
      <c r="AM51" s="62">
        <f t="shared" si="5"/>
        <v>293.33751724245104</v>
      </c>
      <c r="AN51" s="62">
        <f ca="1">AVERAGE(OFFSET($AM$3,0,0,'Données projet'!$E$10+1,1))-AVERAGE(OFFSET($H$3,0,0,'Données projet'!$E$10+1,1))</f>
        <v>164.64952352018145</v>
      </c>
      <c r="AO51" s="62">
        <f t="shared" si="36"/>
        <v>280.08682720086921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55.806352884412512</v>
      </c>
      <c r="AV51" s="23">
        <f>EXP(-LN(2)/25)*AV50+(1-EXP(-LN(2)/25))/(LN(2)/25)*Calculateur!AQ51*Calculateur!AS51*VLOOKUP('Données projet'!$B$10,Paramètres!$A$1:$I$89,3,0)*0.475*44/12</f>
        <v>19.528765322090869</v>
      </c>
      <c r="AW51" s="23">
        <f>EXP(-LN(2)/2)*AW50+(1-EXP(-LN(2)/2))/(LN(2)/2)*AQ51*AT51*VLOOKUP('Données projet'!$B$10,Paramètres!$A$1:$I$89,3,0)*0.475*44/12</f>
        <v>1.0590294529786561</v>
      </c>
      <c r="AX51" s="23">
        <f t="shared" si="6"/>
        <v>76.39414765948203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>
        <f>VLOOKUP(A51,'Données projet'!$A$87:$I$107,2,0)</f>
        <v>108</v>
      </c>
      <c r="BB51" s="13">
        <f>VLOOKUP(A51,'Données projet'!$A$87:$I$107,9,0)</f>
        <v>8</v>
      </c>
      <c r="BC51" s="13">
        <f t="array" ref="BC51">INDEX(BB:BB,MIN(IF(ISNUMBER(BB51:BB247),ROW(BB51:BB247),"")))</f>
        <v>8</v>
      </c>
      <c r="BD51" s="13">
        <f>IF('Données projet'!$A$88&gt;35,BD50+BC51-BL50,IF(A51&lt;'Données projet'!$A$88,$BA$205^A51,IF(A51='Données projet'!$A$88,'Données projet'!$B$88,BD50+BC51-BL50)))</f>
        <v>108</v>
      </c>
      <c r="BE51" s="14">
        <f>BD51*VLOOKUP('Données projet'!$B$11,Paramètres!$A$1:$I$89,3,0)*VLOOKUP('Données projet'!$B$11,Paramètres!$A$1:$I$89,5,0)</f>
        <v>90.97920000000002</v>
      </c>
      <c r="BF51" s="14">
        <f t="shared" si="37"/>
        <v>24.801235516871511</v>
      </c>
      <c r="BG51" s="22">
        <f t="shared" si="7"/>
        <v>201.65092519188457</v>
      </c>
      <c r="BH51" s="62">
        <f t="shared" si="8"/>
        <v>494.98425852521791</v>
      </c>
      <c r="BI51" s="62">
        <f ca="1">AVERAGE(OFFSET($BH$3,0,0,'Données projet'!$E$11+1,1))-AVERAGE(OFFSET($H$3,0,0,'Données projet'!$E$11+1,1))</f>
        <v>339.58585574836434</v>
      </c>
      <c r="BJ51" s="62">
        <f t="shared" si="38"/>
        <v>42.267525972379588</v>
      </c>
      <c r="BK51" s="16">
        <f>IF(ISNA(VLOOKUP(A51,'Données projet'!$A$87:$I$107,3,0)),0,VLOOKUP(A51,'Données projet'!$A$87:$I$107,3,0))</f>
        <v>4</v>
      </c>
      <c r="BL51" s="16">
        <f>IF(ISNA(VLOOKUP(A51,'Données projet'!$A$87:$I$107,4,0)),0,VLOOKUP(A51,'Données projet'!$A$87:$I$107,4,0))</f>
        <v>28.799999999999997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4.3000000000000003E-2</v>
      </c>
      <c r="BO51" s="17">
        <f>IF(ISNA(VLOOKUP(A51,'Données projet'!$A$87:$I$107,7,0)),0%,VLOOKUP(A51,'Données projet'!$A$87:$I$107,7,0))</f>
        <v>0.3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1.1487170144723675</v>
      </c>
      <c r="BR51" s="23">
        <f>EXP(-LN(2)/2)*BR50+(1-EXP(-LN(2)/2))/(LN(2)/2)*BL51*BO51*VLOOKUP('Données projet'!$B$11,Paramètres!$A$1:$I$89,3,0)*0.475*44/12</f>
        <v>7.3912397710480766</v>
      </c>
      <c r="BS51" s="24">
        <f t="shared" si="9"/>
        <v>8.5399567855204435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4.9640000000000004</v>
      </c>
      <c r="BY51" s="13">
        <f>IF('Données projet'!$A$114&gt;35,BY50+BX51-CG50,IF(A51&lt;'Données projet'!$A$114,$BV$205^A51,IF(A51='Données projet'!$A$114,'Données projet'!$B$114,BY50+BX51-CG50)))</f>
        <v>49.201999999999998</v>
      </c>
      <c r="BZ51" s="14">
        <f>BY51*VLOOKUP('Données projet'!$B$12,Paramètres!$A$1:$I$89,3,0)*VLOOKUP('Données projet'!$B$12,Paramètres!$A$1:$I$89,5,0)</f>
        <v>49.123276800000006</v>
      </c>
      <c r="CA51" s="14">
        <f t="shared" si="39"/>
        <v>14.387109491550218</v>
      </c>
      <c r="CB51" s="22">
        <f t="shared" si="10"/>
        <v>110.61392279111664</v>
      </c>
      <c r="CC51" s="62">
        <f t="shared" si="11"/>
        <v>403.94725612444995</v>
      </c>
      <c r="CD51" s="62">
        <f ca="1">AVERAGE(OFFSET($CC$3,0,0,'Données projet'!$E$12+1,1))-AVERAGE(OFFSET($H$3,0,0,'Données projet'!$E$12+1,1))</f>
        <v>112.34884104798977</v>
      </c>
      <c r="CE51" s="62">
        <f t="shared" si="40"/>
        <v>18.665658139749326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0.73417668309038742</v>
      </c>
      <c r="CN51" s="24">
        <f t="shared" si="12"/>
        <v>0.73417668309038742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3.502307692307693</v>
      </c>
      <c r="CT51" s="13">
        <f>IF('Données projet'!$A$140&gt;35,CT50+CS51-DB50,IF(A51&lt;'Données projet'!$A$140,$CQ$205^A51,IF(A51='Données projet'!$A$140,'Données projet'!$B$140,CT50+CS51-DB50)))</f>
        <v>96.684615384615427</v>
      </c>
      <c r="CU51" s="18">
        <f>CT51*VLOOKUP('Données projet'!$B$13,Paramètres!$A$1:$I$89,3,0)*VLOOKUP('Données projet'!$B$13,Paramètres!$A$1:$I$89,5,0)</f>
        <v>105.57960000000006</v>
      </c>
      <c r="CV51" s="14">
        <f t="shared" si="41"/>
        <v>28.287030826061709</v>
      </c>
      <c r="CW51" s="22">
        <f t="shared" si="13"/>
        <v>233.15104868872425</v>
      </c>
      <c r="CX51" s="62">
        <f t="shared" si="14"/>
        <v>526.48438202205762</v>
      </c>
      <c r="CY51" s="62">
        <f ca="1">AVERAGE(OFFSET($CX$3,0,0,'Données projet'!$E$13+1,1))-AVERAGE(OFFSET($H$3,0,0,'Données projet'!$E$13+1,1))</f>
        <v>205.21073681197737</v>
      </c>
      <c r="CZ51" s="62">
        <f t="shared" si="42"/>
        <v>175.16446313750316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7.8982659164759346</v>
      </c>
      <c r="DH51" s="23">
        <f>EXP(-LN(2)/2)*DH50+(1-EXP(-LN(2)/2))/(LN(2)/2)*DB51*DE51*VLOOKUP('Données projet'!$B$13,Paramètres!$A$1:$I$89,3,0)*0.475*44/12</f>
        <v>6.943609997142719</v>
      </c>
      <c r="DI51" s="24">
        <f t="shared" si="15"/>
        <v>14.841875913618654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8.2880000000000003</v>
      </c>
      <c r="DO51" s="13">
        <f>IF('Données projet'!$A$166&gt;35,DO50+DN51-DW50,IF(A51&lt;'Données projet'!$A$166,$DL$205^A51,IF(A51='Données projet'!$A$166,'Données projet'!$B$166,DO50+DN51-DW50)))</f>
        <v>211.74400000000011</v>
      </c>
      <c r="DP51" s="18">
        <f>DO51*VLOOKUP('Données projet'!$B$14,Paramètres!$A$1:$I$89,3,0)*VLOOKUP('Données projet'!$B$14,Paramètres!$A$1:$I$89,5,0)</f>
        <v>171.76673280000011</v>
      </c>
      <c r="DQ51" s="14">
        <f t="shared" si="43"/>
        <v>43.485474550334366</v>
      </c>
      <c r="DR51" s="22">
        <f t="shared" si="16"/>
        <v>374.89759446849916</v>
      </c>
      <c r="DS51" s="62">
        <f t="shared" si="17"/>
        <v>668.23092780183242</v>
      </c>
      <c r="DT51" s="62">
        <f ca="1">AVERAGE(OFFSET($DS$3,0,0,'Données projet'!$E$14+1,1))-AVERAGE(OFFSET($H$3,0,0,'Données projet'!$E$14+1,1))</f>
        <v>223.63222290670075</v>
      </c>
      <c r="DU51" s="62">
        <f t="shared" si="44"/>
        <v>290.02663909417248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5.1016336690696313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0.82014725083921114</v>
      </c>
      <c r="ED51" s="24">
        <f t="shared" si="18"/>
        <v>5.9217809199088425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317.91052353502909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7.5749999999999957</v>
      </c>
      <c r="N52" s="14">
        <f>IF('Données projet'!$A$36&gt;35,N51+M52-V51,IF(A52&lt;'Données projet'!$A$36,$K$205^A52,IF(A52='Données projet'!$A$36,'Données projet'!$B$36,N51+M52-V51)))</f>
        <v>257.625</v>
      </c>
      <c r="O52" s="14">
        <f>N52*VLOOKUP('Données projet'!$B$9,Paramètres!$A$1:$I$89,3,0)*VLOOKUP('Données projet'!$B$9,Paramètres!$A$1:$I$89,5,0)</f>
        <v>154.05975000000001</v>
      </c>
      <c r="P52" s="14">
        <f t="shared" si="33"/>
        <v>39.499739554511528</v>
      </c>
      <c r="Q52" s="22">
        <f t="shared" si="53"/>
        <v>337.11611097410758</v>
      </c>
      <c r="R52" s="62">
        <f t="shared" si="0"/>
        <v>630.4494443074409</v>
      </c>
      <c r="S52" s="62">
        <f ca="1">AVERAGE(OFFSET($R$3,0,0,'Données projet'!$E$9+1,1))-AVERAGE(OFFSET($H$3,0,0,'Données projet'!$E$9+1,1))</f>
        <v>192.24617268603629</v>
      </c>
      <c r="T52" s="62">
        <f t="shared" si="34"/>
        <v>192.48585280662832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20.15499792622974</v>
      </c>
      <c r="AA52" s="23">
        <f>EXP(-LN(2)/25)*AA51+(1-EXP(-LN(2)/25))/(LN(2)/25)*Calculateur!V52*Calculateur!X52*VLOOKUP('Données projet'!$B$9,Paramètres!$A$1:$I$89,3,0)*0.475*44/12</f>
        <v>10.242172847335313</v>
      </c>
      <c r="AB52" s="23">
        <f>EXP(-LN(2)/2)*AB51+(1-EXP(-LN(2)/2))/(LN(2)/2)*V52*Y52*VLOOKUP('Données projet'!$B$9,Paramètres!$A$1:$I$89,3,0)*0.475*44/12</f>
        <v>0.83250454534135832</v>
      </c>
      <c r="AC52" s="24">
        <f t="shared" si="3"/>
        <v>31.229675318906409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1.9999999998958629E-3</v>
      </c>
      <c r="AJ52" s="14">
        <f>AI52*VLOOKUP('Données projet'!$B$10,Paramètres!$A$1:$I$89,3,0)*VLOOKUP('Données projet'!$B$10,Paramètres!$A$1:$I$89,5,0)</f>
        <v>1.195999999937726E-3</v>
      </c>
      <c r="AK52" s="14">
        <f t="shared" si="35"/>
        <v>1.2062444695752218E-3</v>
      </c>
      <c r="AL52" s="22">
        <f t="shared" si="4"/>
        <v>4.1839091177350513E-3</v>
      </c>
      <c r="AM52" s="62">
        <f t="shared" si="5"/>
        <v>293.33751724245104</v>
      </c>
      <c r="AN52" s="62">
        <f ca="1">AVERAGE(OFFSET($AM$3,0,0,'Données projet'!$E$10+1,1))-AVERAGE(OFFSET($H$3,0,0,'Données projet'!$E$10+1,1))</f>
        <v>164.64952352018145</v>
      </c>
      <c r="AO52" s="62">
        <f t="shared" si="36"/>
        <v>280.08682720086921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54.712024342863415</v>
      </c>
      <c r="AV52" s="23">
        <f>EXP(-LN(2)/25)*AV51+(1-EXP(-LN(2)/25))/(LN(2)/25)*Calculateur!AQ52*Calculateur!AS52*VLOOKUP('Données projet'!$B$10,Paramètres!$A$1:$I$89,3,0)*0.475*44/12</f>
        <v>18.99475020738516</v>
      </c>
      <c r="AW52" s="23">
        <f>EXP(-LN(2)/2)*AW51+(1-EXP(-LN(2)/2))/(LN(2)/2)*AQ52*AT52*VLOOKUP('Données projet'!$B$10,Paramètres!$A$1:$I$89,3,0)*0.475*44/12</f>
        <v>0.74884690767748774</v>
      </c>
      <c r="AX52" s="23">
        <f t="shared" si="6"/>
        <v>74.455621457926071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10.266666666666667</v>
      </c>
      <c r="BD52" s="13">
        <f>IF('Données projet'!$A$88&gt;35,BD51+BC52-BL51,IF(A52&lt;'Données projet'!$A$88,$BA$205^A52,IF(A52='Données projet'!$A$88,'Données projet'!$B$88,BD51+BC52-BL51)))</f>
        <v>89.466666666666669</v>
      </c>
      <c r="BE52" s="14">
        <f>BD52*VLOOKUP('Données projet'!$B$11,Paramètres!$A$1:$I$89,3,0)*VLOOKUP('Données projet'!$B$11,Paramètres!$A$1:$I$89,5,0)</f>
        <v>75.366720000000015</v>
      </c>
      <c r="BF52" s="14">
        <f t="shared" si="37"/>
        <v>21.000419618324429</v>
      </c>
      <c r="BG52" s="22">
        <f t="shared" si="7"/>
        <v>167.8394348352484</v>
      </c>
      <c r="BH52" s="62">
        <f t="shared" si="8"/>
        <v>461.17276816858168</v>
      </c>
      <c r="BI52" s="62">
        <f ca="1">AVERAGE(OFFSET($BH$3,0,0,'Données projet'!$E$11+1,1))-AVERAGE(OFFSET($H$3,0,0,'Données projet'!$E$11+1,1))</f>
        <v>339.58585574836434</v>
      </c>
      <c r="BJ52" s="62">
        <f t="shared" si="38"/>
        <v>42.267525972379588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1.1173052873032183</v>
      </c>
      <c r="BR52" s="23">
        <f>EXP(-LN(2)/2)*BR51+(1-EXP(-LN(2)/2))/(LN(2)/2)*BL52*BO52*VLOOKUP('Données projet'!$B$11,Paramètres!$A$1:$I$89,3,0)*0.475*44/12</f>
        <v>5.2263957634837999</v>
      </c>
      <c r="BS52" s="24">
        <f t="shared" si="9"/>
        <v>6.3437010507870184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4.9640000000000004</v>
      </c>
      <c r="BY52" s="13">
        <f>IF('Données projet'!$A$114&gt;35,BY51+BX52-CG51,IF(A52&lt;'Données projet'!$A$114,$BV$205^A52,IF(A52='Données projet'!$A$114,'Données projet'!$B$114,BY51+BX52-CG51)))</f>
        <v>54.165999999999997</v>
      </c>
      <c r="BZ52" s="14">
        <f>BY52*VLOOKUP('Données projet'!$B$12,Paramètres!$A$1:$I$89,3,0)*VLOOKUP('Données projet'!$B$12,Paramètres!$A$1:$I$89,5,0)</f>
        <v>54.079334400000008</v>
      </c>
      <c r="CA52" s="14">
        <f t="shared" si="39"/>
        <v>15.662408789927929</v>
      </c>
      <c r="CB52" s="22">
        <f t="shared" si="10"/>
        <v>121.46686938912448</v>
      </c>
      <c r="CC52" s="62">
        <f t="shared" si="11"/>
        <v>414.80020272245781</v>
      </c>
      <c r="CD52" s="62">
        <f ca="1">AVERAGE(OFFSET($CC$3,0,0,'Données projet'!$E$12+1,1))-AVERAGE(OFFSET($H$3,0,0,'Données projet'!$E$12+1,1))</f>
        <v>112.34884104798977</v>
      </c>
      <c r="CE52" s="62">
        <f t="shared" si="40"/>
        <v>18.665658139749326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0.51914131120225981</v>
      </c>
      <c r="CN52" s="24">
        <f t="shared" si="12"/>
        <v>0.51914131120225981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3.502307692307693</v>
      </c>
      <c r="CT52" s="13">
        <f>IF('Données projet'!$A$140&gt;35,CT51+CS52-DB51,IF(A52&lt;'Données projet'!$A$140,$CQ$205^A52,IF(A52='Données projet'!$A$140,'Données projet'!$B$140,CT51+CS52-DB51)))</f>
        <v>100.18692307692312</v>
      </c>
      <c r="CU52" s="18">
        <f>CT52*VLOOKUP('Données projet'!$B$13,Paramètres!$A$1:$I$89,3,0)*VLOOKUP('Données projet'!$B$13,Paramètres!$A$1:$I$89,5,0)</f>
        <v>109.40412000000005</v>
      </c>
      <c r="CV52" s="14">
        <f t="shared" si="41"/>
        <v>29.190546244714561</v>
      </c>
      <c r="CW52" s="22">
        <f t="shared" si="13"/>
        <v>241.38571037621128</v>
      </c>
      <c r="CX52" s="62">
        <f t="shared" si="14"/>
        <v>534.71904370954462</v>
      </c>
      <c r="CY52" s="62">
        <f ca="1">AVERAGE(OFFSET($CX$3,0,0,'Données projet'!$E$13+1,1))-AVERAGE(OFFSET($H$3,0,0,'Données projet'!$E$13+1,1))</f>
        <v>205.21073681197737</v>
      </c>
      <c r="CZ52" s="62">
        <f t="shared" si="42"/>
        <v>175.16446313750316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7.682287419638147</v>
      </c>
      <c r="DH52" s="23">
        <f>EXP(-LN(2)/2)*DH51+(1-EXP(-LN(2)/2))/(LN(2)/2)*DB52*DE52*VLOOKUP('Données projet'!$B$13,Paramètres!$A$1:$I$89,3,0)*0.475*44/12</f>
        <v>4.9098737148943208</v>
      </c>
      <c r="DI52" s="24">
        <f t="shared" si="15"/>
        <v>12.592161134532468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8.2880000000000003</v>
      </c>
      <c r="DO52" s="13">
        <f>IF('Données projet'!$A$166&gt;35,DO51+DN52-DW51,IF(A52&lt;'Données projet'!$A$166,$DL$205^A52,IF(A52='Données projet'!$A$166,'Données projet'!$B$166,DO51+DN52-DW51)))</f>
        <v>220.03200000000012</v>
      </c>
      <c r="DP52" s="18">
        <f>DO52*VLOOKUP('Données projet'!$B$14,Paramètres!$A$1:$I$89,3,0)*VLOOKUP('Données projet'!$B$14,Paramètres!$A$1:$I$89,5,0)</f>
        <v>178.48995840000012</v>
      </c>
      <c r="DQ52" s="14">
        <f t="shared" si="43"/>
        <v>44.986065187416358</v>
      </c>
      <c r="DR52" s="22">
        <f t="shared" si="16"/>
        <v>389.22074108141697</v>
      </c>
      <c r="DS52" s="62">
        <f t="shared" si="17"/>
        <v>682.55407441475029</v>
      </c>
      <c r="DT52" s="62">
        <f ca="1">AVERAGE(OFFSET($DS$3,0,0,'Données projet'!$E$14+1,1))-AVERAGE(OFFSET($H$3,0,0,'Données projet'!$E$14+1,1))</f>
        <v>223.63222290670075</v>
      </c>
      <c r="DU52" s="62">
        <f t="shared" si="44"/>
        <v>290.02663909417248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5.0015937445084599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0.57993168263991057</v>
      </c>
      <c r="ED52" s="24">
        <f t="shared" si="18"/>
        <v>5.581525427148371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319.12529197371839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7.5749999999999957</v>
      </c>
      <c r="N53" s="14">
        <f>IF('Données projet'!$A$36&gt;35,N52+M53-V52,IF(A53&lt;'Données projet'!$A$36,$K$205^A53,IF(A53='Données projet'!$A$36,'Données projet'!$B$36,N52+M53-V52)))</f>
        <v>265.2</v>
      </c>
      <c r="O53" s="14">
        <f>N53*VLOOKUP('Données projet'!$B$9,Paramètres!$A$1:$I$89,3,0)*VLOOKUP('Données projet'!$B$9,Paramètres!$A$1:$I$89,5,0)</f>
        <v>158.58960000000002</v>
      </c>
      <c r="P53" s="14">
        <f t="shared" si="33"/>
        <v>40.524232006033088</v>
      </c>
      <c r="Q53" s="22">
        <f t="shared" si="53"/>
        <v>346.78992407717436</v>
      </c>
      <c r="R53" s="62">
        <f t="shared" si="0"/>
        <v>640.12325741050768</v>
      </c>
      <c r="S53" s="62">
        <f ca="1">AVERAGE(OFFSET($R$3,0,0,'Données projet'!$E$9+1,1))-AVERAGE(OFFSET($H$3,0,0,'Données projet'!$E$9+1,1))</f>
        <v>192.24617268603629</v>
      </c>
      <c r="T53" s="62">
        <f t="shared" si="34"/>
        <v>192.48585280662832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19.759770710231244</v>
      </c>
      <c r="AA53" s="23">
        <f>EXP(-LN(2)/25)*AA52+(1-EXP(-LN(2)/25))/(LN(2)/25)*Calculateur!V53*Calculateur!X53*VLOOKUP('Données projet'!$B$9,Paramètres!$A$1:$I$89,3,0)*0.475*44/12</f>
        <v>9.9621000922124683</v>
      </c>
      <c r="AB53" s="23">
        <f>EXP(-LN(2)/2)*AB52+(1-EXP(-LN(2)/2))/(LN(2)/2)*V53*Y53*VLOOKUP('Données projet'!$B$9,Paramètres!$A$1:$I$89,3,0)*0.475*44/12</f>
        <v>0.58866960937949808</v>
      </c>
      <c r="AC53" s="24">
        <f t="shared" si="3"/>
        <v>30.310540411823208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1.9999999998958629E-3</v>
      </c>
      <c r="AJ53" s="14">
        <f>AI53*VLOOKUP('Données projet'!$B$10,Paramètres!$A$1:$I$89,3,0)*VLOOKUP('Données projet'!$B$10,Paramètres!$A$1:$I$89,5,0)</f>
        <v>1.195999999937726E-3</v>
      </c>
      <c r="AK53" s="14">
        <f t="shared" si="35"/>
        <v>1.2062444695752218E-3</v>
      </c>
      <c r="AL53" s="22">
        <f t="shared" si="4"/>
        <v>4.1839091177350513E-3</v>
      </c>
      <c r="AM53" s="62">
        <f t="shared" si="5"/>
        <v>293.33751724245104</v>
      </c>
      <c r="AN53" s="62">
        <f ca="1">AVERAGE(OFFSET($AM$3,0,0,'Données projet'!$E$10+1,1))-AVERAGE(OFFSET($H$3,0,0,'Données projet'!$E$10+1,1))</f>
        <v>164.64952352018145</v>
      </c>
      <c r="AO53" s="62">
        <f t="shared" si="36"/>
        <v>280.08682720086921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53.639154916539596</v>
      </c>
      <c r="AV53" s="23">
        <f>EXP(-LN(2)/25)*AV52+(1-EXP(-LN(2)/25))/(LN(2)/25)*Calculateur!AQ53*Calculateur!AS53*VLOOKUP('Données projet'!$B$10,Paramètres!$A$1:$I$89,3,0)*0.475*44/12</f>
        <v>18.475337764073711</v>
      </c>
      <c r="AW53" s="23">
        <f>EXP(-LN(2)/2)*AW52+(1-EXP(-LN(2)/2))/(LN(2)/2)*AQ53*AT53*VLOOKUP('Données projet'!$B$10,Paramètres!$A$1:$I$89,3,0)*0.475*44/12</f>
        <v>0.52951472648932807</v>
      </c>
      <c r="AX53" s="23">
        <f t="shared" si="6"/>
        <v>72.644007407102634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10.266666666666667</v>
      </c>
      <c r="BD53" s="13">
        <f>IF('Données projet'!$A$88&gt;35,BD52+BC53-BL52,IF(A53&lt;'Données projet'!$A$88,$BA$205^A53,IF(A53='Données projet'!$A$88,'Données projet'!$B$88,BD52+BC53-BL52)))</f>
        <v>99.733333333333334</v>
      </c>
      <c r="BE53" s="14">
        <f>BD53*VLOOKUP('Données projet'!$B$11,Paramètres!$A$1:$I$89,3,0)*VLOOKUP('Données projet'!$B$11,Paramètres!$A$1:$I$89,5,0)</f>
        <v>84.015360000000001</v>
      </c>
      <c r="BF53" s="14">
        <f t="shared" si="37"/>
        <v>23.116144771414429</v>
      </c>
      <c r="BG53" s="22">
        <f t="shared" si="7"/>
        <v>186.58737081021346</v>
      </c>
      <c r="BH53" s="62">
        <f t="shared" si="8"/>
        <v>479.9207041435468</v>
      </c>
      <c r="BI53" s="62">
        <f ca="1">AVERAGE(OFFSET($BH$3,0,0,'Données projet'!$E$11+1,1))-AVERAGE(OFFSET($H$3,0,0,'Données projet'!$E$11+1,1))</f>
        <v>339.58585574836434</v>
      </c>
      <c r="BJ53" s="62">
        <f t="shared" si="38"/>
        <v>42.267525972379588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1.0867525154653803</v>
      </c>
      <c r="BR53" s="23">
        <f>EXP(-LN(2)/2)*BR52+(1-EXP(-LN(2)/2))/(LN(2)/2)*BL53*BO53*VLOOKUP('Données projet'!$B$11,Paramètres!$A$1:$I$89,3,0)*0.475*44/12</f>
        <v>3.6956198855240383</v>
      </c>
      <c r="BS53" s="24">
        <f t="shared" si="9"/>
        <v>4.7823724009894182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59.13</v>
      </c>
      <c r="BW53" s="13">
        <f>VLOOKUP(A53,'Données projet'!$A$113:$I$133,9,0)</f>
        <v>4.9640000000000004</v>
      </c>
      <c r="BX53" s="13">
        <f t="array" ref="BX53">INDEX(BW:BW,MIN(IF(ISNUMBER(BW53:BW249),ROW(BW53:BW249),"")))</f>
        <v>4.9640000000000004</v>
      </c>
      <c r="BY53" s="13">
        <f>IF('Données projet'!$A$114&gt;35,BY52+BX53-CG52,IF(A53&lt;'Données projet'!$A$114,$BV$205^A53,IF(A53='Données projet'!$A$114,'Données projet'!$B$114,BY52+BX53-CG52)))</f>
        <v>59.129999999999995</v>
      </c>
      <c r="BZ53" s="14">
        <f>BY53*VLOOKUP('Données projet'!$B$12,Paramètres!$A$1:$I$89,3,0)*VLOOKUP('Données projet'!$B$12,Paramètres!$A$1:$I$89,5,0)</f>
        <v>59.035391999999995</v>
      </c>
      <c r="CA53" s="14">
        <f t="shared" si="39"/>
        <v>16.924156274475557</v>
      </c>
      <c r="CB53" s="22">
        <f t="shared" si="10"/>
        <v>132.29621324471157</v>
      </c>
      <c r="CC53" s="62">
        <f t="shared" si="11"/>
        <v>425.62954657804488</v>
      </c>
      <c r="CD53" s="62">
        <f ca="1">AVERAGE(OFFSET($CC$3,0,0,'Données projet'!$E$12+1,1))-AVERAGE(OFFSET($H$3,0,0,'Données projet'!$E$12+1,1))</f>
        <v>112.34884104798977</v>
      </c>
      <c r="CE53" s="62">
        <f t="shared" si="40"/>
        <v>18.665658139749326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12.45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4.3000000000000003E-2</v>
      </c>
      <c r="CJ53" s="17">
        <f>IF(ISNA(VLOOKUP(A53,'Données projet'!$A$113:$I$133,7,0)),0%,VLOOKUP(A53,'Données projet'!$A$113:$I$133,7,0))</f>
        <v>0.3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0.58854019877287966</v>
      </c>
      <c r="CM53" s="23">
        <f>EXP(-LN(2)/2)*CM52+(1-EXP(-LN(2)/2))/(LN(2)/2)*CG53*CJ53*VLOOKUP('Données projet'!$B$12,Paramètres!$A$1:$I$89,3,0)*0.475*44/12</f>
        <v>3.8855228507546369</v>
      </c>
      <c r="CN53" s="24">
        <f t="shared" si="12"/>
        <v>4.4740630495275164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3.502307692307693</v>
      </c>
      <c r="CT53" s="13">
        <f>IF('Données projet'!$A$140&gt;35,CT52+CS53-DB52,IF(A53&lt;'Données projet'!$A$140,$CQ$205^A53,IF(A53='Données projet'!$A$140,'Données projet'!$B$140,CT52+CS53-DB52)))</f>
        <v>103.68923076923082</v>
      </c>
      <c r="CU53" s="18">
        <f>CT53*VLOOKUP('Données projet'!$B$13,Paramètres!$A$1:$I$89,3,0)*VLOOKUP('Données projet'!$B$13,Paramètres!$A$1:$I$89,5,0)</f>
        <v>113.22864000000006</v>
      </c>
      <c r="CV53" s="14">
        <f t="shared" si="41"/>
        <v>30.090391866988909</v>
      </c>
      <c r="CW53" s="22">
        <f t="shared" si="13"/>
        <v>249.61398050167239</v>
      </c>
      <c r="CX53" s="62">
        <f t="shared" si="14"/>
        <v>542.94731383500573</v>
      </c>
      <c r="CY53" s="62">
        <f ca="1">AVERAGE(OFFSET($CX$3,0,0,'Données projet'!$E$13+1,1))-AVERAGE(OFFSET($H$3,0,0,'Données projet'!$E$13+1,1))</f>
        <v>205.21073681197737</v>
      </c>
      <c r="CZ53" s="62">
        <f t="shared" si="42"/>
        <v>175.16446313750316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7.4722148661542045</v>
      </c>
      <c r="DH53" s="23">
        <f>EXP(-LN(2)/2)*DH52+(1-EXP(-LN(2)/2))/(LN(2)/2)*DB53*DE53*VLOOKUP('Données projet'!$B$13,Paramètres!$A$1:$I$89,3,0)*0.475*44/12</f>
        <v>3.4718049985713599</v>
      </c>
      <c r="DI53" s="24">
        <f t="shared" si="15"/>
        <v>10.944019864725565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8.2880000000000003</v>
      </c>
      <c r="DO53" s="13">
        <f>IF('Données projet'!$A$166&gt;35,DO52+DN53-DW52,IF(A53&lt;'Données projet'!$A$166,$DL$205^A53,IF(A53='Données projet'!$A$166,'Données projet'!$B$166,DO52+DN53-DW52)))</f>
        <v>228.32000000000014</v>
      </c>
      <c r="DP53" s="18">
        <f>DO53*VLOOKUP('Données projet'!$B$14,Paramètres!$A$1:$I$89,3,0)*VLOOKUP('Données projet'!$B$14,Paramètres!$A$1:$I$89,5,0)</f>
        <v>185.21318400000013</v>
      </c>
      <c r="DQ53" s="14">
        <f t="shared" si="43"/>
        <v>46.48008929546107</v>
      </c>
      <c r="DR53" s="22">
        <f t="shared" si="16"/>
        <v>403.53245098959491</v>
      </c>
      <c r="DS53" s="62">
        <f t="shared" si="17"/>
        <v>696.86578432292822</v>
      </c>
      <c r="DT53" s="62">
        <f ca="1">AVERAGE(OFFSET($DS$3,0,0,'Données projet'!$E$14+1,1))-AVERAGE(OFFSET($H$3,0,0,'Données projet'!$E$14+1,1))</f>
        <v>223.63222290670075</v>
      </c>
      <c r="DU53" s="62">
        <f t="shared" si="44"/>
        <v>290.02663909417248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4.9035155418496048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0.41007362541960557</v>
      </c>
      <c r="ED53" s="24">
        <f t="shared" si="18"/>
        <v>5.3135891672692104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320.33944691418702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7.5749999999999957</v>
      </c>
      <c r="N54" s="14">
        <f>IF('Données projet'!$A$36&gt;35,N53+M54-V53,IF(A54&lt;'Données projet'!$A$36,$K$205^A54,IF(A54='Données projet'!$A$36,'Données projet'!$B$36,N53+M54-V53)))</f>
        <v>272.77499999999998</v>
      </c>
      <c r="O54" s="14">
        <f>N54*VLOOKUP('Données projet'!$B$9,Paramètres!$A$1:$I$89,3,0)*VLOOKUP('Données projet'!$B$9,Paramètres!$A$1:$I$89,5,0)</f>
        <v>163.11945</v>
      </c>
      <c r="P54" s="14">
        <f t="shared" si="33"/>
        <v>41.545323419436642</v>
      </c>
      <c r="Q54" s="22">
        <f t="shared" si="53"/>
        <v>356.45781370551884</v>
      </c>
      <c r="R54" s="62">
        <f t="shared" si="0"/>
        <v>649.79114703885216</v>
      </c>
      <c r="S54" s="62">
        <f ca="1">AVERAGE(OFFSET($R$3,0,0,'Données projet'!$E$9+1,1))-AVERAGE(OFFSET($H$3,0,0,'Données projet'!$E$9+1,1))</f>
        <v>192.24617268603629</v>
      </c>
      <c r="T54" s="62">
        <f t="shared" si="34"/>
        <v>192.48585280662832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19.37229365887368</v>
      </c>
      <c r="AA54" s="23">
        <f>EXP(-LN(2)/25)*AA53+(1-EXP(-LN(2)/25))/(LN(2)/25)*Calculateur!V54*Calculateur!X54*VLOOKUP('Données projet'!$B$9,Paramètres!$A$1:$I$89,3,0)*0.475*44/12</f>
        <v>9.689685941306843</v>
      </c>
      <c r="AB54" s="23">
        <f>EXP(-LN(2)/2)*AB53+(1-EXP(-LN(2)/2))/(LN(2)/2)*V54*Y54*VLOOKUP('Données projet'!$B$9,Paramètres!$A$1:$I$89,3,0)*0.475*44/12</f>
        <v>0.41625227267067916</v>
      </c>
      <c r="AC54" s="24">
        <f t="shared" si="3"/>
        <v>29.4782318728512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1.9999999998958629E-3</v>
      </c>
      <c r="AJ54" s="14">
        <f>AI54*VLOOKUP('Données projet'!$B$10,Paramètres!$A$1:$I$89,3,0)*VLOOKUP('Données projet'!$B$10,Paramètres!$A$1:$I$89,5,0)</f>
        <v>1.195999999937726E-3</v>
      </c>
      <c r="AK54" s="14">
        <f t="shared" si="35"/>
        <v>1.2062444695752218E-3</v>
      </c>
      <c r="AL54" s="22">
        <f t="shared" si="4"/>
        <v>4.1839091177350513E-3</v>
      </c>
      <c r="AM54" s="62">
        <f t="shared" si="5"/>
        <v>293.33751724245104</v>
      </c>
      <c r="AN54" s="62">
        <f ca="1">AVERAGE(OFFSET($AM$3,0,0,'Données projet'!$E$10+1,1))-AVERAGE(OFFSET($H$3,0,0,'Données projet'!$E$10+1,1))</f>
        <v>164.64952352018145</v>
      </c>
      <c r="AO54" s="62">
        <f t="shared" si="36"/>
        <v>280.08682720086921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52.587323805280249</v>
      </c>
      <c r="AV54" s="23">
        <f>EXP(-LN(2)/25)*AV53+(1-EXP(-LN(2)/25))/(LN(2)/25)*Calculateur!AQ54*Calculateur!AS54*VLOOKUP('Données projet'!$B$10,Paramètres!$A$1:$I$89,3,0)*0.475*44/12</f>
        <v>17.970128681339329</v>
      </c>
      <c r="AW54" s="23">
        <f>EXP(-LN(2)/2)*AW53+(1-EXP(-LN(2)/2))/(LN(2)/2)*AQ54*AT54*VLOOKUP('Données projet'!$B$10,Paramètres!$A$1:$I$89,3,0)*0.475*44/12</f>
        <v>0.37442345383874387</v>
      </c>
      <c r="AX54" s="23">
        <f t="shared" si="6"/>
        <v>70.931875940458326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10.266666666666667</v>
      </c>
      <c r="BD54" s="13">
        <f>IF('Données projet'!$A$88&gt;35,BD53+BC54-BL53,IF(A54&lt;'Données projet'!$A$88,$BA$205^A54,IF(A54='Données projet'!$A$88,'Données projet'!$B$88,BD53+BC54-BL53)))</f>
        <v>110</v>
      </c>
      <c r="BE54" s="14">
        <f>BD54*VLOOKUP('Données projet'!$B$11,Paramètres!$A$1:$I$89,3,0)*VLOOKUP('Données projet'!$B$11,Paramètres!$A$1:$I$89,5,0)</f>
        <v>92.664000000000016</v>
      </c>
      <c r="BF54" s="14">
        <f t="shared" si="37"/>
        <v>25.206622814445772</v>
      </c>
      <c r="BG54" s="22">
        <f t="shared" si="7"/>
        <v>205.29133473515978</v>
      </c>
      <c r="BH54" s="62">
        <f t="shared" si="8"/>
        <v>498.62466806849307</v>
      </c>
      <c r="BI54" s="62">
        <f ca="1">AVERAGE(OFFSET($BH$3,0,0,'Données projet'!$E$11+1,1))-AVERAGE(OFFSET($H$3,0,0,'Données projet'!$E$11+1,1))</f>
        <v>339.58585574836434</v>
      </c>
      <c r="BJ54" s="62">
        <f t="shared" si="38"/>
        <v>42.267525972379588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1.0570352107801486</v>
      </c>
      <c r="BR54" s="23">
        <f>EXP(-LN(2)/2)*BR53+(1-EXP(-LN(2)/2))/(LN(2)/2)*BL54*BO54*VLOOKUP('Données projet'!$B$11,Paramètres!$A$1:$I$89,3,0)*0.475*44/12</f>
        <v>2.6131978817418999</v>
      </c>
      <c r="BS54" s="24">
        <f t="shared" si="9"/>
        <v>3.6702330925220483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5.1869999999999994</v>
      </c>
      <c r="BY54" s="13">
        <f>IF('Données projet'!$A$114&gt;35,BY53+BX54-CG53,IF(A54&lt;'Données projet'!$A$114,$BV$205^A54,IF(A54='Données projet'!$A$114,'Données projet'!$B$114,BY53+BX54-CG53)))</f>
        <v>51.86699999999999</v>
      </c>
      <c r="BZ54" s="14">
        <f>BY54*VLOOKUP('Données projet'!$B$12,Paramètres!$A$1:$I$89,3,0)*VLOOKUP('Données projet'!$B$12,Paramètres!$A$1:$I$89,5,0)</f>
        <v>51.784012799999999</v>
      </c>
      <c r="CA54" s="14">
        <f t="shared" si="39"/>
        <v>15.073544471778357</v>
      </c>
      <c r="CB54" s="22">
        <f t="shared" si="10"/>
        <v>116.44357891501397</v>
      </c>
      <c r="CC54" s="62">
        <f t="shared" si="11"/>
        <v>409.77691224834729</v>
      </c>
      <c r="CD54" s="62">
        <f ca="1">AVERAGE(OFFSET($CC$3,0,0,'Données projet'!$E$12+1,1))-AVERAGE(OFFSET($H$3,0,0,'Données projet'!$E$12+1,1))</f>
        <v>112.34884104798977</v>
      </c>
      <c r="CE54" s="62">
        <f t="shared" si="40"/>
        <v>18.665658139749326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0.57244653608745133</v>
      </c>
      <c r="CM54" s="23">
        <f>EXP(-LN(2)/2)*CM53+(1-EXP(-LN(2)/2))/(LN(2)/2)*CG54*CJ54*VLOOKUP('Données projet'!$B$12,Paramètres!$A$1:$I$89,3,0)*0.475*44/12</f>
        <v>2.7474795562238894</v>
      </c>
      <c r="CN54" s="24">
        <f t="shared" si="12"/>
        <v>3.3199260923113405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3.502307692307693</v>
      </c>
      <c r="CT54" s="13">
        <f>IF('Données projet'!$A$140&gt;35,CT53+CS54-DB53,IF(A54&lt;'Données projet'!$A$140,$CQ$205^A54,IF(A54='Données projet'!$A$140,'Données projet'!$B$140,CT53+CS54-DB53)))</f>
        <v>107.19153846153851</v>
      </c>
      <c r="CU54" s="18">
        <f>CT54*VLOOKUP('Données projet'!$B$13,Paramètres!$A$1:$I$89,3,0)*VLOOKUP('Données projet'!$B$13,Paramètres!$A$1:$I$89,5,0)</f>
        <v>117.05316000000005</v>
      </c>
      <c r="CV54" s="14">
        <f t="shared" si="41"/>
        <v>30.98670585748274</v>
      </c>
      <c r="CW54" s="22">
        <f t="shared" si="13"/>
        <v>257.83609970178253</v>
      </c>
      <c r="CX54" s="62">
        <f t="shared" si="14"/>
        <v>551.16943303511584</v>
      </c>
      <c r="CY54" s="62">
        <f ca="1">AVERAGE(OFFSET($CX$3,0,0,'Données projet'!$E$13+1,1))-AVERAGE(OFFSET($H$3,0,0,'Données projet'!$E$13+1,1))</f>
        <v>205.21073681197737</v>
      </c>
      <c r="CZ54" s="62">
        <f t="shared" si="42"/>
        <v>175.16446313750316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7.2678867576925157</v>
      </c>
      <c r="DH54" s="23">
        <f>EXP(-LN(2)/2)*DH53+(1-EXP(-LN(2)/2))/(LN(2)/2)*DB54*DE54*VLOOKUP('Données projet'!$B$13,Paramètres!$A$1:$I$89,3,0)*0.475*44/12</f>
        <v>2.4549368574471608</v>
      </c>
      <c r="DI54" s="24">
        <f t="shared" si="15"/>
        <v>9.7228236151396761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8.2880000000000003</v>
      </c>
      <c r="DO54" s="13">
        <f>IF('Données projet'!$A$166&gt;35,DO53+DN54-DW53,IF(A54&lt;'Données projet'!$A$166,$DL$205^A54,IF(A54='Données projet'!$A$166,'Données projet'!$B$166,DO53+DN54-DW53)))</f>
        <v>236.60800000000015</v>
      </c>
      <c r="DP54" s="18">
        <f>DO54*VLOOKUP('Données projet'!$B$14,Paramètres!$A$1:$I$89,3,0)*VLOOKUP('Données projet'!$B$14,Paramètres!$A$1:$I$89,5,0)</f>
        <v>191.93640960000013</v>
      </c>
      <c r="DQ54" s="14">
        <f t="shared" si="43"/>
        <v>47.967812541916189</v>
      </c>
      <c r="DR54" s="22">
        <f t="shared" si="16"/>
        <v>417.83318689717089</v>
      </c>
      <c r="DS54" s="62">
        <f t="shared" si="17"/>
        <v>711.16652023050415</v>
      </c>
      <c r="DT54" s="62">
        <f ca="1">AVERAGE(OFFSET($DS$3,0,0,'Données projet'!$E$14+1,1))-AVERAGE(OFFSET($H$3,0,0,'Données projet'!$E$14+1,1))</f>
        <v>223.63222290670075</v>
      </c>
      <c r="DU54" s="62">
        <f t="shared" si="44"/>
        <v>290.02663909417248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4.8073605929230929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0.28996584131995529</v>
      </c>
      <c r="ED54" s="24">
        <f t="shared" si="18"/>
        <v>5.0973264342430484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321.55300177245209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7.5749999999999957</v>
      </c>
      <c r="N55" s="14">
        <f>IF('Données projet'!$A$36&gt;35,N54+M55-V54,IF(A55&lt;'Données projet'!$A$36,$K$205^A55,IF(A55='Données projet'!$A$36,'Données projet'!$B$36,N54+M55-V54)))</f>
        <v>280.34999999999997</v>
      </c>
      <c r="O55" s="14">
        <f>N55*VLOOKUP('Données projet'!$B$9,Paramètres!$A$1:$I$89,3,0)*VLOOKUP('Données projet'!$B$9,Paramètres!$A$1:$I$89,5,0)</f>
        <v>167.64929999999998</v>
      </c>
      <c r="P55" s="14">
        <f t="shared" si="33"/>
        <v>42.563119092877216</v>
      </c>
      <c r="Q55" s="22">
        <f t="shared" si="53"/>
        <v>366.11996325342778</v>
      </c>
      <c r="R55" s="62">
        <f t="shared" si="0"/>
        <v>659.4532965867611</v>
      </c>
      <c r="S55" s="62">
        <f ca="1">AVERAGE(OFFSET($R$3,0,0,'Données projet'!$E$9+1,1))-AVERAGE(OFFSET($H$3,0,0,'Données projet'!$E$9+1,1))</f>
        <v>192.24617268603629</v>
      </c>
      <c r="T55" s="62">
        <f t="shared" si="34"/>
        <v>192.48585280662832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18.992414796155572</v>
      </c>
      <c r="AA55" s="23">
        <f>EXP(-LN(2)/25)*AA54+(1-EXP(-LN(2)/25))/(LN(2)/25)*Calculateur!V55*Calculateur!X55*VLOOKUP('Données projet'!$B$9,Paramètres!$A$1:$I$89,3,0)*0.475*44/12</f>
        <v>9.4247209696833707</v>
      </c>
      <c r="AB55" s="23">
        <f>EXP(-LN(2)/2)*AB54+(1-EXP(-LN(2)/2))/(LN(2)/2)*V55*Y55*VLOOKUP('Données projet'!$B$9,Paramètres!$A$1:$I$89,3,0)*0.475*44/12</f>
        <v>0.29433480468974904</v>
      </c>
      <c r="AC55" s="24">
        <f t="shared" si="3"/>
        <v>28.711470570528693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1.9999999998958629E-3</v>
      </c>
      <c r="AJ55" s="14">
        <f>AI55*VLOOKUP('Données projet'!$B$10,Paramètres!$A$1:$I$89,3,0)*VLOOKUP('Données projet'!$B$10,Paramètres!$A$1:$I$89,5,0)</f>
        <v>1.195999999937726E-3</v>
      </c>
      <c r="AK55" s="14">
        <f t="shared" si="35"/>
        <v>1.2062444695752218E-3</v>
      </c>
      <c r="AL55" s="22">
        <f t="shared" si="4"/>
        <v>4.1839091177350513E-3</v>
      </c>
      <c r="AM55" s="62">
        <f t="shared" si="5"/>
        <v>293.33751724245104</v>
      </c>
      <c r="AN55" s="62">
        <f ca="1">AVERAGE(OFFSET($AM$3,0,0,'Données projet'!$E$10+1,1))-AVERAGE(OFFSET($H$3,0,0,'Données projet'!$E$10+1,1))</f>
        <v>164.64952352018145</v>
      </c>
      <c r="AO55" s="62">
        <f t="shared" si="36"/>
        <v>280.08682720086921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51.55611846055907</v>
      </c>
      <c r="AV55" s="23">
        <f>EXP(-LN(2)/25)*AV54+(1-EXP(-LN(2)/25))/(LN(2)/25)*Calculateur!AQ55*Calculateur!AS55*VLOOKUP('Données projet'!$B$10,Paramètres!$A$1:$I$89,3,0)*0.475*44/12</f>
        <v>17.478734567540108</v>
      </c>
      <c r="AW55" s="23">
        <f>EXP(-LN(2)/2)*AW54+(1-EXP(-LN(2)/2))/(LN(2)/2)*AQ55*AT55*VLOOKUP('Données projet'!$B$10,Paramètres!$A$1:$I$89,3,0)*0.475*44/12</f>
        <v>0.26475736324466403</v>
      </c>
      <c r="AX55" s="23">
        <f t="shared" si="6"/>
        <v>69.299610391343847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10.266666666666667</v>
      </c>
      <c r="BD55" s="13">
        <f>IF('Données projet'!$A$88&gt;35,BD54+BC55-BL54,IF(A55&lt;'Données projet'!$A$88,$BA$205^A55,IF(A55='Données projet'!$A$88,'Données projet'!$B$88,BD54+BC55-BL54)))</f>
        <v>120.26666666666667</v>
      </c>
      <c r="BE55" s="14">
        <f>BD55*VLOOKUP('Données projet'!$B$11,Paramètres!$A$1:$I$89,3,0)*VLOOKUP('Données projet'!$B$11,Paramètres!$A$1:$I$89,5,0)</f>
        <v>101.31264</v>
      </c>
      <c r="BF55" s="14">
        <f t="shared" si="37"/>
        <v>27.274478183204245</v>
      </c>
      <c r="BG55" s="22">
        <f t="shared" si="7"/>
        <v>223.95589750241402</v>
      </c>
      <c r="BH55" s="62">
        <f t="shared" si="8"/>
        <v>517.28923083574728</v>
      </c>
      <c r="BI55" s="62">
        <f ca="1">AVERAGE(OFFSET($BH$3,0,0,'Données projet'!$E$11+1,1))-AVERAGE(OFFSET($H$3,0,0,'Données projet'!$E$11+1,1))</f>
        <v>339.58585574836434</v>
      </c>
      <c r="BJ55" s="62">
        <f t="shared" si="38"/>
        <v>42.267525972379588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1.0281305273542996</v>
      </c>
      <c r="BR55" s="23">
        <f>EXP(-LN(2)/2)*BR54+(1-EXP(-LN(2)/2))/(LN(2)/2)*BL55*BO55*VLOOKUP('Données projet'!$B$11,Paramètres!$A$1:$I$89,3,0)*0.475*44/12</f>
        <v>1.8478099427620192</v>
      </c>
      <c r="BS55" s="24">
        <f t="shared" si="9"/>
        <v>2.8759404701163187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5.1869999999999994</v>
      </c>
      <c r="BY55" s="13">
        <f>IF('Données projet'!$A$114&gt;35,BY54+BX55-CG54,IF(A55&lt;'Données projet'!$A$114,$BV$205^A55,IF(A55='Données projet'!$A$114,'Données projet'!$B$114,BY54+BX55-CG54)))</f>
        <v>57.053999999999988</v>
      </c>
      <c r="BZ55" s="14">
        <f>BY55*VLOOKUP('Données projet'!$B$12,Paramètres!$A$1:$I$89,3,0)*VLOOKUP('Données projet'!$B$12,Paramètres!$A$1:$I$89,5,0)</f>
        <v>56.962713599999994</v>
      </c>
      <c r="CA55" s="14">
        <f t="shared" si="39"/>
        <v>16.398041492523578</v>
      </c>
      <c r="CB55" s="22">
        <f t="shared" si="10"/>
        <v>127.76998178614521</v>
      </c>
      <c r="CC55" s="62">
        <f t="shared" si="11"/>
        <v>421.10331511947851</v>
      </c>
      <c r="CD55" s="62">
        <f ca="1">AVERAGE(OFFSET($CC$3,0,0,'Données projet'!$E$12+1,1))-AVERAGE(OFFSET($H$3,0,0,'Données projet'!$E$12+1,1))</f>
        <v>112.34884104798977</v>
      </c>
      <c r="CE55" s="62">
        <f t="shared" si="40"/>
        <v>18.665658139749326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0.55679295545448504</v>
      </c>
      <c r="CM55" s="23">
        <f>EXP(-LN(2)/2)*CM54+(1-EXP(-LN(2)/2))/(LN(2)/2)*CG55*CJ55*VLOOKUP('Données projet'!$B$12,Paramètres!$A$1:$I$89,3,0)*0.475*44/12</f>
        <v>1.9427614253773187</v>
      </c>
      <c r="CN55" s="24">
        <f t="shared" si="12"/>
        <v>2.4995543808318037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3.502307692307693</v>
      </c>
      <c r="CT55" s="13">
        <f>IF('Données projet'!$A$140&gt;35,CT54+CS55-DB54,IF(A55&lt;'Données projet'!$A$140,$CQ$205^A55,IF(A55='Données projet'!$A$140,'Données projet'!$B$140,CT54+CS55-DB54)))</f>
        <v>110.69384615384621</v>
      </c>
      <c r="CU55" s="18">
        <f>CT55*VLOOKUP('Données projet'!$B$13,Paramètres!$A$1:$I$89,3,0)*VLOOKUP('Données projet'!$B$13,Paramètres!$A$1:$I$89,5,0)</f>
        <v>120.87768000000007</v>
      </c>
      <c r="CV55" s="14">
        <f t="shared" si="41"/>
        <v>31.879616839712579</v>
      </c>
      <c r="CW55" s="22">
        <f t="shared" si="13"/>
        <v>266.05229199583283</v>
      </c>
      <c r="CX55" s="62">
        <f t="shared" si="14"/>
        <v>559.38562532916615</v>
      </c>
      <c r="CY55" s="62">
        <f ca="1">AVERAGE(OFFSET($CX$3,0,0,'Données projet'!$E$13+1,1))-AVERAGE(OFFSET($H$3,0,0,'Données projet'!$E$13+1,1))</f>
        <v>205.21073681197737</v>
      </c>
      <c r="CZ55" s="62">
        <f t="shared" si="42"/>
        <v>175.16446313750316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7.0691460121018599</v>
      </c>
      <c r="DH55" s="23">
        <f>EXP(-LN(2)/2)*DH54+(1-EXP(-LN(2)/2))/(LN(2)/2)*DB55*DE55*VLOOKUP('Données projet'!$B$13,Paramètres!$A$1:$I$89,3,0)*0.475*44/12</f>
        <v>1.7359024992856802</v>
      </c>
      <c r="DI55" s="24">
        <f t="shared" si="15"/>
        <v>8.8050485113875396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8.2880000000000003</v>
      </c>
      <c r="DO55" s="13">
        <f>IF('Données projet'!$A$166&gt;35,DO54+DN55-DW54,IF(A55&lt;'Données projet'!$A$166,$DL$205^A55,IF(A55='Données projet'!$A$166,'Données projet'!$B$166,DO54+DN55-DW54)))</f>
        <v>244.89600000000016</v>
      </c>
      <c r="DP55" s="18">
        <f>DO55*VLOOKUP('Données projet'!$B$14,Paramètres!$A$1:$I$89,3,0)*VLOOKUP('Données projet'!$B$14,Paramètres!$A$1:$I$89,5,0)</f>
        <v>198.65963520000014</v>
      </c>
      <c r="DQ55" s="14">
        <f t="shared" si="43"/>
        <v>49.449480927055063</v>
      </c>
      <c r="DR55" s="22">
        <f t="shared" si="16"/>
        <v>432.12337725462112</v>
      </c>
      <c r="DS55" s="62">
        <f t="shared" si="17"/>
        <v>725.45671058795438</v>
      </c>
      <c r="DT55" s="62">
        <f ca="1">AVERAGE(OFFSET($DS$3,0,0,'Données projet'!$E$14+1,1))-AVERAGE(OFFSET($H$3,0,0,'Données projet'!$E$14+1,1))</f>
        <v>223.63222290670075</v>
      </c>
      <c r="DU55" s="62">
        <f t="shared" si="44"/>
        <v>290.02663909417248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4.7130911838963021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0.20503681270980278</v>
      </c>
      <c r="ED55" s="24">
        <f t="shared" si="18"/>
        <v>4.9181279966061044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322.76596941900885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7.5749999999999957</v>
      </c>
      <c r="N56" s="14">
        <f>IF('Données projet'!$A$36&gt;35,N55+M56-V55,IF(A56&lt;'Données projet'!$A$36,$K$205^A56,IF(A56='Données projet'!$A$36,'Données projet'!$B$36,N55+M56-V55)))</f>
        <v>287.92499999999995</v>
      </c>
      <c r="O56" s="14">
        <f>N56*VLOOKUP('Données projet'!$B$9,Paramètres!$A$1:$I$89,3,0)*VLOOKUP('Données projet'!$B$9,Paramètres!$A$1:$I$89,5,0)</f>
        <v>172.17914999999999</v>
      </c>
      <c r="P56" s="14">
        <f t="shared" si="33"/>
        <v>43.577718310315021</v>
      </c>
      <c r="Q56" s="22">
        <f t="shared" si="53"/>
        <v>375.77654564046526</v>
      </c>
      <c r="R56" s="62">
        <f t="shared" si="0"/>
        <v>669.10987897379857</v>
      </c>
      <c r="S56" s="62">
        <f ca="1">AVERAGE(OFFSET($R$3,0,0,'Données projet'!$E$9+1,1))-AVERAGE(OFFSET($H$3,0,0,'Données projet'!$E$9+1,1))</f>
        <v>192.24617268603629</v>
      </c>
      <c r="T56" s="62">
        <f t="shared" si="34"/>
        <v>192.48585280662832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18.619985126232137</v>
      </c>
      <c r="AA56" s="23">
        <f>EXP(-LN(2)/25)*AA55+(1-EXP(-LN(2)/25))/(LN(2)/25)*Calculateur!V56*Calculateur!X56*VLOOKUP('Données projet'!$B$9,Paramètres!$A$1:$I$89,3,0)*0.475*44/12</f>
        <v>9.1670014791428436</v>
      </c>
      <c r="AB56" s="23">
        <f>EXP(-LN(2)/2)*AB55+(1-EXP(-LN(2)/2))/(LN(2)/2)*V56*Y56*VLOOKUP('Données projet'!$B$9,Paramètres!$A$1:$I$89,3,0)*0.475*44/12</f>
        <v>0.20812613633533958</v>
      </c>
      <c r="AC56" s="24">
        <f t="shared" si="3"/>
        <v>27.995112741710322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1.9999999998958629E-3</v>
      </c>
      <c r="AJ56" s="14">
        <f>AI56*VLOOKUP('Données projet'!$B$10,Paramètres!$A$1:$I$89,3,0)*VLOOKUP('Données projet'!$B$10,Paramètres!$A$1:$I$89,5,0)</f>
        <v>1.195999999937726E-3</v>
      </c>
      <c r="AK56" s="14">
        <f t="shared" si="35"/>
        <v>1.2062444695752218E-3</v>
      </c>
      <c r="AL56" s="22">
        <f t="shared" si="4"/>
        <v>4.1839091177350513E-3</v>
      </c>
      <c r="AM56" s="62">
        <f t="shared" si="5"/>
        <v>293.33751724245104</v>
      </c>
      <c r="AN56" s="62">
        <f ca="1">AVERAGE(OFFSET($AM$3,0,0,'Données projet'!$E$10+1,1))-AVERAGE(OFFSET($H$3,0,0,'Données projet'!$E$10+1,1))</f>
        <v>164.64952352018145</v>
      </c>
      <c r="AO56" s="62">
        <f t="shared" si="36"/>
        <v>280.08682720086921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50.545134423674718</v>
      </c>
      <c r="AV56" s="23">
        <f>EXP(-LN(2)/25)*AV55+(1-EXP(-LN(2)/25))/(LN(2)/25)*Calculateur!AQ56*Calculateur!AS56*VLOOKUP('Données projet'!$B$10,Paramètres!$A$1:$I$89,3,0)*0.475*44/12</f>
        <v>17.00077765162402</v>
      </c>
      <c r="AW56" s="23">
        <f>EXP(-LN(2)/2)*AW55+(1-EXP(-LN(2)/2))/(LN(2)/2)*AQ56*AT56*VLOOKUP('Données projet'!$B$10,Paramètres!$A$1:$I$89,3,0)*0.475*44/12</f>
        <v>0.18721172691937193</v>
      </c>
      <c r="AX56" s="23">
        <f t="shared" si="6"/>
        <v>67.733123802218103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10.266666666666667</v>
      </c>
      <c r="BD56" s="13">
        <f>IF('Données projet'!$A$88&gt;35,BD55+BC56-BL55,IF(A56&lt;'Données projet'!$A$88,$BA$205^A56,IF(A56='Données projet'!$A$88,'Données projet'!$B$88,BD55+BC56-BL55)))</f>
        <v>130.53333333333333</v>
      </c>
      <c r="BE56" s="14">
        <f>BD56*VLOOKUP('Données projet'!$B$11,Paramètres!$A$1:$I$89,3,0)*VLOOKUP('Données projet'!$B$11,Paramètres!$A$1:$I$89,5,0)</f>
        <v>109.96128</v>
      </c>
      <c r="BF56" s="14">
        <f t="shared" si="37"/>
        <v>29.321861651637725</v>
      </c>
      <c r="BG56" s="22">
        <f t="shared" si="7"/>
        <v>242.58480504326903</v>
      </c>
      <c r="BH56" s="62">
        <f t="shared" si="8"/>
        <v>535.91813837660231</v>
      </c>
      <c r="BI56" s="62">
        <f ca="1">AVERAGE(OFFSET($BH$3,0,0,'Données projet'!$E$11+1,1))-AVERAGE(OFFSET($H$3,0,0,'Données projet'!$E$11+1,1))</f>
        <v>339.58585574836434</v>
      </c>
      <c r="BJ56" s="62">
        <f t="shared" si="38"/>
        <v>42.267525972379588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1.0000162440167617</v>
      </c>
      <c r="BR56" s="23">
        <f>EXP(-LN(2)/2)*BR55+(1-EXP(-LN(2)/2))/(LN(2)/2)*BL56*BO56*VLOOKUP('Données projet'!$B$11,Paramètres!$A$1:$I$89,3,0)*0.475*44/12</f>
        <v>1.30659894087095</v>
      </c>
      <c r="BS56" s="24">
        <f t="shared" si="9"/>
        <v>2.3066151848877117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5.1869999999999994</v>
      </c>
      <c r="BY56" s="13">
        <f>IF('Données projet'!$A$114&gt;35,BY55+BX56-CG55,IF(A56&lt;'Données projet'!$A$114,$BV$205^A56,IF(A56='Données projet'!$A$114,'Données projet'!$B$114,BY55+BX56-CG55)))</f>
        <v>62.240999999999985</v>
      </c>
      <c r="BZ56" s="14">
        <f>BY56*VLOOKUP('Données projet'!$B$12,Paramètres!$A$1:$I$89,3,0)*VLOOKUP('Données projet'!$B$12,Paramètres!$A$1:$I$89,5,0)</f>
        <v>62.141414399999995</v>
      </c>
      <c r="CA56" s="14">
        <f t="shared" si="39"/>
        <v>17.708575804664754</v>
      </c>
      <c r="CB56" s="22">
        <f t="shared" si="10"/>
        <v>139.07206627312442</v>
      </c>
      <c r="CC56" s="62">
        <f t="shared" si="11"/>
        <v>432.40539960645776</v>
      </c>
      <c r="CD56" s="62">
        <f ca="1">AVERAGE(OFFSET($CC$3,0,0,'Données projet'!$E$12+1,1))-AVERAGE(OFFSET($H$3,0,0,'Données projet'!$E$12+1,1))</f>
        <v>112.34884104798977</v>
      </c>
      <c r="CE56" s="62">
        <f t="shared" si="40"/>
        <v>18.665658139749326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0.54156742280711323</v>
      </c>
      <c r="CM56" s="23">
        <f>EXP(-LN(2)/2)*CM55+(1-EXP(-LN(2)/2))/(LN(2)/2)*CG56*CJ56*VLOOKUP('Données projet'!$B$12,Paramètres!$A$1:$I$89,3,0)*0.475*44/12</f>
        <v>1.3737397781119449</v>
      </c>
      <c r="CN56" s="24">
        <f t="shared" si="12"/>
        <v>1.9153072009190582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3.502307692307693</v>
      </c>
      <c r="CT56" s="13">
        <f>IF('Données projet'!$A$140&gt;35,CT55+CS56-DB55,IF(A56&lt;'Données projet'!$A$140,$CQ$205^A56,IF(A56='Données projet'!$A$140,'Données projet'!$B$140,CT55+CS56-DB55)))</f>
        <v>114.1961538461539</v>
      </c>
      <c r="CU56" s="18">
        <f>CT56*VLOOKUP('Données projet'!$B$13,Paramètres!$A$1:$I$89,3,0)*VLOOKUP('Données projet'!$B$13,Paramètres!$A$1:$I$89,5,0)</f>
        <v>124.70220000000006</v>
      </c>
      <c r="CV56" s="14">
        <f t="shared" si="41"/>
        <v>32.769244835788335</v>
      </c>
      <c r="CW56" s="22">
        <f t="shared" si="13"/>
        <v>274.26276642233148</v>
      </c>
      <c r="CX56" s="62">
        <f t="shared" si="14"/>
        <v>567.5960997556648</v>
      </c>
      <c r="CY56" s="62">
        <f ca="1">AVERAGE(OFFSET($CX$3,0,0,'Données projet'!$E$13+1,1))-AVERAGE(OFFSET($H$3,0,0,'Données projet'!$E$13+1,1))</f>
        <v>205.21073681197737</v>
      </c>
      <c r="CZ56" s="62">
        <f t="shared" si="42"/>
        <v>175.16446313750316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6.8758398426507021</v>
      </c>
      <c r="DH56" s="23">
        <f>EXP(-LN(2)/2)*DH55+(1-EXP(-LN(2)/2))/(LN(2)/2)*DB56*DE56*VLOOKUP('Données projet'!$B$13,Paramètres!$A$1:$I$89,3,0)*0.475*44/12</f>
        <v>1.2274684287235804</v>
      </c>
      <c r="DI56" s="24">
        <f t="shared" si="15"/>
        <v>8.1033082713742832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8.2880000000000003</v>
      </c>
      <c r="DO56" s="13">
        <f>IF('Données projet'!$A$166&gt;35,DO55+DN56-DW55,IF(A56&lt;'Données projet'!$A$166,$DL$205^A56,IF(A56='Données projet'!$A$166,'Données projet'!$B$166,DO55+DN56-DW55)))</f>
        <v>253.18400000000017</v>
      </c>
      <c r="DP56" s="18">
        <f>DO56*VLOOKUP('Données projet'!$B$14,Paramètres!$A$1:$I$89,3,0)*VLOOKUP('Données projet'!$B$14,Paramètres!$A$1:$I$89,5,0)</f>
        <v>205.38286080000017</v>
      </c>
      <c r="DQ56" s="14">
        <f t="shared" si="43"/>
        <v>50.92532285577488</v>
      </c>
      <c r="DR56" s="22">
        <f t="shared" si="16"/>
        <v>446.40341986714157</v>
      </c>
      <c r="DS56" s="62">
        <f t="shared" si="17"/>
        <v>739.73675320047482</v>
      </c>
      <c r="DT56" s="62">
        <f ca="1">AVERAGE(OFFSET($DS$3,0,0,'Données projet'!$E$14+1,1))-AVERAGE(OFFSET($H$3,0,0,'Données projet'!$E$14+1,1))</f>
        <v>223.63222290670075</v>
      </c>
      <c r="DU56" s="62">
        <f t="shared" si="44"/>
        <v>290.02663909417248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4.6206703404818645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0.14498292065997764</v>
      </c>
      <c r="ED56" s="24">
        <f t="shared" si="18"/>
        <v>4.7656532611418418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323.97836221087948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295.5</v>
      </c>
      <c r="L57" s="13">
        <f>VLOOKUP(A57,'Données projet'!$A$35:$I$55,9,0)</f>
        <v>7.5749999999999957</v>
      </c>
      <c r="M57" s="13">
        <f t="array" ref="M57">INDEX(L:L,MIN(IF(ISNUMBER(L57:L253),ROW(L57:L253),"")))</f>
        <v>7.5749999999999957</v>
      </c>
      <c r="N57" s="14">
        <f>IF('Données projet'!$A$36&gt;35,N56+M57-V56,IF(A57&lt;'Données projet'!$A$36,$K$205^A57,IF(A57='Données projet'!$A$36,'Données projet'!$B$36,N56+M57-V56)))</f>
        <v>295.49999999999994</v>
      </c>
      <c r="O57" s="14">
        <f>N57*VLOOKUP('Données projet'!$B$9,Paramètres!$A$1:$I$89,3,0)*VLOOKUP('Données projet'!$B$9,Paramètres!$A$1:$I$89,5,0)</f>
        <v>176.70899999999997</v>
      </c>
      <c r="P57" s="14">
        <f t="shared" si="33"/>
        <v>44.589214834089773</v>
      </c>
      <c r="Q57" s="22">
        <f t="shared" si="53"/>
        <v>385.42772416937299</v>
      </c>
      <c r="R57" s="62">
        <f t="shared" si="0"/>
        <v>678.76105750270631</v>
      </c>
      <c r="S57" s="62">
        <f ca="1">AVERAGE(OFFSET($R$3,0,0,'Données projet'!$E$9+1,1))-AVERAGE(OFFSET($H$3,0,0,'Données projet'!$E$9+1,1))</f>
        <v>192.24617268603629</v>
      </c>
      <c r="T57" s="62">
        <f t="shared" si="34"/>
        <v>192.48585280662832</v>
      </c>
      <c r="U57" s="16">
        <f>IF(ISNA(VLOOKUP(A57,'Données projet'!$A$35:$I$55,3,0)),0,VLOOKUP(A57,'Données projet'!$A$35:$I$55,3,0))</f>
        <v>9</v>
      </c>
      <c r="V57" s="16">
        <f>IF(ISNA(VLOOKUP(A57,'Données projet'!$A$35:$I$55,4,0)),0,VLOOKUP(A57,'Données projet'!$A$35:$I$55,4,0))</f>
        <v>15.6</v>
      </c>
      <c r="W57" s="17">
        <f>IF(ISNA(VLOOKUP(A57,'Données projet'!$A$35:$I$55,5,0)),0%,VLOOKUP(A57,'Données projet'!$A$35:$I$55,5,0)*VLOOKUP('Données projet'!$B$9,Paramètres!$A$1:$I$89,7,0))</f>
        <v>0.27</v>
      </c>
      <c r="X57" s="17">
        <f>IF(ISNA(VLOOKUP(A57,'Données projet'!$A$35:$I$55,6,0)),0%,VLOOKUP(A57,'Données projet'!$A$35:$I$55,6,0)*VLOOKUP('Données projet'!$B$9,Paramètres!$A$1:$I$89,7,0))</f>
        <v>9.0000000000000011E-2</v>
      </c>
      <c r="Y57" s="17">
        <f>IF(ISNA(VLOOKUP(A57,'Données projet'!$A$35:$I$55,7,0)),0%,VLOOKUP(A57,'Données projet'!$A$35:$I$55,7,0))</f>
        <v>0.1</v>
      </c>
      <c r="Z57" s="23">
        <f>EXP(-LN(2)/35)*Z56+(1-EXP(-LN(2)/35))/(LN(2)/35)*V57*W57*VLOOKUP('Données projet'!$B$9,Paramètres!$A$1:$I$89,3,0)*0.475*44/12</f>
        <v>21.596177287790418</v>
      </c>
      <c r="AA57" s="23">
        <f>EXP(-LN(2)/25)*AA56+(1-EXP(-LN(2)/25))/(LN(2)/25)*Calculateur!V57*Calculateur!X57*VLOOKUP('Données projet'!$B$9,Paramètres!$A$1:$I$89,3,0)*0.475*44/12</f>
        <v>10.025716897590558</v>
      </c>
      <c r="AB57" s="23">
        <f>EXP(-LN(2)/2)*AB56+(1-EXP(-LN(2)/2))/(LN(2)/2)*V57*Y57*VLOOKUP('Données projet'!$B$9,Paramètres!$A$1:$I$89,3,0)*0.475*44/12</f>
        <v>1.2034042680613641</v>
      </c>
      <c r="AC57" s="24">
        <f t="shared" si="3"/>
        <v>32.825298453442336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1.9999999998958629E-3</v>
      </c>
      <c r="AJ57" s="14">
        <f>AI57*VLOOKUP('Données projet'!$B$10,Paramètres!$A$1:$I$89,3,0)*VLOOKUP('Données projet'!$B$10,Paramètres!$A$1:$I$89,5,0)</f>
        <v>1.195999999937726E-3</v>
      </c>
      <c r="AK57" s="14">
        <f t="shared" si="35"/>
        <v>1.2062444695752218E-3</v>
      </c>
      <c r="AL57" s="22">
        <f t="shared" si="4"/>
        <v>4.1839091177350513E-3</v>
      </c>
      <c r="AM57" s="62">
        <f t="shared" si="5"/>
        <v>293.33751724245104</v>
      </c>
      <c r="AN57" s="62">
        <f ca="1">AVERAGE(OFFSET($AM$3,0,0,'Données projet'!$E$10+1,1))-AVERAGE(OFFSET($H$3,0,0,'Données projet'!$E$10+1,1))</f>
        <v>164.64952352018145</v>
      </c>
      <c r="AO57" s="62">
        <f t="shared" si="36"/>
        <v>280.08682720086921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49.553975167114295</v>
      </c>
      <c r="AV57" s="23">
        <f>EXP(-LN(2)/25)*AV56+(1-EXP(-LN(2)/25))/(LN(2)/25)*Calculateur!AQ57*Calculateur!AS57*VLOOKUP('Données projet'!$B$10,Paramètres!$A$1:$I$89,3,0)*0.475*44/12</f>
        <v>16.535890492708319</v>
      </c>
      <c r="AW57" s="23">
        <f>EXP(-LN(2)/2)*AW56+(1-EXP(-LN(2)/2))/(LN(2)/2)*AQ57*AT57*VLOOKUP('Données projet'!$B$10,Paramètres!$A$1:$I$89,3,0)*0.475*44/12</f>
        <v>0.13237868162233202</v>
      </c>
      <c r="AX57" s="23">
        <f t="shared" si="6"/>
        <v>66.222244341444934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>
        <f>VLOOKUP(A57,'Données projet'!$A$87:$I$107,2,0)</f>
        <v>140.80000000000001</v>
      </c>
      <c r="BB57" s="13">
        <f>VLOOKUP(A57,'Données projet'!$A$87:$I$107,9,0)</f>
        <v>10.266666666666667</v>
      </c>
      <c r="BC57" s="13">
        <f t="array" ref="BC57">INDEX(BB:BB,MIN(IF(ISNUMBER(BB57:BB253),ROW(BB57:BB253),"")))</f>
        <v>10.266666666666667</v>
      </c>
      <c r="BD57" s="13">
        <f>IF('Données projet'!$A$88&gt;35,BD56+BC57-BL56,IF(A57&lt;'Données projet'!$A$88,$BA$205^A57,IF(A57='Données projet'!$A$88,'Données projet'!$B$88,BD56+BC57-BL56)))</f>
        <v>140.80000000000001</v>
      </c>
      <c r="BE57" s="14">
        <f>BD57*VLOOKUP('Données projet'!$B$11,Paramètres!$A$1:$I$89,3,0)*VLOOKUP('Données projet'!$B$11,Paramètres!$A$1:$I$89,5,0)</f>
        <v>118.60992000000002</v>
      </c>
      <c r="BF57" s="14">
        <f t="shared" si="37"/>
        <v>31.35056643275615</v>
      </c>
      <c r="BG57" s="22">
        <f t="shared" si="7"/>
        <v>261.18118053705035</v>
      </c>
      <c r="BH57" s="62">
        <f t="shared" si="8"/>
        <v>554.51451387038367</v>
      </c>
      <c r="BI57" s="62">
        <f ca="1">AVERAGE(OFFSET($BH$3,0,0,'Données projet'!$E$11+1,1))-AVERAGE(OFFSET($H$3,0,0,'Données projet'!$E$11+1,1))</f>
        <v>339.58585574836434</v>
      </c>
      <c r="BJ57" s="62">
        <f t="shared" si="38"/>
        <v>42.267525972379588</v>
      </c>
      <c r="BK57" s="16">
        <f>IF(ISNA(VLOOKUP(A57,'Données projet'!$A$87:$I$107,3,0)),0,VLOOKUP(A57,'Données projet'!$A$87:$I$107,3,0))</f>
        <v>5</v>
      </c>
      <c r="BL57" s="16">
        <f>IF(ISNA(VLOOKUP(A57,'Données projet'!$A$87:$I$107,4,0)),0,VLOOKUP(A57,'Données projet'!$A$87:$I$107,4,0))</f>
        <v>51.2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4.3000000000000003E-2</v>
      </c>
      <c r="BO57" s="17">
        <f>IF(ISNA(VLOOKUP(A57,'Données projet'!$A$87:$I$107,7,0)),0%,VLOOKUP(A57,'Données projet'!$A$87:$I$107,7,0))</f>
        <v>0.3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3.0148343285197643</v>
      </c>
      <c r="BR57" s="23">
        <f>EXP(-LN(2)/2)*BR56+(1-EXP(-LN(2)/2))/(LN(2)/2)*BL57*BO57*VLOOKUP('Données projet'!$B$11,Paramètres!$A$1:$I$89,3,0)*0.475*44/12</f>
        <v>13.132448810565586</v>
      </c>
      <c r="BS57" s="24">
        <f t="shared" si="9"/>
        <v>16.147283139085349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5.1869999999999994</v>
      </c>
      <c r="BY57" s="13">
        <f>IF('Données projet'!$A$114&gt;35,BY56+BX57-CG56,IF(A57&lt;'Données projet'!$A$114,$BV$205^A57,IF(A57='Données projet'!$A$114,'Données projet'!$B$114,BY56+BX57-CG56)))</f>
        <v>67.427999999999983</v>
      </c>
      <c r="BZ57" s="14">
        <f>BY57*VLOOKUP('Données projet'!$B$12,Paramètres!$A$1:$I$89,3,0)*VLOOKUP('Données projet'!$B$12,Paramètres!$A$1:$I$89,5,0)</f>
        <v>67.320115199999989</v>
      </c>
      <c r="CA57" s="14">
        <f t="shared" si="39"/>
        <v>19.006443316049349</v>
      </c>
      <c r="CB57" s="22">
        <f t="shared" si="10"/>
        <v>150.35208941545261</v>
      </c>
      <c r="CC57" s="62">
        <f t="shared" si="11"/>
        <v>443.68542274878592</v>
      </c>
      <c r="CD57" s="62">
        <f ca="1">AVERAGE(OFFSET($CC$3,0,0,'Données projet'!$E$12+1,1))-AVERAGE(OFFSET($H$3,0,0,'Données projet'!$E$12+1,1))</f>
        <v>112.34884104798977</v>
      </c>
      <c r="CE57" s="62">
        <f t="shared" si="40"/>
        <v>18.665658139749326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0.52675823315065973</v>
      </c>
      <c r="CM57" s="23">
        <f>EXP(-LN(2)/2)*CM56+(1-EXP(-LN(2)/2))/(LN(2)/2)*CG57*CJ57*VLOOKUP('Données projet'!$B$12,Paramètres!$A$1:$I$89,3,0)*0.475*44/12</f>
        <v>0.97138071268865944</v>
      </c>
      <c r="CN57" s="24">
        <f t="shared" si="12"/>
        <v>1.4981389458393193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3.502307692307693</v>
      </c>
      <c r="CT57" s="13">
        <f>IF('Données projet'!$A$140&gt;35,CT56+CS57-DB56,IF(A57&lt;'Données projet'!$A$140,$CQ$205^A57,IF(A57='Données projet'!$A$140,'Données projet'!$B$140,CT56+CS57-DB56)))</f>
        <v>117.6984615384616</v>
      </c>
      <c r="CU57" s="18">
        <f>CT57*VLOOKUP('Données projet'!$B$13,Paramètres!$A$1:$I$89,3,0)*VLOOKUP('Données projet'!$B$13,Paramètres!$A$1:$I$89,5,0)</f>
        <v>128.52672000000007</v>
      </c>
      <c r="CV57" s="14">
        <f t="shared" si="41"/>
        <v>33.655702087573246</v>
      </c>
      <c r="CW57" s="22">
        <f t="shared" si="13"/>
        <v>282.46771846919017</v>
      </c>
      <c r="CX57" s="62">
        <f t="shared" si="14"/>
        <v>575.80105180252349</v>
      </c>
      <c r="CY57" s="62">
        <f ca="1">AVERAGE(OFFSET($CX$3,0,0,'Données projet'!$E$13+1,1))-AVERAGE(OFFSET($H$3,0,0,'Données projet'!$E$13+1,1))</f>
        <v>205.21073681197737</v>
      </c>
      <c r="CZ57" s="62">
        <f t="shared" si="42"/>
        <v>175.16446313750316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6.6878196405687165</v>
      </c>
      <c r="DH57" s="23">
        <f>EXP(-LN(2)/2)*DH56+(1-EXP(-LN(2)/2))/(LN(2)/2)*DB57*DE57*VLOOKUP('Données projet'!$B$13,Paramètres!$A$1:$I$89,3,0)*0.475*44/12</f>
        <v>0.86795124964284009</v>
      </c>
      <c r="DI57" s="24">
        <f t="shared" si="15"/>
        <v>7.5557708902115568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8.2880000000000003</v>
      </c>
      <c r="DO57" s="13">
        <f>IF('Données projet'!$A$166&gt;35,DO56+DN57-DW56,IF(A57&lt;'Données projet'!$A$166,$DL$205^A57,IF(A57='Données projet'!$A$166,'Données projet'!$B$166,DO56+DN57-DW56)))</f>
        <v>261.47200000000015</v>
      </c>
      <c r="DP57" s="18">
        <f>DO57*VLOOKUP('Données projet'!$B$14,Paramètres!$A$1:$I$89,3,0)*VLOOKUP('Données projet'!$B$14,Paramètres!$A$1:$I$89,5,0)</f>
        <v>212.10608640000015</v>
      </c>
      <c r="DQ57" s="14">
        <f t="shared" si="43"/>
        <v>52.39555093049151</v>
      </c>
      <c r="DR57" s="22">
        <f t="shared" si="16"/>
        <v>460.67368501727304</v>
      </c>
      <c r="DS57" s="62">
        <f t="shared" si="17"/>
        <v>754.00701835060636</v>
      </c>
      <c r="DT57" s="62">
        <f ca="1">AVERAGE(OFFSET($DS$3,0,0,'Données projet'!$E$14+1,1))-AVERAGE(OFFSET($H$3,0,0,'Données projet'!$E$14+1,1))</f>
        <v>223.63222290670075</v>
      </c>
      <c r="DU57" s="62">
        <f t="shared" si="44"/>
        <v>290.02663909417248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4.5300618134356361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0.10251840635490139</v>
      </c>
      <c r="ED57" s="24">
        <f t="shared" si="18"/>
        <v>4.6325802197905377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325.19019202122132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3.6125000000000043</v>
      </c>
      <c r="N58" s="14">
        <f>IF('Données projet'!$A$36&gt;35,N57+M58-V57,IF(A58&lt;'Données projet'!$A$36,$K$205^A58,IF(A58='Données projet'!$A$36,'Données projet'!$B$36,N57+M58-V57)))</f>
        <v>283.51249999999993</v>
      </c>
      <c r="O58" s="14">
        <f>N58*VLOOKUP('Données projet'!$B$9,Paramètres!$A$1:$I$89,3,0)*VLOOKUP('Données projet'!$B$9,Paramètres!$A$1:$I$89,5,0)</f>
        <v>169.54047499999999</v>
      </c>
      <c r="P58" s="14">
        <f t="shared" si="33"/>
        <v>42.987089064316692</v>
      </c>
      <c r="Q58" s="22">
        <f t="shared" si="53"/>
        <v>370.15217407868482</v>
      </c>
      <c r="R58" s="62">
        <f t="shared" si="0"/>
        <v>663.48550741201814</v>
      </c>
      <c r="S58" s="62">
        <f ca="1">AVERAGE(OFFSET($R$3,0,0,'Données projet'!$E$9+1,1))-AVERAGE(OFFSET($H$3,0,0,'Données projet'!$E$9+1,1))</f>
        <v>192.24617268603629</v>
      </c>
      <c r="T58" s="62">
        <f t="shared" si="34"/>
        <v>192.48585280662832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21.17268942354433</v>
      </c>
      <c r="AA58" s="23">
        <f>EXP(-LN(2)/25)*AA57+(1-EXP(-LN(2)/25))/(LN(2)/25)*Calculateur!V58*Calculateur!X58*VLOOKUP('Données projet'!$B$9,Paramètres!$A$1:$I$89,3,0)*0.475*44/12</f>
        <v>9.7515631417964066</v>
      </c>
      <c r="AB58" s="23">
        <f>EXP(-LN(2)/2)*AB57+(1-EXP(-LN(2)/2))/(LN(2)/2)*V58*Y58*VLOOKUP('Données projet'!$B$9,Paramètres!$A$1:$I$89,3,0)*0.475*44/12</f>
        <v>0.85093531845502446</v>
      </c>
      <c r="AC58" s="24">
        <f t="shared" si="3"/>
        <v>31.775187883795763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1.9999999998958629E-3</v>
      </c>
      <c r="AJ58" s="14">
        <f>AI58*VLOOKUP('Données projet'!$B$10,Paramètres!$A$1:$I$89,3,0)*VLOOKUP('Données projet'!$B$10,Paramètres!$A$1:$I$89,5,0)</f>
        <v>1.195999999937726E-3</v>
      </c>
      <c r="AK58" s="14">
        <f t="shared" si="35"/>
        <v>1.2062444695752218E-3</v>
      </c>
      <c r="AL58" s="22">
        <f t="shared" si="4"/>
        <v>4.1839091177350513E-3</v>
      </c>
      <c r="AM58" s="62">
        <f t="shared" si="5"/>
        <v>293.33751724245104</v>
      </c>
      <c r="AN58" s="62">
        <f ca="1">AVERAGE(OFFSET($AM$3,0,0,'Données projet'!$E$10+1,1))-AVERAGE(OFFSET($H$3,0,0,'Données projet'!$E$10+1,1))</f>
        <v>164.64952352018145</v>
      </c>
      <c r="AO58" s="62">
        <f t="shared" si="36"/>
        <v>280.08682720086921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48.582251939027572</v>
      </c>
      <c r="AV58" s="23">
        <f>EXP(-LN(2)/25)*AV57+(1-EXP(-LN(2)/25))/(LN(2)/25)*Calculateur!AQ58*Calculateur!AS58*VLOOKUP('Données projet'!$B$10,Paramètres!$A$1:$I$89,3,0)*0.475*44/12</f>
        <v>16.083715697600521</v>
      </c>
      <c r="AW58" s="23">
        <f>EXP(-LN(2)/2)*AW57+(1-EXP(-LN(2)/2))/(LN(2)/2)*AQ58*AT58*VLOOKUP('Données projet'!$B$10,Paramètres!$A$1:$I$89,3,0)*0.475*44/12</f>
        <v>9.3605863459685967E-2</v>
      </c>
      <c r="AX58" s="23">
        <f t="shared" si="6"/>
        <v>64.759573500087782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13.28</v>
      </c>
      <c r="BD58" s="13">
        <f>IF('Données projet'!$A$88&gt;35,BD57+BC58-BL57,IF(A58&lt;'Données projet'!$A$88,$BA$205^A58,IF(A58='Données projet'!$A$88,'Données projet'!$B$88,BD57+BC58-BL57)))</f>
        <v>102.88000000000001</v>
      </c>
      <c r="BE58" s="14">
        <f>BD58*VLOOKUP('Données projet'!$B$11,Paramètres!$A$1:$I$89,3,0)*VLOOKUP('Données projet'!$B$11,Paramètres!$A$1:$I$89,5,0)</f>
        <v>86.666112000000012</v>
      </c>
      <c r="BF58" s="14">
        <f t="shared" si="37"/>
        <v>23.759413642407651</v>
      </c>
      <c r="BG58" s="22">
        <f t="shared" si="7"/>
        <v>192.32445716052666</v>
      </c>
      <c r="BH58" s="62">
        <f t="shared" si="8"/>
        <v>485.65779049385998</v>
      </c>
      <c r="BI58" s="62">
        <f ca="1">AVERAGE(OFFSET($BH$3,0,0,'Données projet'!$E$11+1,1))-AVERAGE(OFFSET($H$3,0,0,'Données projet'!$E$11+1,1))</f>
        <v>339.58585574836434</v>
      </c>
      <c r="BJ58" s="62">
        <f t="shared" si="38"/>
        <v>42.267525972379588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2.9323935252631443</v>
      </c>
      <c r="BR58" s="23">
        <f>EXP(-LN(2)/2)*BR57+(1-EXP(-LN(2)/2))/(LN(2)/2)*BL58*BO58*VLOOKUP('Données projet'!$B$11,Paramètres!$A$1:$I$89,3,0)*0.475*44/12</f>
        <v>9.2860436075361363</v>
      </c>
      <c r="BS58" s="24">
        <f t="shared" si="9"/>
        <v>12.218437132799281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5.1869999999999994</v>
      </c>
      <c r="BY58" s="13">
        <f>IF('Données projet'!$A$114&gt;35,BY57+BX58-CG57,IF(A58&lt;'Données projet'!$A$114,$BV$205^A58,IF(A58='Données projet'!$A$114,'Données projet'!$B$114,BY57+BX58-CG57)))</f>
        <v>72.614999999999981</v>
      </c>
      <c r="BZ58" s="14">
        <f>BY58*VLOOKUP('Données projet'!$B$12,Paramètres!$A$1:$I$89,3,0)*VLOOKUP('Données projet'!$B$12,Paramètres!$A$1:$I$89,5,0)</f>
        <v>72.498815999999991</v>
      </c>
      <c r="CA58" s="14">
        <f t="shared" si="39"/>
        <v>20.292729229168554</v>
      </c>
      <c r="CB58" s="22">
        <f t="shared" si="10"/>
        <v>161.61194127413521</v>
      </c>
      <c r="CC58" s="62">
        <f t="shared" si="11"/>
        <v>454.94527460746849</v>
      </c>
      <c r="CD58" s="62">
        <f ca="1">AVERAGE(OFFSET($CC$3,0,0,'Données projet'!$E$12+1,1))-AVERAGE(OFFSET($H$3,0,0,'Données projet'!$E$12+1,1))</f>
        <v>112.34884104798977</v>
      </c>
      <c r="CE58" s="62">
        <f t="shared" si="40"/>
        <v>18.665658139749326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0.51235400156414335</v>
      </c>
      <c r="CM58" s="23">
        <f>EXP(-LN(2)/2)*CM57+(1-EXP(-LN(2)/2))/(LN(2)/2)*CG58*CJ58*VLOOKUP('Données projet'!$B$12,Paramètres!$A$1:$I$89,3,0)*0.475*44/12</f>
        <v>0.68686988905597257</v>
      </c>
      <c r="CN58" s="24">
        <f t="shared" si="12"/>
        <v>1.1992238906201158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3.502307692307693</v>
      </c>
      <c r="CT58" s="13">
        <f>IF('Données projet'!$A$140&gt;35,CT57+CS58-DB57,IF(A58&lt;'Données projet'!$A$140,$CQ$205^A58,IF(A58='Données projet'!$A$140,'Données projet'!$B$140,CT57+CS58-DB57)))</f>
        <v>121.2007692307693</v>
      </c>
      <c r="CU58" s="18">
        <f>CT58*VLOOKUP('Données projet'!$B$13,Paramètres!$A$1:$I$89,3,0)*VLOOKUP('Données projet'!$B$13,Paramètres!$A$1:$I$89,5,0)</f>
        <v>132.35124000000008</v>
      </c>
      <c r="CV58" s="14">
        <f t="shared" si="41"/>
        <v>34.539093777357628</v>
      </c>
      <c r="CW58" s="22">
        <f t="shared" si="13"/>
        <v>290.667331328898</v>
      </c>
      <c r="CX58" s="62">
        <f t="shared" si="14"/>
        <v>584.00066466223132</v>
      </c>
      <c r="CY58" s="62">
        <f ca="1">AVERAGE(OFFSET($CX$3,0,0,'Données projet'!$E$13+1,1))-AVERAGE(OFFSET($H$3,0,0,'Données projet'!$E$13+1,1))</f>
        <v>205.21073681197737</v>
      </c>
      <c r="CZ58" s="62">
        <f t="shared" si="42"/>
        <v>175.16446313750316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6.5049408608002155</v>
      </c>
      <c r="DH58" s="23">
        <f>EXP(-LN(2)/2)*DH57+(1-EXP(-LN(2)/2))/(LN(2)/2)*DB58*DE58*VLOOKUP('Données projet'!$B$13,Paramètres!$A$1:$I$89,3,0)*0.475*44/12</f>
        <v>0.61373421436179021</v>
      </c>
      <c r="DI58" s="24">
        <f t="shared" si="15"/>
        <v>7.118675075162006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8.2880000000000003</v>
      </c>
      <c r="DO58" s="13">
        <f>IF('Données projet'!$A$166&gt;35,DO57+DN58-DW57,IF(A58&lt;'Données projet'!$A$166,$DL$205^A58,IF(A58='Données projet'!$A$166,'Données projet'!$B$166,DO57+DN58-DW57)))</f>
        <v>269.76000000000016</v>
      </c>
      <c r="DP58" s="18">
        <f>DO58*VLOOKUP('Données projet'!$B$14,Paramètres!$A$1:$I$89,3,0)*VLOOKUP('Données projet'!$B$14,Paramètres!$A$1:$I$89,5,0)</f>
        <v>218.82931200000016</v>
      </c>
      <c r="DQ58" s="14">
        <f t="shared" si="43"/>
        <v>53.860363510328973</v>
      </c>
      <c r="DR58" s="22">
        <f t="shared" si="16"/>
        <v>474.93451818048993</v>
      </c>
      <c r="DS58" s="62">
        <f t="shared" si="17"/>
        <v>768.26785151382319</v>
      </c>
      <c r="DT58" s="62">
        <f ca="1">AVERAGE(OFFSET($DS$3,0,0,'Données projet'!$E$14+1,1))-AVERAGE(OFFSET($H$3,0,0,'Données projet'!$E$14+1,1))</f>
        <v>223.63222290670075</v>
      </c>
      <c r="DU58" s="62">
        <f t="shared" si="44"/>
        <v>290.02663909417248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4.4412300643390399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7.2491460329988822E-2</v>
      </c>
      <c r="ED58" s="24">
        <f t="shared" si="18"/>
        <v>4.5137215246690285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326.40147026672037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3.6125000000000043</v>
      </c>
      <c r="N59" s="14">
        <f>IF('Données projet'!$A$36&gt;35,N58+M59-V58,IF(A59&lt;'Données projet'!$A$36,$K$205^A59,IF(A59='Données projet'!$A$36,'Données projet'!$B$36,N58+M59-V58)))</f>
        <v>287.12499999999994</v>
      </c>
      <c r="O59" s="14">
        <f>N59*VLOOKUP('Données projet'!$B$9,Paramètres!$A$1:$I$89,3,0)*VLOOKUP('Données projet'!$B$9,Paramètres!$A$1:$I$89,5,0)</f>
        <v>171.70075</v>
      </c>
      <c r="P59" s="14">
        <f t="shared" si="33"/>
        <v>43.470714041878111</v>
      </c>
      <c r="Q59" s="22">
        <f t="shared" si="53"/>
        <v>374.75696653960432</v>
      </c>
      <c r="R59" s="62">
        <f t="shared" si="0"/>
        <v>668.09029987293763</v>
      </c>
      <c r="S59" s="62">
        <f ca="1">AVERAGE(OFFSET($R$3,0,0,'Données projet'!$E$9+1,1))-AVERAGE(OFFSET($H$3,0,0,'Données projet'!$E$9+1,1))</f>
        <v>192.24617268603629</v>
      </c>
      <c r="T59" s="62">
        <f t="shared" si="34"/>
        <v>192.48585280662832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20.757505898014017</v>
      </c>
      <c r="AA59" s="23">
        <f>EXP(-LN(2)/25)*AA58+(1-EXP(-LN(2)/25))/(LN(2)/25)*Calculateur!V59*Calculateur!X59*VLOOKUP('Données projet'!$B$9,Paramètres!$A$1:$I$89,3,0)*0.475*44/12</f>
        <v>9.4849061348715651</v>
      </c>
      <c r="AB59" s="23">
        <f>EXP(-LN(2)/2)*AB58+(1-EXP(-LN(2)/2))/(LN(2)/2)*V59*Y59*VLOOKUP('Données projet'!$B$9,Paramètres!$A$1:$I$89,3,0)*0.475*44/12</f>
        <v>0.60170213403068218</v>
      </c>
      <c r="AC59" s="24">
        <f t="shared" si="3"/>
        <v>30.844114166916263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1.9999999998958629E-3</v>
      </c>
      <c r="AJ59" s="14">
        <f>AI59*VLOOKUP('Données projet'!$B$10,Paramètres!$A$1:$I$89,3,0)*VLOOKUP('Données projet'!$B$10,Paramètres!$A$1:$I$89,5,0)</f>
        <v>1.195999999937726E-3</v>
      </c>
      <c r="AK59" s="14">
        <f t="shared" si="35"/>
        <v>1.2062444695752218E-3</v>
      </c>
      <c r="AL59" s="22">
        <f t="shared" si="4"/>
        <v>4.1839091177350513E-3</v>
      </c>
      <c r="AM59" s="62">
        <f t="shared" si="5"/>
        <v>293.33751724245104</v>
      </c>
      <c r="AN59" s="62">
        <f ca="1">AVERAGE(OFFSET($AM$3,0,0,'Données projet'!$E$10+1,1))-AVERAGE(OFFSET($H$3,0,0,'Données projet'!$E$10+1,1))</f>
        <v>164.64952352018145</v>
      </c>
      <c r="AO59" s="62">
        <f t="shared" si="36"/>
        <v>280.08682720086921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47.629583610750984</v>
      </c>
      <c r="AV59" s="23">
        <f>EXP(-LN(2)/25)*AV58+(1-EXP(-LN(2)/25))/(LN(2)/25)*Calculateur!AQ59*Calculateur!AS59*VLOOKUP('Données projet'!$B$10,Paramètres!$A$1:$I$89,3,0)*0.475*44/12</f>
        <v>15.643905646043786</v>
      </c>
      <c r="AW59" s="23">
        <f>EXP(-LN(2)/2)*AW58+(1-EXP(-LN(2)/2))/(LN(2)/2)*AQ59*AT59*VLOOKUP('Données projet'!$B$10,Paramètres!$A$1:$I$89,3,0)*0.475*44/12</f>
        <v>6.6189340811166009E-2</v>
      </c>
      <c r="AX59" s="23">
        <f t="shared" si="6"/>
        <v>63.339678597605932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13.28</v>
      </c>
      <c r="BD59" s="13">
        <f>IF('Données projet'!$A$88&gt;35,BD58+BC59-BL58,IF(A59&lt;'Données projet'!$A$88,$BA$205^A59,IF(A59='Données projet'!$A$88,'Données projet'!$B$88,BD58+BC59-BL58)))</f>
        <v>116.16000000000001</v>
      </c>
      <c r="BE59" s="14">
        <f>BD59*VLOOKUP('Données projet'!$B$11,Paramètres!$A$1:$I$89,3,0)*VLOOKUP('Données projet'!$B$11,Paramètres!$A$1:$I$89,5,0)</f>
        <v>97.853184000000027</v>
      </c>
      <c r="BF59" s="14">
        <f t="shared" si="37"/>
        <v>26.449904047472106</v>
      </c>
      <c r="BG59" s="22">
        <f t="shared" si="7"/>
        <v>216.49454501601394</v>
      </c>
      <c r="BH59" s="62">
        <f t="shared" si="8"/>
        <v>509.82787834934726</v>
      </c>
      <c r="BI59" s="62">
        <f ca="1">AVERAGE(OFFSET($BH$3,0,0,'Données projet'!$E$11+1,1))-AVERAGE(OFFSET($H$3,0,0,'Données projet'!$E$11+1,1))</f>
        <v>339.58585574836434</v>
      </c>
      <c r="BJ59" s="62">
        <f t="shared" si="38"/>
        <v>42.267525972379588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2.8522070701069504</v>
      </c>
      <c r="BR59" s="23">
        <f>EXP(-LN(2)/2)*BR58+(1-EXP(-LN(2)/2))/(LN(2)/2)*BL59*BO59*VLOOKUP('Données projet'!$B$11,Paramètres!$A$1:$I$89,3,0)*0.475*44/12</f>
        <v>6.5662244052827932</v>
      </c>
      <c r="BS59" s="24">
        <f t="shared" si="9"/>
        <v>9.4184314753897436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5.1869999999999994</v>
      </c>
      <c r="BY59" s="13">
        <f>IF('Données projet'!$A$114&gt;35,BY58+BX59-CG58,IF(A59&lt;'Données projet'!$A$114,$BV$205^A59,IF(A59='Données projet'!$A$114,'Données projet'!$B$114,BY58+BX59-CG58)))</f>
        <v>77.801999999999978</v>
      </c>
      <c r="BZ59" s="14">
        <f>BY59*VLOOKUP('Données projet'!$B$12,Paramètres!$A$1:$I$89,3,0)*VLOOKUP('Données projet'!$B$12,Paramètres!$A$1:$I$89,5,0)</f>
        <v>77.677516799999978</v>
      </c>
      <c r="CA59" s="14">
        <f t="shared" si="39"/>
        <v>21.568354926138245</v>
      </c>
      <c r="CB59" s="22">
        <f t="shared" si="10"/>
        <v>172.85322658969073</v>
      </c>
      <c r="CC59" s="62">
        <f t="shared" si="11"/>
        <v>466.18655992302405</v>
      </c>
      <c r="CD59" s="62">
        <f ca="1">AVERAGE(OFFSET($CC$3,0,0,'Données projet'!$E$12+1,1))-AVERAGE(OFFSET($H$3,0,0,'Données projet'!$E$12+1,1))</f>
        <v>112.34884104798977</v>
      </c>
      <c r="CE59" s="62">
        <f t="shared" si="40"/>
        <v>18.665658139749326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0.4983436544478459</v>
      </c>
      <c r="CM59" s="23">
        <f>EXP(-LN(2)/2)*CM58+(1-EXP(-LN(2)/2))/(LN(2)/2)*CG59*CJ59*VLOOKUP('Données projet'!$B$12,Paramètres!$A$1:$I$89,3,0)*0.475*44/12</f>
        <v>0.48569035634432978</v>
      </c>
      <c r="CN59" s="24">
        <f t="shared" si="12"/>
        <v>0.98403401079217567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3.502307692307693</v>
      </c>
      <c r="CT59" s="13">
        <f>IF('Données projet'!$A$140&gt;35,CT58+CS59-DB58,IF(A59&lt;'Données projet'!$A$140,$CQ$205^A59,IF(A59='Données projet'!$A$140,'Données projet'!$B$140,CT58+CS59-DB58)))</f>
        <v>124.70307692307699</v>
      </c>
      <c r="CU59" s="18">
        <f>CT59*VLOOKUP('Données projet'!$B$13,Paramètres!$A$1:$I$89,3,0)*VLOOKUP('Données projet'!$B$13,Paramètres!$A$1:$I$89,5,0)</f>
        <v>136.17576000000008</v>
      </c>
      <c r="CV59" s="14">
        <f t="shared" si="41"/>
        <v>35.41951866289093</v>
      </c>
      <c r="CW59" s="22">
        <f t="shared" si="13"/>
        <v>298.86177700453516</v>
      </c>
      <c r="CX59" s="62">
        <f t="shared" si="14"/>
        <v>592.19511033786853</v>
      </c>
      <c r="CY59" s="62">
        <f ca="1">AVERAGE(OFFSET($CX$3,0,0,'Données projet'!$E$13+1,1))-AVERAGE(OFFSET($H$3,0,0,'Données projet'!$E$13+1,1))</f>
        <v>205.21073681197737</v>
      </c>
      <c r="CZ59" s="62">
        <f t="shared" si="42"/>
        <v>175.16446313750316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6.3270629108816614</v>
      </c>
      <c r="DH59" s="23">
        <f>EXP(-LN(2)/2)*DH58+(1-EXP(-LN(2)/2))/(LN(2)/2)*DB59*DE59*VLOOKUP('Données projet'!$B$13,Paramètres!$A$1:$I$89,3,0)*0.475*44/12</f>
        <v>0.43397562482142005</v>
      </c>
      <c r="DI59" s="24">
        <f t="shared" si="15"/>
        <v>6.7610385357030811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8.2880000000000003</v>
      </c>
      <c r="DO59" s="13">
        <f>IF('Données projet'!$A$166&gt;35,DO58+DN59-DW58,IF(A59&lt;'Données projet'!$A$166,$DL$205^A59,IF(A59='Données projet'!$A$166,'Données projet'!$B$166,DO58+DN59-DW58)))</f>
        <v>278.04800000000017</v>
      </c>
      <c r="DP59" s="18">
        <f>DO59*VLOOKUP('Données projet'!$B$14,Paramètres!$A$1:$I$89,3,0)*VLOOKUP('Données projet'!$B$14,Paramètres!$A$1:$I$89,5,0)</f>
        <v>225.55253760000014</v>
      </c>
      <c r="DQ59" s="14">
        <f t="shared" si="43"/>
        <v>55.319946073308778</v>
      </c>
      <c r="DR59" s="22">
        <f t="shared" si="16"/>
        <v>489.18624239767968</v>
      </c>
      <c r="DS59" s="62">
        <f t="shared" si="17"/>
        <v>782.51957573101299</v>
      </c>
      <c r="DT59" s="62">
        <f ca="1">AVERAGE(OFFSET($DS$3,0,0,'Données projet'!$E$14+1,1))-AVERAGE(OFFSET($H$3,0,0,'Données projet'!$E$14+1,1))</f>
        <v>223.63222290670075</v>
      </c>
      <c r="DU59" s="62">
        <f t="shared" si="44"/>
        <v>290.02663909417248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4.354140251660211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5.1259203177450696E-2</v>
      </c>
      <c r="ED59" s="24">
        <f t="shared" si="18"/>
        <v>4.4053994548376618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327.61220793297304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3.6125000000000043</v>
      </c>
      <c r="N60" s="14">
        <f>IF('Données projet'!$A$36&gt;35,N59+M60-V59,IF(A60&lt;'Données projet'!$A$36,$K$205^A60,IF(A60='Données projet'!$A$36,'Données projet'!$B$36,N59+M60-V59)))</f>
        <v>290.73749999999995</v>
      </c>
      <c r="O60" s="14">
        <f>N60*VLOOKUP('Données projet'!$B$9,Paramètres!$A$1:$I$89,3,0)*VLOOKUP('Données projet'!$B$9,Paramètres!$A$1:$I$89,5,0)</f>
        <v>173.86102500000001</v>
      </c>
      <c r="P60" s="14">
        <f t="shared" si="33"/>
        <v>43.953631248554615</v>
      </c>
      <c r="Q60" s="22">
        <f t="shared" si="53"/>
        <v>379.36052629956595</v>
      </c>
      <c r="R60" s="62">
        <f t="shared" si="0"/>
        <v>672.69385963289926</v>
      </c>
      <c r="S60" s="62">
        <f ca="1">AVERAGE(OFFSET($R$3,0,0,'Données projet'!$E$9+1,1))-AVERAGE(OFFSET($H$3,0,0,'Données projet'!$E$9+1,1))</f>
        <v>192.24617268603629</v>
      </c>
      <c r="T60" s="62">
        <f t="shared" si="34"/>
        <v>192.48585280662832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20.350463868182405</v>
      </c>
      <c r="AA60" s="23">
        <f>EXP(-LN(2)/25)*AA59+(1-EXP(-LN(2)/25))/(LN(2)/25)*Calculateur!V60*Calculateur!X60*VLOOKUP('Données projet'!$B$9,Paramètres!$A$1:$I$89,3,0)*0.475*44/12</f>
        <v>9.2255408778239669</v>
      </c>
      <c r="AB60" s="23">
        <f>EXP(-LN(2)/2)*AB59+(1-EXP(-LN(2)/2))/(LN(2)/2)*V60*Y60*VLOOKUP('Données projet'!$B$9,Paramètres!$A$1:$I$89,3,0)*0.475*44/12</f>
        <v>0.42546765922751228</v>
      </c>
      <c r="AC60" s="24">
        <f t="shared" si="3"/>
        <v>30.001472405233883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1.9999999998958629E-3</v>
      </c>
      <c r="AJ60" s="14">
        <f>AI60*VLOOKUP('Données projet'!$B$10,Paramètres!$A$1:$I$89,3,0)*VLOOKUP('Données projet'!$B$10,Paramètres!$A$1:$I$89,5,0)</f>
        <v>1.195999999937726E-3</v>
      </c>
      <c r="AK60" s="14">
        <f t="shared" si="35"/>
        <v>1.2062444695752218E-3</v>
      </c>
      <c r="AL60" s="22">
        <f t="shared" si="4"/>
        <v>4.1839091177350513E-3</v>
      </c>
      <c r="AM60" s="62">
        <f t="shared" si="5"/>
        <v>293.33751724245104</v>
      </c>
      <c r="AN60" s="62">
        <f ca="1">AVERAGE(OFFSET($AM$3,0,0,'Données projet'!$E$10+1,1))-AVERAGE(OFFSET($H$3,0,0,'Données projet'!$E$10+1,1))</f>
        <v>164.64952352018145</v>
      </c>
      <c r="AO60" s="62">
        <f t="shared" si="36"/>
        <v>280.08682720086921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46.695596527321591</v>
      </c>
      <c r="AV60" s="23">
        <f>EXP(-LN(2)/25)*AV59+(1-EXP(-LN(2)/25))/(LN(2)/25)*Calculateur!AQ60*Calculateur!AS60*VLOOKUP('Données projet'!$B$10,Paramètres!$A$1:$I$89,3,0)*0.475*44/12</f>
        <v>15.216122223475475</v>
      </c>
      <c r="AW60" s="23">
        <f>EXP(-LN(2)/2)*AW59+(1-EXP(-LN(2)/2))/(LN(2)/2)*AQ60*AT60*VLOOKUP('Données projet'!$B$10,Paramètres!$A$1:$I$89,3,0)*0.475*44/12</f>
        <v>4.6802931729842984E-2</v>
      </c>
      <c r="AX60" s="23">
        <f t="shared" si="6"/>
        <v>61.958521682526907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13.28</v>
      </c>
      <c r="BD60" s="13">
        <f>IF('Données projet'!$A$88&gt;35,BD59+BC60-BL59,IF(A60&lt;'Données projet'!$A$88,$BA$205^A60,IF(A60='Données projet'!$A$88,'Données projet'!$B$88,BD59+BC60-BL59)))</f>
        <v>129.44</v>
      </c>
      <c r="BE60" s="14">
        <f>BD60*VLOOKUP('Données projet'!$B$11,Paramètres!$A$1:$I$89,3,0)*VLOOKUP('Données projet'!$B$11,Paramètres!$A$1:$I$89,5,0)</f>
        <v>109.040256</v>
      </c>
      <c r="BF60" s="14">
        <f t="shared" si="37"/>
        <v>29.104746202389595</v>
      </c>
      <c r="BG60" s="22">
        <f t="shared" si="7"/>
        <v>240.60254550249522</v>
      </c>
      <c r="BH60" s="62">
        <f t="shared" si="8"/>
        <v>533.93587883582859</v>
      </c>
      <c r="BI60" s="62">
        <f ca="1">AVERAGE(OFFSET($BH$3,0,0,'Données projet'!$E$11+1,1))-AVERAGE(OFFSET($H$3,0,0,'Données projet'!$E$11+1,1))</f>
        <v>339.58585574836434</v>
      </c>
      <c r="BJ60" s="62">
        <f t="shared" si="38"/>
        <v>42.267525972379588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2.7742133177838246</v>
      </c>
      <c r="BR60" s="23">
        <f>EXP(-LN(2)/2)*BR59+(1-EXP(-LN(2)/2))/(LN(2)/2)*BL60*BO60*VLOOKUP('Données projet'!$B$11,Paramètres!$A$1:$I$89,3,0)*0.475*44/12</f>
        <v>4.6430218037680682</v>
      </c>
      <c r="BS60" s="24">
        <f t="shared" si="9"/>
        <v>7.4172351215518928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5.1869999999999994</v>
      </c>
      <c r="BY60" s="13">
        <f>IF('Données projet'!$A$114&gt;35,BY59+BX60-CG59,IF(A60&lt;'Données projet'!$A$114,$BV$205^A60,IF(A60='Données projet'!$A$114,'Données projet'!$B$114,BY59+BX60-CG59)))</f>
        <v>82.988999999999976</v>
      </c>
      <c r="BZ60" s="14">
        <f>BY60*VLOOKUP('Données projet'!$B$12,Paramètres!$A$1:$I$89,3,0)*VLOOKUP('Données projet'!$B$12,Paramètres!$A$1:$I$89,5,0)</f>
        <v>82.856217599999979</v>
      </c>
      <c r="CA60" s="14">
        <f t="shared" si="39"/>
        <v>22.834111982870059</v>
      </c>
      <c r="CB60" s="22">
        <f t="shared" si="10"/>
        <v>184.07732402349862</v>
      </c>
      <c r="CC60" s="62">
        <f t="shared" si="11"/>
        <v>477.41065735683196</v>
      </c>
      <c r="CD60" s="62">
        <f ca="1">AVERAGE(OFFSET($CC$3,0,0,'Données projet'!$E$12+1,1))-AVERAGE(OFFSET($H$3,0,0,'Données projet'!$E$12+1,1))</f>
        <v>112.34884104798977</v>
      </c>
      <c r="CE60" s="62">
        <f t="shared" si="40"/>
        <v>18.665658139749326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0.48471642101021573</v>
      </c>
      <c r="CM60" s="23">
        <f>EXP(-LN(2)/2)*CM59+(1-EXP(-LN(2)/2))/(LN(2)/2)*CG60*CJ60*VLOOKUP('Données projet'!$B$12,Paramètres!$A$1:$I$89,3,0)*0.475*44/12</f>
        <v>0.34343494452798629</v>
      </c>
      <c r="CN60" s="24">
        <f t="shared" si="12"/>
        <v>0.82815136553820201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3.502307692307693</v>
      </c>
      <c r="CT60" s="13">
        <f>IF('Données projet'!$A$140&gt;35,CT59+CS60-DB59,IF(A60&lt;'Données projet'!$A$140,$CQ$205^A60,IF(A60='Données projet'!$A$140,'Données projet'!$B$140,CT59+CS60-DB59)))</f>
        <v>128.20538461538467</v>
      </c>
      <c r="CU60" s="18">
        <f>CT60*VLOOKUP('Données projet'!$B$13,Paramètres!$A$1:$I$89,3,0)*VLOOKUP('Données projet'!$B$13,Paramètres!$A$1:$I$89,5,0)</f>
        <v>140.00028000000006</v>
      </c>
      <c r="CV60" s="14">
        <f t="shared" si="41"/>
        <v>36.297069639068646</v>
      </c>
      <c r="CW60" s="22">
        <f t="shared" si="13"/>
        <v>307.0512172880446</v>
      </c>
      <c r="CX60" s="62">
        <f t="shared" si="14"/>
        <v>600.38455062137791</v>
      </c>
      <c r="CY60" s="62">
        <f ca="1">AVERAGE(OFFSET($CX$3,0,0,'Données projet'!$E$13+1,1))-AVERAGE(OFFSET($H$3,0,0,'Données projet'!$E$13+1,1))</f>
        <v>205.21073681197737</v>
      </c>
      <c r="CZ60" s="62">
        <f t="shared" si="42"/>
        <v>175.16446313750316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6.1540490428578245</v>
      </c>
      <c r="DH60" s="23">
        <f>EXP(-LN(2)/2)*DH59+(1-EXP(-LN(2)/2))/(LN(2)/2)*DB60*DE60*VLOOKUP('Données projet'!$B$13,Paramètres!$A$1:$I$89,3,0)*0.475*44/12</f>
        <v>0.3068671071808951</v>
      </c>
      <c r="DI60" s="24">
        <f t="shared" si="15"/>
        <v>6.4609161500387193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8.2880000000000003</v>
      </c>
      <c r="DO60" s="13">
        <f>IF('Données projet'!$A$166&gt;35,DO59+DN60-DW59,IF(A60&lt;'Données projet'!$A$166,$DL$205^A60,IF(A60='Données projet'!$A$166,'Données projet'!$B$166,DO59+DN60-DW59)))</f>
        <v>286.33600000000018</v>
      </c>
      <c r="DP60" s="18">
        <f>DO60*VLOOKUP('Données projet'!$B$14,Paramètres!$A$1:$I$89,3,0)*VLOOKUP('Données projet'!$B$14,Paramètres!$A$1:$I$89,5,0)</f>
        <v>232.27576320000014</v>
      </c>
      <c r="DQ60" s="14">
        <f t="shared" si="43"/>
        <v>56.774472411560645</v>
      </c>
      <c r="DR60" s="22">
        <f t="shared" si="16"/>
        <v>503.42916035680167</v>
      </c>
      <c r="DS60" s="62">
        <f t="shared" si="17"/>
        <v>796.76249369013499</v>
      </c>
      <c r="DT60" s="62">
        <f ca="1">AVERAGE(OFFSET($DS$3,0,0,'Données projet'!$E$14+1,1))-AVERAGE(OFFSET($H$3,0,0,'Données projet'!$E$14+1,1))</f>
        <v>223.63222290670075</v>
      </c>
      <c r="DU60" s="62">
        <f t="shared" si="44"/>
        <v>290.02663909417248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4.2687582170884726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3.6245730164994411E-2</v>
      </c>
      <c r="ED60" s="24">
        <f t="shared" si="18"/>
        <v>4.3050039472534669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328.82241559803606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3.6125000000000043</v>
      </c>
      <c r="N61" s="14">
        <f>IF('Données projet'!$A$36&gt;35,N60+M61-V60,IF(A61&lt;'Données projet'!$A$36,$K$205^A61,IF(A61='Données projet'!$A$36,'Données projet'!$B$36,N60+M61-V60)))</f>
        <v>294.34999999999997</v>
      </c>
      <c r="O61" s="14">
        <f>N61*VLOOKUP('Données projet'!$B$9,Paramètres!$A$1:$I$89,3,0)*VLOOKUP('Données projet'!$B$9,Paramètres!$A$1:$I$89,5,0)</f>
        <v>176.0213</v>
      </c>
      <c r="P61" s="14">
        <f t="shared" si="33"/>
        <v>44.435850495673954</v>
      </c>
      <c r="Q61" s="22">
        <f t="shared" si="53"/>
        <v>383.96287044663205</v>
      </c>
      <c r="R61" s="62">
        <f t="shared" si="0"/>
        <v>677.29620377996537</v>
      </c>
      <c r="S61" s="62">
        <f ca="1">AVERAGE(OFFSET($R$3,0,0,'Données projet'!$E$9+1,1))-AVERAGE(OFFSET($H$3,0,0,'Données projet'!$E$9+1,1))</f>
        <v>192.24617268603629</v>
      </c>
      <c r="T61" s="62">
        <f t="shared" si="34"/>
        <v>192.48585280662832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19.951403684284671</v>
      </c>
      <c r="AA61" s="23">
        <f>EXP(-LN(2)/25)*AA60+(1-EXP(-LN(2)/25))/(LN(2)/25)*Calculateur!V61*Calculateur!X61*VLOOKUP('Données projet'!$B$9,Paramètres!$A$1:$I$89,3,0)*0.475*44/12</f>
        <v>8.9732679773697619</v>
      </c>
      <c r="AB61" s="23">
        <f>EXP(-LN(2)/2)*AB60+(1-EXP(-LN(2)/2))/(LN(2)/2)*V61*Y61*VLOOKUP('Données projet'!$B$9,Paramètres!$A$1:$I$89,3,0)*0.475*44/12</f>
        <v>0.30085106701534114</v>
      </c>
      <c r="AC61" s="24">
        <f t="shared" si="3"/>
        <v>29.225522728669773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1.9999999998958629E-3</v>
      </c>
      <c r="AJ61" s="14">
        <f>AI61*VLOOKUP('Données projet'!$B$10,Paramètres!$A$1:$I$89,3,0)*VLOOKUP('Données projet'!$B$10,Paramètres!$A$1:$I$89,5,0)</f>
        <v>1.195999999937726E-3</v>
      </c>
      <c r="AK61" s="14">
        <f t="shared" si="35"/>
        <v>1.2062444695752218E-3</v>
      </c>
      <c r="AL61" s="22">
        <f t="shared" si="4"/>
        <v>4.1839091177350513E-3</v>
      </c>
      <c r="AM61" s="62">
        <f t="shared" si="5"/>
        <v>293.33751724245104</v>
      </c>
      <c r="AN61" s="62">
        <f ca="1">AVERAGE(OFFSET($AM$3,0,0,'Données projet'!$E$10+1,1))-AVERAGE(OFFSET($H$3,0,0,'Données projet'!$E$10+1,1))</f>
        <v>164.64952352018145</v>
      </c>
      <c r="AO61" s="62">
        <f t="shared" si="36"/>
        <v>280.08682720086921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45.779924360922379</v>
      </c>
      <c r="AV61" s="23">
        <f>EXP(-LN(2)/25)*AV60+(1-EXP(-LN(2)/25))/(LN(2)/25)*Calculateur!AQ61*Calculateur!AS61*VLOOKUP('Données projet'!$B$10,Paramètres!$A$1:$I$89,3,0)*0.475*44/12</f>
        <v>14.800036561093448</v>
      </c>
      <c r="AW61" s="23">
        <f>EXP(-LN(2)/2)*AW60+(1-EXP(-LN(2)/2))/(LN(2)/2)*AQ61*AT61*VLOOKUP('Données projet'!$B$10,Paramètres!$A$1:$I$89,3,0)*0.475*44/12</f>
        <v>3.3094670405583004E-2</v>
      </c>
      <c r="AX61" s="23">
        <f t="shared" si="6"/>
        <v>60.613055592421411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13.28</v>
      </c>
      <c r="BD61" s="13">
        <f>IF('Données projet'!$A$88&gt;35,BD60+BC61-BL60,IF(A61&lt;'Données projet'!$A$88,$BA$205^A61,IF(A61='Données projet'!$A$88,'Données projet'!$B$88,BD60+BC61-BL60)))</f>
        <v>142.72</v>
      </c>
      <c r="BE61" s="14">
        <f>BD61*VLOOKUP('Données projet'!$B$11,Paramètres!$A$1:$I$89,3,0)*VLOOKUP('Données projet'!$B$11,Paramètres!$A$1:$I$89,5,0)</f>
        <v>120.22732800000001</v>
      </c>
      <c r="BF61" s="14">
        <f t="shared" si="37"/>
        <v>31.728013975361474</v>
      </c>
      <c r="BG61" s="22">
        <f t="shared" si="7"/>
        <v>264.65555394042121</v>
      </c>
      <c r="BH61" s="62">
        <f t="shared" si="8"/>
        <v>557.98888727375447</v>
      </c>
      <c r="BI61" s="62">
        <f ca="1">AVERAGE(OFFSET($BH$3,0,0,'Données projet'!$E$11+1,1))-AVERAGE(OFFSET($H$3,0,0,'Données projet'!$E$11+1,1))</f>
        <v>339.58585574836434</v>
      </c>
      <c r="BJ61" s="62">
        <f t="shared" si="38"/>
        <v>42.267525972379588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2.6983523087194881</v>
      </c>
      <c r="BR61" s="23">
        <f>EXP(-LN(2)/2)*BR60+(1-EXP(-LN(2)/2))/(LN(2)/2)*BL61*BO61*VLOOKUP('Données projet'!$B$11,Paramètres!$A$1:$I$89,3,0)*0.475*44/12</f>
        <v>3.2831122026413966</v>
      </c>
      <c r="BS61" s="24">
        <f t="shared" si="9"/>
        <v>5.9814645113608851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5.1869999999999994</v>
      </c>
      <c r="BY61" s="13">
        <f>IF('Données projet'!$A$114&gt;35,BY60+BX61-CG60,IF(A61&lt;'Données projet'!$A$114,$BV$205^A61,IF(A61='Données projet'!$A$114,'Données projet'!$B$114,BY60+BX61-CG60)))</f>
        <v>88.175999999999974</v>
      </c>
      <c r="BZ61" s="14">
        <f>BY61*VLOOKUP('Données projet'!$B$12,Paramètres!$A$1:$I$89,3,0)*VLOOKUP('Données projet'!$B$12,Paramètres!$A$1:$I$89,5,0)</f>
        <v>88.034918399999981</v>
      </c>
      <c r="CA61" s="14">
        <f t="shared" si="39"/>
        <v>24.090687432003605</v>
      </c>
      <c r="CB61" s="22">
        <f t="shared" si="10"/>
        <v>195.28543015740624</v>
      </c>
      <c r="CC61" s="62">
        <f t="shared" si="11"/>
        <v>488.61876349073952</v>
      </c>
      <c r="CD61" s="62">
        <f ca="1">AVERAGE(OFFSET($CC$3,0,0,'Données projet'!$E$12+1,1))-AVERAGE(OFFSET($H$3,0,0,'Données projet'!$E$12+1,1))</f>
        <v>112.34884104798977</v>
      </c>
      <c r="CE61" s="62">
        <f t="shared" si="40"/>
        <v>18.665658139749326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0.47146182498756262</v>
      </c>
      <c r="CM61" s="23">
        <f>EXP(-LN(2)/2)*CM60+(1-EXP(-LN(2)/2))/(LN(2)/2)*CG61*CJ61*VLOOKUP('Données projet'!$B$12,Paramètres!$A$1:$I$89,3,0)*0.475*44/12</f>
        <v>0.24284517817216489</v>
      </c>
      <c r="CN61" s="24">
        <f t="shared" si="12"/>
        <v>0.7143070031597275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3.502307692307693</v>
      </c>
      <c r="CT61" s="13">
        <f>IF('Données projet'!$A$140&gt;35,CT60+CS61-DB60,IF(A61&lt;'Données projet'!$A$140,$CQ$205^A61,IF(A61='Données projet'!$A$140,'Données projet'!$B$140,CT60+CS61-DB60)))</f>
        <v>131.70769230769235</v>
      </c>
      <c r="CU61" s="18">
        <f>CT61*VLOOKUP('Données projet'!$B$13,Paramètres!$A$1:$I$89,3,0)*VLOOKUP('Données projet'!$B$13,Paramètres!$A$1:$I$89,5,0)</f>
        <v>143.82480000000004</v>
      </c>
      <c r="CV61" s="14">
        <f t="shared" si="41"/>
        <v>37.171834236516737</v>
      </c>
      <c r="CW61" s="22">
        <f t="shared" si="13"/>
        <v>315.23580462860002</v>
      </c>
      <c r="CX61" s="62">
        <f t="shared" si="14"/>
        <v>608.56913796193339</v>
      </c>
      <c r="CY61" s="62">
        <f ca="1">AVERAGE(OFFSET($CX$3,0,0,'Données projet'!$E$13+1,1))-AVERAGE(OFFSET($H$3,0,0,'Données projet'!$E$13+1,1))</f>
        <v>205.21073681197737</v>
      </c>
      <c r="CZ61" s="62">
        <f t="shared" si="42"/>
        <v>175.16446313750316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5.985766248153503</v>
      </c>
      <c r="DH61" s="23">
        <f>EXP(-LN(2)/2)*DH60+(1-EXP(-LN(2)/2))/(LN(2)/2)*DB61*DE61*VLOOKUP('Données projet'!$B$13,Paramètres!$A$1:$I$89,3,0)*0.475*44/12</f>
        <v>0.21698781241071002</v>
      </c>
      <c r="DI61" s="24">
        <f t="shared" si="15"/>
        <v>6.2027540605642129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8.2880000000000003</v>
      </c>
      <c r="DO61" s="13">
        <f>IF('Données projet'!$A$166&gt;35,DO60+DN61-DW60,IF(A61&lt;'Données projet'!$A$166,$DL$205^A61,IF(A61='Données projet'!$A$166,'Données projet'!$B$166,DO60+DN61-DW60)))</f>
        <v>294.62400000000019</v>
      </c>
      <c r="DP61" s="18">
        <f>DO61*VLOOKUP('Données projet'!$B$14,Paramètres!$A$1:$I$89,3,0)*VLOOKUP('Données projet'!$B$14,Paramètres!$A$1:$I$89,5,0)</f>
        <v>238.99898880000018</v>
      </c>
      <c r="DQ61" s="14">
        <f t="shared" si="43"/>
        <v>58.22410568426254</v>
      </c>
      <c r="DR61" s="22">
        <f t="shared" si="16"/>
        <v>517.66355622675758</v>
      </c>
      <c r="DS61" s="62">
        <f t="shared" si="17"/>
        <v>810.99688956009095</v>
      </c>
      <c r="DT61" s="62">
        <f ca="1">AVERAGE(OFFSET($DS$3,0,0,'Données projet'!$E$14+1,1))-AVERAGE(OFFSET($H$3,0,0,'Données projet'!$E$14+1,1))</f>
        <v>223.63222290670075</v>
      </c>
      <c r="DU61" s="62">
        <f t="shared" si="44"/>
        <v>290.02663909417248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4.1850504721367878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2.5629601588725348E-2</v>
      </c>
      <c r="ED61" s="24">
        <f t="shared" si="18"/>
        <v>4.2106800737255128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330.03210345430642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3.6125000000000043</v>
      </c>
      <c r="N62" s="14">
        <f>IF('Données projet'!$A$36&gt;35,N61+M62-V61,IF(A62&lt;'Données projet'!$A$36,$K$205^A62,IF(A62='Données projet'!$A$36,'Données projet'!$B$36,N61+M62-V61)))</f>
        <v>297.96249999999998</v>
      </c>
      <c r="O62" s="14">
        <f>N62*VLOOKUP('Données projet'!$B$9,Paramètres!$A$1:$I$89,3,0)*VLOOKUP('Données projet'!$B$9,Paramètres!$A$1:$I$89,5,0)</f>
        <v>178.18157500000001</v>
      </c>
      <c r="P62" s="14">
        <f t="shared" si="33"/>
        <v>44.91738133988548</v>
      </c>
      <c r="Q62" s="22">
        <f t="shared" si="53"/>
        <v>388.56401562530056</v>
      </c>
      <c r="R62" s="62">
        <f t="shared" si="0"/>
        <v>681.89734895863387</v>
      </c>
      <c r="S62" s="62">
        <f ca="1">AVERAGE(OFFSET($R$3,0,0,'Données projet'!$E$9+1,1))-AVERAGE(OFFSET($H$3,0,0,'Données projet'!$E$9+1,1))</f>
        <v>192.24617268603629</v>
      </c>
      <c r="T62" s="62">
        <f t="shared" si="34"/>
        <v>192.48585280662832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19.560168827190491</v>
      </c>
      <c r="AA62" s="23">
        <f>EXP(-LN(2)/25)*AA61+(1-EXP(-LN(2)/25))/(LN(2)/25)*Calculateur!V62*Calculateur!X62*VLOOKUP('Données projet'!$B$9,Paramètres!$A$1:$I$89,3,0)*0.475*44/12</f>
        <v>8.727893492644931</v>
      </c>
      <c r="AB62" s="23">
        <f>EXP(-LN(2)/2)*AB61+(1-EXP(-LN(2)/2))/(LN(2)/2)*V62*Y62*VLOOKUP('Données projet'!$B$9,Paramètres!$A$1:$I$89,3,0)*0.475*44/12</f>
        <v>0.2127338296137562</v>
      </c>
      <c r="AC62" s="24">
        <f t="shared" si="3"/>
        <v>28.500796149449179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1.9999999998958629E-3</v>
      </c>
      <c r="AJ62" s="14">
        <f>AI62*VLOOKUP('Données projet'!$B$10,Paramètres!$A$1:$I$89,3,0)*VLOOKUP('Données projet'!$B$10,Paramètres!$A$1:$I$89,5,0)</f>
        <v>1.195999999937726E-3</v>
      </c>
      <c r="AK62" s="14">
        <f t="shared" si="35"/>
        <v>1.2062444695752218E-3</v>
      </c>
      <c r="AL62" s="22">
        <f t="shared" si="4"/>
        <v>4.1839091177350513E-3</v>
      </c>
      <c r="AM62" s="62">
        <f t="shared" si="5"/>
        <v>293.33751724245104</v>
      </c>
      <c r="AN62" s="62">
        <f ca="1">AVERAGE(OFFSET($AM$3,0,0,'Données projet'!$E$10+1,1))-AVERAGE(OFFSET($H$3,0,0,'Données projet'!$E$10+1,1))</f>
        <v>164.64952352018145</v>
      </c>
      <c r="AO62" s="62">
        <f t="shared" si="36"/>
        <v>280.08682720086921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44.882207967201381</v>
      </c>
      <c r="AV62" s="23">
        <f>EXP(-LN(2)/25)*AV61+(1-EXP(-LN(2)/25))/(LN(2)/25)*Calculateur!AQ62*Calculateur!AS62*VLOOKUP('Données projet'!$B$10,Paramètres!$A$1:$I$89,3,0)*0.475*44/12</f>
        <v>14.39532878303025</v>
      </c>
      <c r="AW62" s="23">
        <f>EXP(-LN(2)/2)*AW61+(1-EXP(-LN(2)/2))/(LN(2)/2)*AQ62*AT62*VLOOKUP('Données projet'!$B$10,Paramètres!$A$1:$I$89,3,0)*0.475*44/12</f>
        <v>2.3401465864921492E-2</v>
      </c>
      <c r="AX62" s="23">
        <f t="shared" si="6"/>
        <v>59.300938216096554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13.28</v>
      </c>
      <c r="BD62" s="13">
        <f>IF('Données projet'!$A$88&gt;35,BD61+BC62-BL61,IF(A62&lt;'Données projet'!$A$88,$BA$205^A62,IF(A62='Données projet'!$A$88,'Données projet'!$B$88,BD61+BC62-BL61)))</f>
        <v>156</v>
      </c>
      <c r="BE62" s="14">
        <f>BD62*VLOOKUP('Données projet'!$B$11,Paramètres!$A$1:$I$89,3,0)*VLOOKUP('Données projet'!$B$11,Paramètres!$A$1:$I$89,5,0)</f>
        <v>131.41440000000003</v>
      </c>
      <c r="BF62" s="14">
        <f t="shared" si="37"/>
        <v>34.32297952601067</v>
      </c>
      <c r="BG62" s="22">
        <f t="shared" si="7"/>
        <v>288.65926934113526</v>
      </c>
      <c r="BH62" s="62">
        <f t="shared" si="8"/>
        <v>581.99260267446857</v>
      </c>
      <c r="BI62" s="62">
        <f ca="1">AVERAGE(OFFSET($BH$3,0,0,'Données projet'!$E$11+1,1))-AVERAGE(OFFSET($H$3,0,0,'Données projet'!$E$11+1,1))</f>
        <v>339.58585574836434</v>
      </c>
      <c r="BJ62" s="62">
        <f t="shared" si="38"/>
        <v>42.267525972379588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2.6245657229373731</v>
      </c>
      <c r="BR62" s="23">
        <f>EXP(-LN(2)/2)*BR61+(1-EXP(-LN(2)/2))/(LN(2)/2)*BL62*BO62*VLOOKUP('Données projet'!$B$11,Paramètres!$A$1:$I$89,3,0)*0.475*44/12</f>
        <v>2.3215109018840341</v>
      </c>
      <c r="BS62" s="24">
        <f t="shared" si="9"/>
        <v>4.9460766248214068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5.1869999999999994</v>
      </c>
      <c r="BY62" s="13">
        <f>IF('Données projet'!$A$114&gt;35,BY61+BX62-CG61,IF(A62&lt;'Données projet'!$A$114,$BV$205^A62,IF(A62='Données projet'!$A$114,'Données projet'!$B$114,BY61+BX62-CG61)))</f>
        <v>93.362999999999971</v>
      </c>
      <c r="BZ62" s="14">
        <f>BY62*VLOOKUP('Données projet'!$B$12,Paramètres!$A$1:$I$89,3,0)*VLOOKUP('Données projet'!$B$12,Paramètres!$A$1:$I$89,5,0)</f>
        <v>93.213619199999982</v>
      </c>
      <c r="CA62" s="14">
        <f t="shared" si="39"/>
        <v>25.338682909905721</v>
      </c>
      <c r="CB62" s="22">
        <f t="shared" si="10"/>
        <v>206.47859284141907</v>
      </c>
      <c r="CC62" s="62">
        <f t="shared" si="11"/>
        <v>499.81192617475239</v>
      </c>
      <c r="CD62" s="62">
        <f ca="1">AVERAGE(OFFSET($CC$3,0,0,'Données projet'!$E$12+1,1))-AVERAGE(OFFSET($H$3,0,0,'Données projet'!$E$12+1,1))</f>
        <v>112.34884104798977</v>
      </c>
      <c r="CE62" s="62">
        <f t="shared" si="40"/>
        <v>18.665658139749326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0.45856967659017789</v>
      </c>
      <c r="CM62" s="23">
        <f>EXP(-LN(2)/2)*CM61+(1-EXP(-LN(2)/2))/(LN(2)/2)*CG62*CJ62*VLOOKUP('Données projet'!$B$12,Paramètres!$A$1:$I$89,3,0)*0.475*44/12</f>
        <v>0.17171747226399314</v>
      </c>
      <c r="CN62" s="24">
        <f t="shared" si="12"/>
        <v>0.63028714885417103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3.502307692307693</v>
      </c>
      <c r="CT62" s="13">
        <f>IF('Données projet'!$A$140&gt;35,CT61+CS62-DB61,IF(A62&lt;'Données projet'!$A$140,$CQ$205^A62,IF(A62='Données projet'!$A$140,'Données projet'!$B$140,CT61+CS62-DB61)))</f>
        <v>135.21000000000004</v>
      </c>
      <c r="CU62" s="18">
        <f>CT62*VLOOKUP('Données projet'!$B$13,Paramètres!$A$1:$I$89,3,0)*VLOOKUP('Données projet'!$B$13,Paramètres!$A$1:$I$89,5,0)</f>
        <v>147.64932000000005</v>
      </c>
      <c r="CV62" s="14">
        <f t="shared" si="41"/>
        <v>38.043895065651959</v>
      </c>
      <c r="CW62" s="22">
        <f t="shared" si="13"/>
        <v>323.41568290601055</v>
      </c>
      <c r="CX62" s="62">
        <f t="shared" si="14"/>
        <v>616.74901623934386</v>
      </c>
      <c r="CY62" s="62">
        <f ca="1">AVERAGE(OFFSET($CX$3,0,0,'Données projet'!$E$13+1,1))-AVERAGE(OFFSET($H$3,0,0,'Données projet'!$E$13+1,1))</f>
        <v>205.21073681197737</v>
      </c>
      <c r="CZ62" s="62">
        <f t="shared" si="42"/>
        <v>175.16446313750316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5.8220851553199795</v>
      </c>
      <c r="DH62" s="23">
        <f>EXP(-LN(2)/2)*DH61+(1-EXP(-LN(2)/2))/(LN(2)/2)*DB62*DE62*VLOOKUP('Données projet'!$B$13,Paramètres!$A$1:$I$89,3,0)*0.475*44/12</f>
        <v>0.15343355359044755</v>
      </c>
      <c r="DI62" s="24">
        <f t="shared" si="15"/>
        <v>5.9755187089104274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8.2880000000000003</v>
      </c>
      <c r="DO62" s="13">
        <f>IF('Données projet'!$A$166&gt;35,DO61+DN62-DW61,IF(A62&lt;'Données projet'!$A$166,$DL$205^A62,IF(A62='Données projet'!$A$166,'Données projet'!$B$166,DO61+DN62-DW61)))</f>
        <v>302.91200000000021</v>
      </c>
      <c r="DP62" s="18">
        <f>DO62*VLOOKUP('Données projet'!$B$14,Paramètres!$A$1:$I$89,3,0)*VLOOKUP('Données projet'!$B$14,Paramètres!$A$1:$I$89,5,0)</f>
        <v>245.72221440000018</v>
      </c>
      <c r="DQ62" s="14">
        <f t="shared" si="43"/>
        <v>59.668999348770434</v>
      </c>
      <c r="DR62" s="22">
        <f t="shared" si="16"/>
        <v>531.88969727910876</v>
      </c>
      <c r="DS62" s="62">
        <f t="shared" si="17"/>
        <v>825.22303061244202</v>
      </c>
      <c r="DT62" s="62">
        <f ca="1">AVERAGE(OFFSET($DS$3,0,0,'Données projet'!$E$14+1,1))-AVERAGE(OFFSET($H$3,0,0,'Données projet'!$E$14+1,1))</f>
        <v>223.63222290670075</v>
      </c>
      <c r="DU62" s="62">
        <f t="shared" si="44"/>
        <v>290.02663909417248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4.102984185006922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1.8122865082497205E-2</v>
      </c>
      <c r="ED62" s="24">
        <f t="shared" si="18"/>
        <v>4.1211070500894191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331.24128132887591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3.6125000000000043</v>
      </c>
      <c r="N63" s="14">
        <f>IF('Données projet'!$A$36&gt;35,N62+M63-V62,IF(A63&lt;'Données projet'!$A$36,$K$205^A63,IF(A63='Données projet'!$A$36,'Données projet'!$B$36,N62+M63-V62)))</f>
        <v>301.57499999999999</v>
      </c>
      <c r="O63" s="14">
        <f>N63*VLOOKUP('Données projet'!$B$9,Paramètres!$A$1:$I$89,3,0)*VLOOKUP('Données projet'!$B$9,Paramètres!$A$1:$I$89,5,0)</f>
        <v>180.34185000000002</v>
      </c>
      <c r="P63" s="14">
        <f t="shared" si="33"/>
        <v>45.398233092777396</v>
      </c>
      <c r="Q63" s="22">
        <f t="shared" si="53"/>
        <v>393.16397805325397</v>
      </c>
      <c r="R63" s="62">
        <f t="shared" si="0"/>
        <v>686.49731138658728</v>
      </c>
      <c r="S63" s="62">
        <f ca="1">AVERAGE(OFFSET($R$3,0,0,'Données projet'!$E$9+1,1))-AVERAGE(OFFSET($H$3,0,0,'Données projet'!$E$9+1,1))</f>
        <v>192.24617268603629</v>
      </c>
      <c r="T63" s="62">
        <f t="shared" si="34"/>
        <v>192.48585280662832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19.17660584701423</v>
      </c>
      <c r="AA63" s="23">
        <f>EXP(-LN(2)/25)*AA62+(1-EXP(-LN(2)/25))/(LN(2)/25)*Calculateur!V63*Calculateur!X63*VLOOKUP('Données projet'!$B$9,Paramètres!$A$1:$I$89,3,0)*0.475*44/12</f>
        <v>8.4892287861085851</v>
      </c>
      <c r="AB63" s="23">
        <f>EXP(-LN(2)/2)*AB62+(1-EXP(-LN(2)/2))/(LN(2)/2)*V63*Y63*VLOOKUP('Données projet'!$B$9,Paramètres!$A$1:$I$89,3,0)*0.475*44/12</f>
        <v>0.1504255335076706</v>
      </c>
      <c r="AC63" s="24">
        <f t="shared" si="3"/>
        <v>27.816260166630485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1.9999999998958629E-3</v>
      </c>
      <c r="AJ63" s="14">
        <f>AI63*VLOOKUP('Données projet'!$B$10,Paramètres!$A$1:$I$89,3,0)*VLOOKUP('Données projet'!$B$10,Paramètres!$A$1:$I$89,5,0)</f>
        <v>1.195999999937726E-3</v>
      </c>
      <c r="AK63" s="14">
        <f t="shared" si="35"/>
        <v>1.2062444695752218E-3</v>
      </c>
      <c r="AL63" s="22">
        <f t="shared" si="4"/>
        <v>4.1839091177350513E-3</v>
      </c>
      <c r="AM63" s="62">
        <f t="shared" si="5"/>
        <v>293.33751724245104</v>
      </c>
      <c r="AN63" s="62">
        <f ca="1">AVERAGE(OFFSET($AM$3,0,0,'Données projet'!$E$10+1,1))-AVERAGE(OFFSET($H$3,0,0,'Données projet'!$E$10+1,1))</f>
        <v>164.64952352018145</v>
      </c>
      <c r="AO63" s="62">
        <f t="shared" si="36"/>
        <v>280.08682720086921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44.002095244408324</v>
      </c>
      <c r="AV63" s="23">
        <f>EXP(-LN(2)/25)*AV62+(1-EXP(-LN(2)/25))/(LN(2)/25)*Calculateur!AQ63*Calculateur!AS63*VLOOKUP('Données projet'!$B$10,Paramètres!$A$1:$I$89,3,0)*0.475*44/12</f>
        <v>14.001687760440849</v>
      </c>
      <c r="AW63" s="23">
        <f>EXP(-LN(2)/2)*AW62+(1-EXP(-LN(2)/2))/(LN(2)/2)*AQ63*AT63*VLOOKUP('Données projet'!$B$10,Paramètres!$A$1:$I$89,3,0)*0.475*44/12</f>
        <v>1.6547335202791502E-2</v>
      </c>
      <c r="AX63" s="23">
        <f t="shared" si="6"/>
        <v>58.020330340051963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169.28</v>
      </c>
      <c r="BB63" s="13">
        <f>VLOOKUP(A63,'Données projet'!$A$87:$I$107,9,0)</f>
        <v>13.28</v>
      </c>
      <c r="BC63" s="13">
        <f t="array" ref="BC63">INDEX(BB:BB,MIN(IF(ISNUMBER(BB63:BB259),ROW(BB63:BB259),"")))</f>
        <v>13.28</v>
      </c>
      <c r="BD63" s="13">
        <f>IF('Données projet'!$A$88&gt;35,BD62+BC63-BL62,IF(A63&lt;'Données projet'!$A$88,$BA$205^A63,IF(A63='Données projet'!$A$88,'Données projet'!$B$88,BD62+BC63-BL62)))</f>
        <v>169.28</v>
      </c>
      <c r="BE63" s="14">
        <f>BD63*VLOOKUP('Données projet'!$B$11,Paramètres!$A$1:$I$89,3,0)*VLOOKUP('Données projet'!$B$11,Paramètres!$A$1:$I$89,5,0)</f>
        <v>142.60147200000003</v>
      </c>
      <c r="BF63" s="14">
        <f t="shared" si="37"/>
        <v>36.892326099532241</v>
      </c>
      <c r="BG63" s="22">
        <f t="shared" si="7"/>
        <v>312.61836502335206</v>
      </c>
      <c r="BH63" s="62">
        <f t="shared" si="8"/>
        <v>605.95169835668537</v>
      </c>
      <c r="BI63" s="62">
        <f ca="1">AVERAGE(OFFSET($BH$3,0,0,'Données projet'!$E$11+1,1))-AVERAGE(OFFSET($H$3,0,0,'Données projet'!$E$11+1,1))</f>
        <v>339.58585574836434</v>
      </c>
      <c r="BJ63" s="62">
        <f t="shared" si="38"/>
        <v>42.267525972379588</v>
      </c>
      <c r="BK63" s="16">
        <f>IF(ISNA(VLOOKUP(A63,'Données projet'!$A$87:$I$107,3,0)),0,VLOOKUP(A63,'Données projet'!$A$87:$I$107,3,0))</f>
        <v>6</v>
      </c>
      <c r="BL63" s="16">
        <f>IF(ISNA(VLOOKUP(A63,'Données projet'!$A$87:$I$107,4,0)),0,VLOOKUP(A63,'Données projet'!$A$87:$I$107,4,0))</f>
        <v>33.120000000000005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4.3000000000000003E-2</v>
      </c>
      <c r="BO63" s="17">
        <f>IF(ISNA(VLOOKUP(A63,'Données projet'!$A$87:$I$107,7,0)),0%,VLOOKUP(A63,'Données projet'!$A$87:$I$107,7,0))</f>
        <v>0.3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3.873821401866961</v>
      </c>
      <c r="BR63" s="23">
        <f>EXP(-LN(2)/2)*BR62+(1-EXP(-LN(2)/2))/(LN(2)/2)*BL63*BO63*VLOOKUP('Données projet'!$B$11,Paramètres!$A$1:$I$89,3,0)*0.475*44/12</f>
        <v>9.5389578972932192</v>
      </c>
      <c r="BS63" s="24">
        <f t="shared" si="9"/>
        <v>13.41277929916018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98.55</v>
      </c>
      <c r="BW63" s="13">
        <f>VLOOKUP(A63,'Données projet'!$A$113:$I$133,9,0)</f>
        <v>5.1869999999999994</v>
      </c>
      <c r="BX63" s="13">
        <f t="array" ref="BX63">INDEX(BW:BW,MIN(IF(ISNUMBER(BW63:BW259),ROW(BW63:BW259),"")))</f>
        <v>5.1869999999999994</v>
      </c>
      <c r="BY63" s="13">
        <f>IF('Données projet'!$A$114&gt;35,BY62+BX63-CG62,IF(A63&lt;'Données projet'!$A$114,$BV$205^A63,IF(A63='Données projet'!$A$114,'Données projet'!$B$114,BY62+BX63-CG62)))</f>
        <v>98.549999999999969</v>
      </c>
      <c r="BZ63" s="14">
        <f>BY63*VLOOKUP('Données projet'!$B$12,Paramètres!$A$1:$I$89,3,0)*VLOOKUP('Données projet'!$B$12,Paramètres!$A$1:$I$89,5,0)</f>
        <v>98.39231999999997</v>
      </c>
      <c r="CA63" s="14">
        <f t="shared" si="39"/>
        <v>26.578629426656644</v>
      </c>
      <c r="CB63" s="22">
        <f t="shared" si="10"/>
        <v>217.6577369180936</v>
      </c>
      <c r="CC63" s="62">
        <f t="shared" si="11"/>
        <v>510.99107025142689</v>
      </c>
      <c r="CD63" s="62">
        <f ca="1">AVERAGE(OFFSET($CC$3,0,0,'Données projet'!$E$12+1,1))-AVERAGE(OFFSET($H$3,0,0,'Données projet'!$E$12+1,1))</f>
        <v>112.34884104798977</v>
      </c>
      <c r="CE63" s="62">
        <f t="shared" si="40"/>
        <v>18.665658139749326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38.11</v>
      </c>
      <c r="CH63" s="17">
        <f>IF(ISNA(VLOOKUP(A63,'Données projet'!$A$113:$I$133,5,0)),0%,VLOOKUP(A63,'Données projet'!$A$113:$I$133,5,0)*VLOOKUP('Données projet'!$B$12,Paramètres!$A$1:$I$89,7,0))</f>
        <v>0.17200000000000001</v>
      </c>
      <c r="CI63" s="17">
        <f>IF(ISNA(VLOOKUP(A63,'Données projet'!$A$113:$I$133,6,0)),0%,VLOOKUP(A63,'Données projet'!$A$113:$I$133,6,0)*VLOOKUP('Données projet'!$B$12,Paramètres!$A$1:$I$89,7,0))</f>
        <v>0.129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7.2346758683677947</v>
      </c>
      <c r="CL63" s="23">
        <f>EXP(-LN(2)/25)*CL62+(1-EXP(-LN(2)/25))/(LN(2)/25)*Calculateur!CG63*Calculateur!CI63*VLOOKUP('Données projet'!$B$12,Paramètres!$A$1:$I$89,3,0)*0.475*44/12</f>
        <v>5.8506727093034936</v>
      </c>
      <c r="CM63" s="23">
        <f>EXP(-LN(2)/2)*CM62+(1-EXP(-LN(2)/2))/(LN(2)/2)*CG63*CJ63*VLOOKUP('Données projet'!$B$12,Paramètres!$A$1:$I$89,3,0)*0.475*44/12</f>
        <v>0.12142258908608244</v>
      </c>
      <c r="CN63" s="24">
        <f t="shared" si="12"/>
        <v>13.20677116675737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3.502307692307693</v>
      </c>
      <c r="CT63" s="13">
        <f>IF('Données projet'!$A$140&gt;35,CT62+CS63-DB62,IF(A63&lt;'Données projet'!$A$140,$CQ$205^A63,IF(A63='Données projet'!$A$140,'Données projet'!$B$140,CT62+CS63-DB62)))</f>
        <v>138.71230769230772</v>
      </c>
      <c r="CU63" s="18">
        <f>CT63*VLOOKUP('Données projet'!$B$13,Paramètres!$A$1:$I$89,3,0)*VLOOKUP('Données projet'!$B$13,Paramètres!$A$1:$I$89,5,0)</f>
        <v>151.47384000000002</v>
      </c>
      <c r="CV63" s="14">
        <f t="shared" si="41"/>
        <v>38.913330213438087</v>
      </c>
      <c r="CW63" s="22">
        <f t="shared" si="13"/>
        <v>331.59098812173801</v>
      </c>
      <c r="CX63" s="62">
        <f t="shared" si="14"/>
        <v>624.92432145507132</v>
      </c>
      <c r="CY63" s="62">
        <f ca="1">AVERAGE(OFFSET($CX$3,0,0,'Données projet'!$E$13+1,1))-AVERAGE(OFFSET($H$3,0,0,'Données projet'!$E$13+1,1))</f>
        <v>205.21073681197737</v>
      </c>
      <c r="CZ63" s="62">
        <f t="shared" si="42"/>
        <v>175.16446313750316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5.6628799305776027</v>
      </c>
      <c r="DH63" s="23">
        <f>EXP(-LN(2)/2)*DH62+(1-EXP(-LN(2)/2))/(LN(2)/2)*DB63*DE63*VLOOKUP('Données projet'!$B$13,Paramètres!$A$1:$I$89,3,0)*0.475*44/12</f>
        <v>0.10849390620535501</v>
      </c>
      <c r="DI63" s="24">
        <f t="shared" si="15"/>
        <v>5.7713738367829581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311.2</v>
      </c>
      <c r="DM63" s="13">
        <f>VLOOKUP(A63,'Données projet'!$A$165:$I$185,9,0)</f>
        <v>8.2880000000000003</v>
      </c>
      <c r="DN63" s="13">
        <f t="array" ref="DN63">INDEX(DM:DM,MIN(IF(ISNUMBER(DM63:DM259),ROW(DM63:DM259),"")))</f>
        <v>8.2880000000000003</v>
      </c>
      <c r="DO63" s="13">
        <f>IF('Données projet'!$A$166&gt;35,DO62+DN63-DW62,IF(A63&lt;'Données projet'!$A$166,$DL$205^A63,IF(A63='Données projet'!$A$166,'Données projet'!$B$166,DO62+DN63-DW62)))</f>
        <v>311.20000000000022</v>
      </c>
      <c r="DP63" s="18">
        <f>DO63*VLOOKUP('Données projet'!$B$14,Paramètres!$A$1:$I$89,3,0)*VLOOKUP('Données projet'!$B$14,Paramètres!$A$1:$I$89,5,0)</f>
        <v>252.44544000000022</v>
      </c>
      <c r="DQ63" s="14">
        <f t="shared" si="43"/>
        <v>61.109297986975008</v>
      </c>
      <c r="DR63" s="22">
        <f t="shared" si="16"/>
        <v>546.10783532731523</v>
      </c>
      <c r="DS63" s="62">
        <f t="shared" si="17"/>
        <v>839.4411686606486</v>
      </c>
      <c r="DT63" s="62">
        <f ca="1">AVERAGE(OFFSET($DS$3,0,0,'Données projet'!$E$14+1,1))-AVERAGE(OFFSET($H$3,0,0,'Données projet'!$E$14+1,1))</f>
        <v>223.63222290670075</v>
      </c>
      <c r="DU63" s="62">
        <f t="shared" si="44"/>
        <v>290.02663909417248</v>
      </c>
      <c r="DV63" s="16">
        <f>IF(ISNA(VLOOKUP(A63,'Données projet'!$A$165:$I$185,3,0)),0,VLOOKUP(A63,'Données projet'!$A$165:$I$185,3,0))</f>
        <v>3</v>
      </c>
      <c r="DW63" s="16">
        <f>IF(ISNA(VLOOKUP(A63,'Données projet'!$A$165:$I$185,4,0)),0,VLOOKUP(A63,'Données projet'!$A$165:$I$185,4,0))</f>
        <v>311.2</v>
      </c>
      <c r="DX63" s="17">
        <f>IF(ISNA(VLOOKUP(A63,'Données projet'!$A$165:$I$185,5,0)),0%,VLOOKUP(A63,'Données projet'!$A$165:$I$185,5,0)*VLOOKUP('Données projet'!$B$14,Paramètres!$A$1:$I$89,7,0))</f>
        <v>0.25800000000000001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0.4</v>
      </c>
      <c r="EA63" s="23">
        <f>EXP(-LN(2)/35)*EA62+(1-EXP(-LN(2)/35))/(LN(2)/35)*DW63*DX63*VLOOKUP('Données projet'!$B$14,Paramètres!$A$1:$I$89,3,0)*0.475*44/12</f>
        <v>76.022833910698139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95.288441644554226</v>
      </c>
      <c r="ED63" s="24">
        <f t="shared" si="18"/>
        <v>171.31127555525237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332.44995870249011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3.6125000000000043</v>
      </c>
      <c r="N64" s="14">
        <f>IF('Données projet'!$A$36&gt;35,N63+M64-V63,IF(A64&lt;'Données projet'!$A$36,$K$205^A64,IF(A64='Données projet'!$A$36,'Données projet'!$B$36,N63+M64-V63)))</f>
        <v>305.1875</v>
      </c>
      <c r="O64" s="14">
        <f>N64*VLOOKUP('Données projet'!$B$9,Paramètres!$A$1:$I$89,3,0)*VLOOKUP('Données projet'!$B$9,Paramètres!$A$1:$I$89,5,0)</f>
        <v>182.50212500000004</v>
      </c>
      <c r="P64" s="14">
        <f t="shared" si="33"/>
        <v>45.878414830019153</v>
      </c>
      <c r="Q64" s="22">
        <f t="shared" si="53"/>
        <v>397.76277353728341</v>
      </c>
      <c r="R64" s="62">
        <f t="shared" si="0"/>
        <v>691.09610687061672</v>
      </c>
      <c r="S64" s="62">
        <f ca="1">AVERAGE(OFFSET($R$3,0,0,'Données projet'!$E$9+1,1))-AVERAGE(OFFSET($H$3,0,0,'Données projet'!$E$9+1,1))</f>
        <v>192.24617268603629</v>
      </c>
      <c r="T64" s="62">
        <f t="shared" si="34"/>
        <v>192.48585280662832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18.800564302928908</v>
      </c>
      <c r="AA64" s="23">
        <f>EXP(-LN(2)/25)*AA63+(1-EXP(-LN(2)/25))/(LN(2)/25)*Calculateur!V64*Calculateur!X64*VLOOKUP('Données projet'!$B$9,Paramètres!$A$1:$I$89,3,0)*0.475*44/12</f>
        <v>8.2570903785233067</v>
      </c>
      <c r="AB64" s="23">
        <f>EXP(-LN(2)/2)*AB63+(1-EXP(-LN(2)/2))/(LN(2)/2)*V64*Y64*VLOOKUP('Données projet'!$B$9,Paramètres!$A$1:$I$89,3,0)*0.475*44/12</f>
        <v>0.10636691480687811</v>
      </c>
      <c r="AC64" s="24">
        <f t="shared" si="3"/>
        <v>27.16402159625909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1.9999999998958629E-3</v>
      </c>
      <c r="AJ64" s="14">
        <f>AI64*VLOOKUP('Données projet'!$B$10,Paramètres!$A$1:$I$89,3,0)*VLOOKUP('Données projet'!$B$10,Paramètres!$A$1:$I$89,5,0)</f>
        <v>1.195999999937726E-3</v>
      </c>
      <c r="AK64" s="14">
        <f t="shared" si="35"/>
        <v>1.2062444695752218E-3</v>
      </c>
      <c r="AL64" s="22">
        <f t="shared" si="4"/>
        <v>4.1839091177350513E-3</v>
      </c>
      <c r="AM64" s="62">
        <f t="shared" si="5"/>
        <v>293.33751724245104</v>
      </c>
      <c r="AN64" s="62">
        <f ca="1">AVERAGE(OFFSET($AM$3,0,0,'Données projet'!$E$10+1,1))-AVERAGE(OFFSET($H$3,0,0,'Données projet'!$E$10+1,1))</f>
        <v>164.64952352018145</v>
      </c>
      <c r="AO64" s="62">
        <f t="shared" si="36"/>
        <v>280.08682720086921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43.139240995293484</v>
      </c>
      <c r="AV64" s="23">
        <f>EXP(-LN(2)/25)*AV63+(1-EXP(-LN(2)/25))/(LN(2)/25)*Calculateur!AQ64*Calculateur!AS64*VLOOKUP('Données projet'!$B$10,Paramètres!$A$1:$I$89,3,0)*0.475*44/12</f>
        <v>13.618810872314835</v>
      </c>
      <c r="AW64" s="23">
        <f>EXP(-LN(2)/2)*AW63+(1-EXP(-LN(2)/2))/(LN(2)/2)*AQ64*AT64*VLOOKUP('Données projet'!$B$10,Paramètres!$A$1:$I$89,3,0)*0.475*44/12</f>
        <v>1.1700732932460746E-2</v>
      </c>
      <c r="AX64" s="23">
        <f t="shared" si="6"/>
        <v>56.769752600540777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10.166666666666666</v>
      </c>
      <c r="BD64" s="13">
        <f>IF('Données projet'!$A$88&gt;35,BD63+BC64-BL63,IF(A64&lt;'Données projet'!$A$88,$BA$205^A64,IF(A64='Données projet'!$A$88,'Données projet'!$B$88,BD63+BC64-BL63)))</f>
        <v>146.32666666666665</v>
      </c>
      <c r="BE64" s="14">
        <f>BD64*VLOOKUP('Données projet'!$B$11,Paramètres!$A$1:$I$89,3,0)*VLOOKUP('Données projet'!$B$11,Paramètres!$A$1:$I$89,5,0)</f>
        <v>123.265584</v>
      </c>
      <c r="BF64" s="14">
        <f t="shared" si="37"/>
        <v>32.43544888049361</v>
      </c>
      <c r="BG64" s="22">
        <f t="shared" si="7"/>
        <v>271.17929893352635</v>
      </c>
      <c r="BH64" s="62">
        <f t="shared" si="8"/>
        <v>564.51263226685967</v>
      </c>
      <c r="BI64" s="62">
        <f ca="1">AVERAGE(OFFSET($BH$3,0,0,'Données projet'!$E$11+1,1))-AVERAGE(OFFSET($H$3,0,0,'Données projet'!$E$11+1,1))</f>
        <v>339.58585574836434</v>
      </c>
      <c r="BJ64" s="62">
        <f t="shared" si="38"/>
        <v>42.267525972379588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3.7678915519174954</v>
      </c>
      <c r="BR64" s="23">
        <f>EXP(-LN(2)/2)*BR63+(1-EXP(-LN(2)/2))/(LN(2)/2)*BL64*BO64*VLOOKUP('Données projet'!$B$11,Paramètres!$A$1:$I$89,3,0)*0.475*44/12</f>
        <v>6.7450618146290067</v>
      </c>
      <c r="BS64" s="24">
        <f t="shared" si="9"/>
        <v>10.512953366546501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5.6159999999999997</v>
      </c>
      <c r="BY64" s="13">
        <f>IF('Données projet'!$A$114&gt;35,BY63+BX64-CG63,IF(A64&lt;'Données projet'!$A$114,$BV$205^A64,IF(A64='Données projet'!$A$114,'Données projet'!$B$114,BY63+BX64-CG63)))</f>
        <v>66.055999999999969</v>
      </c>
      <c r="BZ64" s="14">
        <f>BY64*VLOOKUP('Données projet'!$B$12,Paramètres!$A$1:$I$89,3,0)*VLOOKUP('Données projet'!$B$12,Paramètres!$A$1:$I$89,5,0)</f>
        <v>65.950310399999978</v>
      </c>
      <c r="CA64" s="14">
        <f t="shared" si="39"/>
        <v>18.664315544611704</v>
      </c>
      <c r="CB64" s="22">
        <f t="shared" si="10"/>
        <v>147.37047352019866</v>
      </c>
      <c r="CC64" s="62">
        <f t="shared" si="11"/>
        <v>440.703806853532</v>
      </c>
      <c r="CD64" s="62">
        <f ca="1">AVERAGE(OFFSET($CC$3,0,0,'Données projet'!$E$12+1,1))-AVERAGE(OFFSET($H$3,0,0,'Données projet'!$E$12+1,1))</f>
        <v>112.34884104798977</v>
      </c>
      <c r="CE64" s="62">
        <f t="shared" si="40"/>
        <v>18.665658139749326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7.0928082873056626</v>
      </c>
      <c r="CL64" s="23">
        <f>EXP(-LN(2)/25)*CL63+(1-EXP(-LN(2)/25))/(LN(2)/25)*Calculateur!CG64*Calculateur!CI64*VLOOKUP('Données projet'!$B$12,Paramètres!$A$1:$I$89,3,0)*0.475*44/12</f>
        <v>5.6906857563940836</v>
      </c>
      <c r="CM64" s="23">
        <f>EXP(-LN(2)/2)*CM63+(1-EXP(-LN(2)/2))/(LN(2)/2)*CG64*CJ64*VLOOKUP('Données projet'!$B$12,Paramètres!$A$1:$I$89,3,0)*0.475*44/12</f>
        <v>8.5858736131996571E-2</v>
      </c>
      <c r="CN64" s="24">
        <f t="shared" si="12"/>
        <v>12.869352779831743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3.502307692307693</v>
      </c>
      <c r="CT64" s="13">
        <f>IF('Données projet'!$A$140&gt;35,CT63+CS64-DB63,IF(A64&lt;'Données projet'!$A$140,$CQ$205^A64,IF(A64='Données projet'!$A$140,'Données projet'!$B$140,CT63+CS64-DB63)))</f>
        <v>142.2146153846154</v>
      </c>
      <c r="CU64" s="18">
        <f>CT64*VLOOKUP('Données projet'!$B$13,Paramètres!$A$1:$I$89,3,0)*VLOOKUP('Données projet'!$B$13,Paramètres!$A$1:$I$89,5,0)</f>
        <v>155.29836000000003</v>
      </c>
      <c r="CV64" s="14">
        <f t="shared" si="41"/>
        <v>39.780213598944457</v>
      </c>
      <c r="CW64" s="22">
        <f t="shared" si="13"/>
        <v>339.76184901816168</v>
      </c>
      <c r="CX64" s="62">
        <f t="shared" si="14"/>
        <v>633.09518235149494</v>
      </c>
      <c r="CY64" s="62">
        <f ca="1">AVERAGE(OFFSET($CX$3,0,0,'Données projet'!$E$13+1,1))-AVERAGE(OFFSET($H$3,0,0,'Données projet'!$E$13+1,1))</f>
        <v>205.21073681197737</v>
      </c>
      <c r="CZ64" s="62">
        <f t="shared" si="42"/>
        <v>175.16446313750316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5.5080281810780454</v>
      </c>
      <c r="DH64" s="23">
        <f>EXP(-LN(2)/2)*DH63+(1-EXP(-LN(2)/2))/(LN(2)/2)*DB64*DE64*VLOOKUP('Données projet'!$B$13,Paramètres!$A$1:$I$89,3,0)*0.475*44/12</f>
        <v>7.6716776795223776E-2</v>
      </c>
      <c r="DI64" s="24">
        <f t="shared" si="15"/>
        <v>5.5847449578732693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2.2737367544323206E-13</v>
      </c>
      <c r="DP64" s="18">
        <f>DO64*VLOOKUP('Données projet'!$B$14,Paramètres!$A$1:$I$89,3,0)*VLOOKUP('Données projet'!$B$14,Paramètres!$A$1:$I$89,5,0)</f>
        <v>1.8444552551954985E-13</v>
      </c>
      <c r="DQ64" s="14">
        <f t="shared" si="43"/>
        <v>2.580317449479618E-12</v>
      </c>
      <c r="DR64" s="22">
        <f t="shared" si="16"/>
        <v>4.8152955147902165E-12</v>
      </c>
      <c r="DS64" s="62">
        <f t="shared" si="17"/>
        <v>293.33333333333815</v>
      </c>
      <c r="DT64" s="62">
        <f ca="1">AVERAGE(OFFSET($DS$3,0,0,'Données projet'!$E$14+1,1))-AVERAGE(OFFSET($H$3,0,0,'Données projet'!$E$14+1,1))</f>
        <v>223.63222290670075</v>
      </c>
      <c r="DU64" s="62">
        <f t="shared" si="44"/>
        <v>290.02663909417248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74.532072507059439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67.37910325556291</v>
      </c>
      <c r="ED64" s="24">
        <f t="shared" si="18"/>
        <v>141.91117576262235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333.65814472722889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>
        <f>VLOOKUP(A65,'Données projet'!$A$35:$I$55,2,0)</f>
        <v>308.8</v>
      </c>
      <c r="L65" s="13">
        <f>VLOOKUP(A65,'Données projet'!$A$35:$I$55,9,0)</f>
        <v>3.6125000000000043</v>
      </c>
      <c r="M65" s="13">
        <f t="array" ref="M65">INDEX(L:L,MIN(IF(ISNUMBER(L65:L261),ROW(L65:L261),"")))</f>
        <v>3.6125000000000043</v>
      </c>
      <c r="N65" s="14">
        <f>IF('Données projet'!$A$36&gt;35,N64+M65-V64,IF(A65&lt;'Données projet'!$A$36,$K$205^A65,IF(A65='Données projet'!$A$36,'Données projet'!$B$36,N64+M65-V64)))</f>
        <v>308.8</v>
      </c>
      <c r="O65" s="14">
        <f>N65*VLOOKUP('Données projet'!$B$9,Paramètres!$A$1:$I$89,3,0)*VLOOKUP('Données projet'!$B$9,Paramètres!$A$1:$I$89,5,0)</f>
        <v>184.66240000000002</v>
      </c>
      <c r="P65" s="14">
        <f t="shared" si="33"/>
        <v>46.357935400059141</v>
      </c>
      <c r="Q65" s="22">
        <f t="shared" si="53"/>
        <v>402.36041748843633</v>
      </c>
      <c r="R65" s="62">
        <f t="shared" si="0"/>
        <v>695.69375082176964</v>
      </c>
      <c r="S65" s="62">
        <f ca="1">AVERAGE(OFFSET($R$3,0,0,'Données projet'!$E$9+1,1))-AVERAGE(OFFSET($H$3,0,0,'Données projet'!$E$9+1,1))</f>
        <v>192.24617268603629</v>
      </c>
      <c r="T65" s="62">
        <f t="shared" si="34"/>
        <v>192.48585280662832</v>
      </c>
      <c r="U65" s="16">
        <f>IF(ISNA(VLOOKUP(A65,'Données projet'!$A$35:$I$55,3,0)),0,VLOOKUP(A65,'Données projet'!$A$35:$I$55,3,0))</f>
        <v>10</v>
      </c>
      <c r="V65" s="16">
        <f>IF(ISNA(VLOOKUP(A65,'Données projet'!$A$35:$I$55,4,0)),0,VLOOKUP(A65,'Données projet'!$A$35:$I$55,4,0))</f>
        <v>308.8</v>
      </c>
      <c r="W65" s="17">
        <f>IF(ISNA(VLOOKUP(A65,'Données projet'!$A$35:$I$55,5,0)),0%,VLOOKUP(A65,'Données projet'!$A$35:$I$55,5,0)*VLOOKUP('Données projet'!$B$9,Paramètres!$A$1:$I$89,7,0))</f>
        <v>0.27</v>
      </c>
      <c r="X65" s="17">
        <f>IF(ISNA(VLOOKUP(A65,'Données projet'!$A$35:$I$55,6,0)),0%,VLOOKUP(A65,'Données projet'!$A$35:$I$55,6,0)*VLOOKUP('Données projet'!$B$9,Paramètres!$A$1:$I$89,7,0))</f>
        <v>9.0000000000000011E-2</v>
      </c>
      <c r="Y65" s="17">
        <f>IF(ISNA(VLOOKUP(A65,'Données projet'!$A$35:$I$55,7,0)),0%,VLOOKUP(A65,'Données projet'!$A$35:$I$55,7,0))</f>
        <v>0.1</v>
      </c>
      <c r="Z65" s="23">
        <f>EXP(-LN(2)/35)*Z64+(1-EXP(-LN(2)/35))/(LN(2)/35)*V65*W65*VLOOKUP('Données projet'!$B$9,Paramètres!$A$1:$I$89,3,0)*0.475*44/12</f>
        <v>84.572872250123226</v>
      </c>
      <c r="AA65" s="23">
        <f>EXP(-LN(2)/25)*AA64+(1-EXP(-LN(2)/25))/(LN(2)/25)*Calculateur!V65*Calculateur!X65*VLOOKUP('Données projet'!$B$9,Paramètres!$A$1:$I$89,3,0)*0.475*44/12</f>
        <v>29.991484249084706</v>
      </c>
      <c r="AB65" s="23">
        <f>EXP(-LN(2)/2)*AB64+(1-EXP(-LN(2)/2))/(LN(2)/2)*V65*Y65*VLOOKUP('Données projet'!$B$9,Paramètres!$A$1:$I$89,3,0)*0.475*44/12</f>
        <v>20.983286108628963</v>
      </c>
      <c r="AC65" s="24">
        <f t="shared" si="3"/>
        <v>135.54764260783691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1.9999999998958629E-3</v>
      </c>
      <c r="AJ65" s="14">
        <f>AI65*VLOOKUP('Données projet'!$B$10,Paramètres!$A$1:$I$89,3,0)*VLOOKUP('Données projet'!$B$10,Paramètres!$A$1:$I$89,5,0)</f>
        <v>1.195999999937726E-3</v>
      </c>
      <c r="AK65" s="14">
        <f t="shared" si="35"/>
        <v>1.2062444695752218E-3</v>
      </c>
      <c r="AL65" s="22">
        <f t="shared" si="4"/>
        <v>4.1839091177350513E-3</v>
      </c>
      <c r="AM65" s="62">
        <f t="shared" si="5"/>
        <v>293.33751724245104</v>
      </c>
      <c r="AN65" s="62">
        <f ca="1">AVERAGE(OFFSET($AM$3,0,0,'Données projet'!$E$10+1,1))-AVERAGE(OFFSET($H$3,0,0,'Données projet'!$E$10+1,1))</f>
        <v>164.64952352018145</v>
      </c>
      <c r="AO65" s="62">
        <f t="shared" si="36"/>
        <v>280.08682720086921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42.293306791714656</v>
      </c>
      <c r="AV65" s="23">
        <f>EXP(-LN(2)/25)*AV64+(1-EXP(-LN(2)/25))/(LN(2)/25)*Calculateur!AQ65*Calculateur!AS65*VLOOKUP('Données projet'!$B$10,Paramètres!$A$1:$I$89,3,0)*0.475*44/12</f>
        <v>13.246403772829249</v>
      </c>
      <c r="AW65" s="23">
        <f>EXP(-LN(2)/2)*AW64+(1-EXP(-LN(2)/2))/(LN(2)/2)*AQ65*AT65*VLOOKUP('Données projet'!$B$10,Paramètres!$A$1:$I$89,3,0)*0.475*44/12</f>
        <v>8.2736676013957511E-3</v>
      </c>
      <c r="AX65" s="23">
        <f t="shared" si="6"/>
        <v>55.547984232145296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10.166666666666666</v>
      </c>
      <c r="BD65" s="13">
        <f>IF('Données projet'!$A$88&gt;35,BD64+BC65-BL64,IF(A65&lt;'Données projet'!$A$88,$BA$205^A65,IF(A65='Données projet'!$A$88,'Données projet'!$B$88,BD64+BC65-BL64)))</f>
        <v>156.49333333333331</v>
      </c>
      <c r="BE65" s="14">
        <f>BD65*VLOOKUP('Données projet'!$B$11,Paramètres!$A$1:$I$89,3,0)*VLOOKUP('Données projet'!$B$11,Paramètres!$A$1:$I$89,5,0)</f>
        <v>131.829984</v>
      </c>
      <c r="BF65" s="14">
        <f t="shared" si="37"/>
        <v>34.418870273684192</v>
      </c>
      <c r="BG65" s="22">
        <f t="shared" si="7"/>
        <v>289.55008785999991</v>
      </c>
      <c r="BH65" s="62">
        <f t="shared" si="8"/>
        <v>582.88342119333322</v>
      </c>
      <c r="BI65" s="62">
        <f ca="1">AVERAGE(OFFSET($BH$3,0,0,'Données projet'!$E$11+1,1))-AVERAGE(OFFSET($H$3,0,0,'Données projet'!$E$11+1,1))</f>
        <v>339.58585574836434</v>
      </c>
      <c r="BJ65" s="62">
        <f t="shared" si="38"/>
        <v>42.267525972379588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3.6648583592855064</v>
      </c>
      <c r="BR65" s="23">
        <f>EXP(-LN(2)/2)*BR64+(1-EXP(-LN(2)/2))/(LN(2)/2)*BL65*BO65*VLOOKUP('Données projet'!$B$11,Paramètres!$A$1:$I$89,3,0)*0.475*44/12</f>
        <v>4.7694789486466105</v>
      </c>
      <c r="BS65" s="24">
        <f t="shared" si="9"/>
        <v>8.4343373079321164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5.6159999999999997</v>
      </c>
      <c r="BY65" s="13">
        <f>IF('Données projet'!$A$114&gt;35,BY64+BX65-CG64,IF(A65&lt;'Données projet'!$A$114,$BV$205^A65,IF(A65='Données projet'!$A$114,'Données projet'!$B$114,BY64+BX65-CG64)))</f>
        <v>71.671999999999969</v>
      </c>
      <c r="BZ65" s="14">
        <f>BY65*VLOOKUP('Données projet'!$B$12,Paramètres!$A$1:$I$89,3,0)*VLOOKUP('Données projet'!$B$12,Paramètres!$A$1:$I$89,5,0)</f>
        <v>71.557324799999975</v>
      </c>
      <c r="CA65" s="14">
        <f t="shared" si="39"/>
        <v>20.059699552983318</v>
      </c>
      <c r="CB65" s="22">
        <f t="shared" si="10"/>
        <v>159.56631741477923</v>
      </c>
      <c r="CC65" s="62">
        <f t="shared" si="11"/>
        <v>452.89965074811255</v>
      </c>
      <c r="CD65" s="62">
        <f ca="1">AVERAGE(OFFSET($CC$3,0,0,'Données projet'!$E$12+1,1))-AVERAGE(OFFSET($H$3,0,0,'Données projet'!$E$12+1,1))</f>
        <v>112.34884104798977</v>
      </c>
      <c r="CE65" s="62">
        <f t="shared" si="40"/>
        <v>18.665658139749326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6.9537226429774783</v>
      </c>
      <c r="CL65" s="23">
        <f>EXP(-LN(2)/25)*CL64+(1-EXP(-LN(2)/25))/(LN(2)/25)*Calculateur!CG65*Calculateur!CI65*VLOOKUP('Données projet'!$B$12,Paramètres!$A$1:$I$89,3,0)*0.475*44/12</f>
        <v>5.5350736551253297</v>
      </c>
      <c r="CM65" s="23">
        <f>EXP(-LN(2)/2)*CM64+(1-EXP(-LN(2)/2))/(LN(2)/2)*CG65*CJ65*VLOOKUP('Données projet'!$B$12,Paramètres!$A$1:$I$89,3,0)*0.475*44/12</f>
        <v>6.0711294543041222E-2</v>
      </c>
      <c r="CN65" s="24">
        <f t="shared" si="12"/>
        <v>12.549507592645851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3.502307692307693</v>
      </c>
      <c r="CT65" s="13">
        <f>IF('Données projet'!$A$140&gt;35,CT64+CS65-DB64,IF(A65&lt;'Données projet'!$A$140,$CQ$205^A65,IF(A65='Données projet'!$A$140,'Données projet'!$B$140,CT64+CS65-DB64)))</f>
        <v>145.71692307692308</v>
      </c>
      <c r="CU65" s="18">
        <f>CT65*VLOOKUP('Données projet'!$B$13,Paramètres!$A$1:$I$89,3,0)*VLOOKUP('Données projet'!$B$13,Paramètres!$A$1:$I$89,5,0)</f>
        <v>159.12287999999998</v>
      </c>
      <c r="CV65" s="14">
        <f t="shared" si="41"/>
        <v>40.644615292892567</v>
      </c>
      <c r="CW65" s="22">
        <f t="shared" si="13"/>
        <v>347.92838763512117</v>
      </c>
      <c r="CX65" s="62">
        <f t="shared" si="14"/>
        <v>641.26172096845448</v>
      </c>
      <c r="CY65" s="62">
        <f ca="1">AVERAGE(OFFSET($CX$3,0,0,'Données projet'!$E$13+1,1))-AVERAGE(OFFSET($H$3,0,0,'Données projet'!$E$13+1,1))</f>
        <v>205.21073681197737</v>
      </c>
      <c r="CZ65" s="62">
        <f t="shared" si="42"/>
        <v>175.16446313750316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5.3574108608118527</v>
      </c>
      <c r="DH65" s="23">
        <f>EXP(-LN(2)/2)*DH64+(1-EXP(-LN(2)/2))/(LN(2)/2)*DB65*DE65*VLOOKUP('Données projet'!$B$13,Paramètres!$A$1:$I$89,3,0)*0.475*44/12</f>
        <v>5.4246953102677506E-2</v>
      </c>
      <c r="DI65" s="24">
        <f t="shared" si="15"/>
        <v>5.4116578139145304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2.2737367544323206E-13</v>
      </c>
      <c r="DP65" s="18">
        <f>DO65*VLOOKUP('Données projet'!$B$14,Paramètres!$A$1:$I$89,3,0)*VLOOKUP('Données projet'!$B$14,Paramètres!$A$1:$I$89,5,0)</f>
        <v>1.8444552551954985E-13</v>
      </c>
      <c r="DQ65" s="14">
        <f t="shared" si="43"/>
        <v>2.580317449479618E-12</v>
      </c>
      <c r="DR65" s="22">
        <f t="shared" si="16"/>
        <v>4.8152955147902165E-12</v>
      </c>
      <c r="DS65" s="62">
        <f t="shared" si="17"/>
        <v>293.33333333333815</v>
      </c>
      <c r="DT65" s="62">
        <f ca="1">AVERAGE(OFFSET($DS$3,0,0,'Données projet'!$E$14+1,1))-AVERAGE(OFFSET($H$3,0,0,'Données projet'!$E$14+1,1))</f>
        <v>223.63222290670075</v>
      </c>
      <c r="DU65" s="62">
        <f t="shared" si="44"/>
        <v>290.02663909417248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73.070544025271417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47.64422082227712</v>
      </c>
      <c r="ED65" s="24">
        <f t="shared" si="18"/>
        <v>120.71476484754854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334.86584824301428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192.24617268603629</v>
      </c>
      <c r="T66" s="62">
        <f t="shared" si="34"/>
        <v>192.48585280662832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82.914449809656844</v>
      </c>
      <c r="AA66" s="23">
        <f>EXP(-LN(2)/25)*AA65+(1-EXP(-LN(2)/25))/(LN(2)/25)*Calculateur!V66*Calculateur!X66*VLOOKUP('Données projet'!$B$9,Paramètres!$A$1:$I$89,3,0)*0.475*44/12</f>
        <v>29.171365535109874</v>
      </c>
      <c r="AB66" s="23">
        <f>EXP(-LN(2)/2)*AB65+(1-EXP(-LN(2)/2))/(LN(2)/2)*V66*Y66*VLOOKUP('Données projet'!$B$9,Paramètres!$A$1:$I$89,3,0)*0.475*44/12</f>
        <v>14.837423898989023</v>
      </c>
      <c r="AC66" s="24">
        <f t="shared" si="3"/>
        <v>126.92323924375575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1.9999999998958629E-3</v>
      </c>
      <c r="AJ66" s="14">
        <f>AI66*VLOOKUP('Données projet'!$B$10,Paramètres!$A$1:$I$89,3,0)*VLOOKUP('Données projet'!$B$10,Paramètres!$A$1:$I$89,5,0)</f>
        <v>1.195999999937726E-3</v>
      </c>
      <c r="AK66" s="14">
        <f t="shared" si="35"/>
        <v>1.2062444695752218E-3</v>
      </c>
      <c r="AL66" s="22">
        <f t="shared" si="4"/>
        <v>4.1839091177350513E-3</v>
      </c>
      <c r="AM66" s="62">
        <f t="shared" si="5"/>
        <v>293.33751724245104</v>
      </c>
      <c r="AN66" s="62">
        <f ca="1">AVERAGE(OFFSET($AM$3,0,0,'Données projet'!$E$10+1,1))-AVERAGE(OFFSET($H$3,0,0,'Données projet'!$E$10+1,1))</f>
        <v>164.64952352018145</v>
      </c>
      <c r="AO66" s="62">
        <f t="shared" si="36"/>
        <v>280.08682720086921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41.463960841899095</v>
      </c>
      <c r="AV66" s="23">
        <f>EXP(-LN(2)/25)*AV65+(1-EXP(-LN(2)/25))/(LN(2)/25)*Calculateur!AQ66*Calculateur!AS66*VLOOKUP('Données projet'!$B$10,Paramètres!$A$1:$I$89,3,0)*0.475*44/12</f>
        <v>12.884180165063134</v>
      </c>
      <c r="AW66" s="23">
        <f>EXP(-LN(2)/2)*AW65+(1-EXP(-LN(2)/2))/(LN(2)/2)*AQ66*AT66*VLOOKUP('Données projet'!$B$10,Paramètres!$A$1:$I$89,3,0)*0.475*44/12</f>
        <v>5.850366466230373E-3</v>
      </c>
      <c r="AX66" s="23">
        <f t="shared" si="6"/>
        <v>54.353991373428457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10.166666666666666</v>
      </c>
      <c r="BD66" s="13">
        <f>IF('Données projet'!$A$88&gt;35,BD65+BC66-BL65,IF(A66&lt;'Données projet'!$A$88,$BA$205^A66,IF(A66='Données projet'!$A$88,'Données projet'!$B$88,BD65+BC66-BL65)))</f>
        <v>166.65999999999997</v>
      </c>
      <c r="BE66" s="14">
        <f>BD66*VLOOKUP('Données projet'!$B$11,Paramètres!$A$1:$I$89,3,0)*VLOOKUP('Données projet'!$B$11,Paramètres!$A$1:$I$89,5,0)</f>
        <v>140.394384</v>
      </c>
      <c r="BF66" s="14">
        <f t="shared" si="37"/>
        <v>36.387338534167192</v>
      </c>
      <c r="BG66" s="22">
        <f t="shared" si="7"/>
        <v>307.89483341367452</v>
      </c>
      <c r="BH66" s="62">
        <f t="shared" si="8"/>
        <v>601.22816674700789</v>
      </c>
      <c r="BI66" s="62">
        <f ca="1">AVERAGE(OFFSET($BH$3,0,0,'Données projet'!$E$11+1,1))-AVERAGE(OFFSET($H$3,0,0,'Données projet'!$E$11+1,1))</f>
        <v>339.58585574836434</v>
      </c>
      <c r="BJ66" s="62">
        <f t="shared" si="38"/>
        <v>42.267525972379588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3.5646426147243191</v>
      </c>
      <c r="BR66" s="23">
        <f>EXP(-LN(2)/2)*BR65+(1-EXP(-LN(2)/2))/(LN(2)/2)*BL66*BO66*VLOOKUP('Données projet'!$B$11,Paramètres!$A$1:$I$89,3,0)*0.475*44/12</f>
        <v>3.3725309073145038</v>
      </c>
      <c r="BS66" s="24">
        <f t="shared" si="9"/>
        <v>6.9371735220388224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5.6159999999999997</v>
      </c>
      <c r="BY66" s="13">
        <f>IF('Données projet'!$A$114&gt;35,BY65+BX66-CG65,IF(A66&lt;'Données projet'!$A$114,$BV$205^A66,IF(A66='Données projet'!$A$114,'Données projet'!$B$114,BY65+BX66-CG65)))</f>
        <v>77.287999999999968</v>
      </c>
      <c r="BZ66" s="14">
        <f>BY66*VLOOKUP('Données projet'!$B$12,Paramètres!$A$1:$I$89,3,0)*VLOOKUP('Données projet'!$B$12,Paramètres!$A$1:$I$89,5,0)</f>
        <v>77.164339199999972</v>
      </c>
      <c r="CA66" s="14">
        <f t="shared" si="39"/>
        <v>21.442400784629719</v>
      </c>
      <c r="CB66" s="22">
        <f t="shared" si="10"/>
        <v>171.74007213989671</v>
      </c>
      <c r="CC66" s="62">
        <f t="shared" si="11"/>
        <v>465.07340547323003</v>
      </c>
      <c r="CD66" s="62">
        <f ca="1">AVERAGE(OFFSET($CC$3,0,0,'Données projet'!$E$12+1,1))-AVERAGE(OFFSET($H$3,0,0,'Données projet'!$E$12+1,1))</f>
        <v>112.34884104798977</v>
      </c>
      <c r="CE66" s="62">
        <f t="shared" si="40"/>
        <v>18.665658139749326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6.8173643833007036</v>
      </c>
      <c r="CL66" s="23">
        <f>EXP(-LN(2)/25)*CL65+(1-EXP(-LN(2)/25))/(LN(2)/25)*Calculateur!CG66*Calculateur!CI66*VLOOKUP('Données projet'!$B$12,Paramètres!$A$1:$I$89,3,0)*0.475*44/12</f>
        <v>5.3837167749490549</v>
      </c>
      <c r="CM66" s="23">
        <f>EXP(-LN(2)/2)*CM65+(1-EXP(-LN(2)/2))/(LN(2)/2)*CG66*CJ66*VLOOKUP('Données projet'!$B$12,Paramètres!$A$1:$I$89,3,0)*0.475*44/12</f>
        <v>4.2929368065998286E-2</v>
      </c>
      <c r="CN66" s="24">
        <f t="shared" si="12"/>
        <v>12.244010526315757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3.502307692307693</v>
      </c>
      <c r="CT66" s="13">
        <f>IF('Données projet'!$A$140&gt;35,CT65+CS66-DB65,IF(A66&lt;'Données projet'!$A$140,$CQ$205^A66,IF(A66='Données projet'!$A$140,'Données projet'!$B$140,CT65+CS66-DB65)))</f>
        <v>149.21923076923076</v>
      </c>
      <c r="CU66" s="18">
        <f>CT66*VLOOKUP('Données projet'!$B$13,Paramètres!$A$1:$I$89,3,0)*VLOOKUP('Données projet'!$B$13,Paramètres!$A$1:$I$89,5,0)</f>
        <v>162.94739999999999</v>
      </c>
      <c r="CV66" s="14">
        <f t="shared" si="41"/>
        <v>41.506601805616867</v>
      </c>
      <c r="CW66" s="22">
        <f t="shared" si="13"/>
        <v>356.09071981144933</v>
      </c>
      <c r="CX66" s="62">
        <f t="shared" si="14"/>
        <v>649.42405314478265</v>
      </c>
      <c r="CY66" s="62">
        <f ca="1">AVERAGE(OFFSET($CX$3,0,0,'Données projet'!$E$13+1,1))-AVERAGE(OFFSET($H$3,0,0,'Données projet'!$E$13+1,1))</f>
        <v>205.21073681197737</v>
      </c>
      <c r="CZ66" s="62">
        <f t="shared" si="42"/>
        <v>175.16446313750316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5.2109121790889601</v>
      </c>
      <c r="DH66" s="23">
        <f>EXP(-LN(2)/2)*DH65+(1-EXP(-LN(2)/2))/(LN(2)/2)*DB66*DE66*VLOOKUP('Données projet'!$B$13,Paramètres!$A$1:$I$89,3,0)*0.475*44/12</f>
        <v>3.8358388397611888E-2</v>
      </c>
      <c r="DI66" s="24">
        <f t="shared" si="15"/>
        <v>5.2492705674865716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2.2737367544323206E-13</v>
      </c>
      <c r="DP66" s="18">
        <f>DO66*VLOOKUP('Données projet'!$B$14,Paramètres!$A$1:$I$89,3,0)*VLOOKUP('Données projet'!$B$14,Paramètres!$A$1:$I$89,5,0)</f>
        <v>1.8444552551954985E-13</v>
      </c>
      <c r="DQ66" s="14">
        <f t="shared" si="43"/>
        <v>2.580317449479618E-12</v>
      </c>
      <c r="DR66" s="22">
        <f t="shared" si="16"/>
        <v>4.8152955147902165E-12</v>
      </c>
      <c r="DS66" s="62">
        <f t="shared" si="17"/>
        <v>293.33333333333815</v>
      </c>
      <c r="DT66" s="62">
        <f ca="1">AVERAGE(OFFSET($DS$3,0,0,'Données projet'!$E$14+1,1))-AVERAGE(OFFSET($H$3,0,0,'Données projet'!$E$14+1,1))</f>
        <v>223.63222290670075</v>
      </c>
      <c r="DU66" s="62">
        <f t="shared" si="44"/>
        <v>290.02663909417248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71.637675225566909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33.689551627781462</v>
      </c>
      <c r="ED66" s="24">
        <f t="shared" si="18"/>
        <v>105.32722685334838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336.07307779303983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192.24617268603629</v>
      </c>
      <c r="T67" s="62">
        <f t="shared" si="34"/>
        <v>192.48585280662832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81.288548021710213</v>
      </c>
      <c r="AA67" s="23">
        <f>EXP(-LN(2)/25)*AA66+(1-EXP(-LN(2)/25))/(LN(2)/25)*Calculateur!V67*Calculateur!X67*VLOOKUP('Données projet'!$B$9,Paramètres!$A$1:$I$89,3,0)*0.475*44/12</f>
        <v>28.373673010496855</v>
      </c>
      <c r="AB67" s="23">
        <f>EXP(-LN(2)/2)*AB66+(1-EXP(-LN(2)/2))/(LN(2)/2)*V67*Y67*VLOOKUP('Données projet'!$B$9,Paramètres!$A$1:$I$89,3,0)*0.475*44/12</f>
        <v>10.491643054314483</v>
      </c>
      <c r="AC67" s="24">
        <f t="shared" si="3"/>
        <v>120.15386408652155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1.9999999998958629E-3</v>
      </c>
      <c r="AJ67" s="14">
        <f>AI67*VLOOKUP('Données projet'!$B$10,Paramètres!$A$1:$I$89,3,0)*VLOOKUP('Données projet'!$B$10,Paramètres!$A$1:$I$89,5,0)</f>
        <v>1.195999999937726E-3</v>
      </c>
      <c r="AK67" s="14">
        <f t="shared" si="35"/>
        <v>1.2062444695752218E-3</v>
      </c>
      <c r="AL67" s="22">
        <f t="shared" si="4"/>
        <v>4.1839091177350513E-3</v>
      </c>
      <c r="AM67" s="62">
        <f t="shared" si="5"/>
        <v>293.33751724245104</v>
      </c>
      <c r="AN67" s="62">
        <f ca="1">AVERAGE(OFFSET($AM$3,0,0,'Données projet'!$E$10+1,1))-AVERAGE(OFFSET($H$3,0,0,'Données projet'!$E$10+1,1))</f>
        <v>164.64952352018145</v>
      </c>
      <c r="AO67" s="62">
        <f t="shared" si="36"/>
        <v>280.08682720086921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40.650877860308334</v>
      </c>
      <c r="AV67" s="23">
        <f>EXP(-LN(2)/25)*AV66+(1-EXP(-LN(2)/25))/(LN(2)/25)*Calculateur!AQ67*Calculateur!AS67*VLOOKUP('Données projet'!$B$10,Paramètres!$A$1:$I$89,3,0)*0.475*44/12</f>
        <v>12.531861580899895</v>
      </c>
      <c r="AW67" s="23">
        <f>EXP(-LN(2)/2)*AW66+(1-EXP(-LN(2)/2))/(LN(2)/2)*AQ67*AT67*VLOOKUP('Données projet'!$B$10,Paramètres!$A$1:$I$89,3,0)*0.475*44/12</f>
        <v>4.1368338006978755E-3</v>
      </c>
      <c r="AX67" s="23">
        <f t="shared" si="6"/>
        <v>53.186876275008927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10.166666666666666</v>
      </c>
      <c r="BD67" s="13">
        <f>IF('Données projet'!$A$88&gt;35,BD66+BC67-BL66,IF(A67&lt;'Données projet'!$A$88,$BA$205^A67,IF(A67='Données projet'!$A$88,'Données projet'!$B$88,BD66+BC67-BL66)))</f>
        <v>176.82666666666663</v>
      </c>
      <c r="BE67" s="14">
        <f>BD67*VLOOKUP('Données projet'!$B$11,Paramètres!$A$1:$I$89,3,0)*VLOOKUP('Données projet'!$B$11,Paramètres!$A$1:$I$89,5,0)</f>
        <v>148.95878399999998</v>
      </c>
      <c r="BF67" s="14">
        <f t="shared" si="37"/>
        <v>38.341869708181015</v>
      </c>
      <c r="BG67" s="22">
        <f t="shared" si="7"/>
        <v>326.2153052084152</v>
      </c>
      <c r="BH67" s="62">
        <f t="shared" si="8"/>
        <v>619.54863854174846</v>
      </c>
      <c r="BI67" s="62">
        <f ca="1">AVERAGE(OFFSET($BH$3,0,0,'Données projet'!$E$11+1,1))-AVERAGE(OFFSET($H$3,0,0,'Données projet'!$E$11+1,1))</f>
        <v>339.58585574836434</v>
      </c>
      <c r="BJ67" s="62">
        <f t="shared" si="38"/>
        <v>42.267525972379588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3.4671672749682747</v>
      </c>
      <c r="BR67" s="23">
        <f>EXP(-LN(2)/2)*BR66+(1-EXP(-LN(2)/2))/(LN(2)/2)*BL67*BO67*VLOOKUP('Données projet'!$B$11,Paramètres!$A$1:$I$89,3,0)*0.475*44/12</f>
        <v>2.3847394743233057</v>
      </c>
      <c r="BS67" s="24">
        <f t="shared" si="9"/>
        <v>5.8519067492915804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5.6159999999999997</v>
      </c>
      <c r="BY67" s="13">
        <f>IF('Données projet'!$A$114&gt;35,BY66+BX67-CG66,IF(A67&lt;'Données projet'!$A$114,$BV$205^A67,IF(A67='Données projet'!$A$114,'Données projet'!$B$114,BY66+BX67-CG66)))</f>
        <v>82.903999999999968</v>
      </c>
      <c r="BZ67" s="14">
        <f>BY67*VLOOKUP('Données projet'!$B$12,Paramètres!$A$1:$I$89,3,0)*VLOOKUP('Données projet'!$B$12,Paramètres!$A$1:$I$89,5,0)</f>
        <v>82.771353599999969</v>
      </c>
      <c r="CA67" s="14">
        <f t="shared" si="39"/>
        <v>22.813445616436081</v>
      </c>
      <c r="CB67" s="22">
        <f t="shared" si="10"/>
        <v>183.89352530195944</v>
      </c>
      <c r="CC67" s="62">
        <f t="shared" si="11"/>
        <v>477.22685863529273</v>
      </c>
      <c r="CD67" s="62">
        <f ca="1">AVERAGE(OFFSET($CC$3,0,0,'Données projet'!$E$12+1,1))-AVERAGE(OFFSET($H$3,0,0,'Données projet'!$E$12+1,1))</f>
        <v>112.34884104798977</v>
      </c>
      <c r="CE67" s="62">
        <f t="shared" si="40"/>
        <v>18.665658139749326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6.683680025925864</v>
      </c>
      <c r="CL67" s="23">
        <f>EXP(-LN(2)/25)*CL66+(1-EXP(-LN(2)/25))/(LN(2)/25)*Calculateur!CG67*Calculateur!CI67*VLOOKUP('Données projet'!$B$12,Paramètres!$A$1:$I$89,3,0)*0.475*44/12</f>
        <v>5.2364987566207128</v>
      </c>
      <c r="CM67" s="23">
        <f>EXP(-LN(2)/2)*CM66+(1-EXP(-LN(2)/2))/(LN(2)/2)*CG67*CJ67*VLOOKUP('Données projet'!$B$12,Paramètres!$A$1:$I$89,3,0)*0.475*44/12</f>
        <v>3.0355647271520611E-2</v>
      </c>
      <c r="CN67" s="24">
        <f t="shared" si="12"/>
        <v>11.950534429818097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3.502307692307693</v>
      </c>
      <c r="CT67" s="13">
        <f>IF('Données projet'!$A$140&gt;35,CT66+CS67-DB66,IF(A67&lt;'Données projet'!$A$140,$CQ$205^A67,IF(A67='Données projet'!$A$140,'Données projet'!$B$140,CT66+CS67-DB66)))</f>
        <v>152.72153846153844</v>
      </c>
      <c r="CU67" s="18">
        <f>CT67*VLOOKUP('Données projet'!$B$13,Paramètres!$A$1:$I$89,3,0)*VLOOKUP('Données projet'!$B$13,Paramètres!$A$1:$I$89,5,0)</f>
        <v>166.77191999999997</v>
      </c>
      <c r="CV67" s="14">
        <f t="shared" si="41"/>
        <v>42.366236347228508</v>
      </c>
      <c r="CW67" s="22">
        <f t="shared" si="13"/>
        <v>364.24895563808951</v>
      </c>
      <c r="CX67" s="62">
        <f t="shared" si="14"/>
        <v>657.58228897142283</v>
      </c>
      <c r="CY67" s="62">
        <f ca="1">AVERAGE(OFFSET($CX$3,0,0,'Données projet'!$E$13+1,1))-AVERAGE(OFFSET($H$3,0,0,'Données projet'!$E$13+1,1))</f>
        <v>205.21073681197737</v>
      </c>
      <c r="CZ67" s="62">
        <f t="shared" si="42"/>
        <v>175.16446313750316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5.0684195115218103</v>
      </c>
      <c r="DH67" s="23">
        <f>EXP(-LN(2)/2)*DH66+(1-EXP(-LN(2)/2))/(LN(2)/2)*DB67*DE67*VLOOKUP('Données projet'!$B$13,Paramètres!$A$1:$I$89,3,0)*0.475*44/12</f>
        <v>2.7123476551338753E-2</v>
      </c>
      <c r="DI67" s="24">
        <f t="shared" si="15"/>
        <v>5.0955429880731486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2.2737367544323206E-13</v>
      </c>
      <c r="DP67" s="18">
        <f>DO67*VLOOKUP('Données projet'!$B$14,Paramètres!$A$1:$I$89,3,0)*VLOOKUP('Données projet'!$B$14,Paramètres!$A$1:$I$89,5,0)</f>
        <v>1.8444552551954985E-13</v>
      </c>
      <c r="DQ67" s="14">
        <f t="shared" si="43"/>
        <v>2.580317449479618E-12</v>
      </c>
      <c r="DR67" s="22">
        <f t="shared" si="16"/>
        <v>4.8152955147902165E-12</v>
      </c>
      <c r="DS67" s="62">
        <f t="shared" si="17"/>
        <v>293.33333333333815</v>
      </c>
      <c r="DT67" s="62">
        <f ca="1">AVERAGE(OFFSET($DS$3,0,0,'Données projet'!$E$14+1,1))-AVERAGE(OFFSET($H$3,0,0,'Données projet'!$E$14+1,1))</f>
        <v>223.63222290670075</v>
      </c>
      <c r="DU67" s="62">
        <f t="shared" si="44"/>
        <v>290.02663909417248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70.232904109060939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23.822110411138564</v>
      </c>
      <c r="ED67" s="24">
        <f t="shared" si="18"/>
        <v>94.055014520199506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337.27984163820884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192.24617268603629</v>
      </c>
      <c r="T68" s="62">
        <f t="shared" si="34"/>
        <v>192.48585280662832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79.694529176123041</v>
      </c>
      <c r="AA68" s="23">
        <f>EXP(-LN(2)/25)*AA67+(1-EXP(-LN(2)/25))/(LN(2)/25)*Calculateur!V68*Calculateur!X68*VLOOKUP('Données projet'!$B$9,Paramètres!$A$1:$I$89,3,0)*0.475*44/12</f>
        <v>27.597793429918205</v>
      </c>
      <c r="AB68" s="23">
        <f>EXP(-LN(2)/2)*AB67+(1-EXP(-LN(2)/2))/(LN(2)/2)*V68*Y68*VLOOKUP('Données projet'!$B$9,Paramètres!$A$1:$I$89,3,0)*0.475*44/12</f>
        <v>7.4187119494945133</v>
      </c>
      <c r="AC68" s="24">
        <f t="shared" ref="AC68:AC131" si="57">SUM(Z68:AB68)</f>
        <v>114.71103455553575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1.9999999998958629E-3</v>
      </c>
      <c r="AJ68" s="14">
        <f>AI68*VLOOKUP('Données projet'!$B$10,Paramètres!$A$1:$I$89,3,0)*VLOOKUP('Données projet'!$B$10,Paramètres!$A$1:$I$89,5,0)</f>
        <v>1.195999999937726E-3</v>
      </c>
      <c r="AK68" s="14">
        <f t="shared" si="35"/>
        <v>1.2062444695752218E-3</v>
      </c>
      <c r="AL68" s="22">
        <f t="shared" ref="AL68:AL131" si="58">(AJ68+AK68)*0.475*44/12</f>
        <v>4.1839091177350513E-3</v>
      </c>
      <c r="AM68" s="62">
        <f t="shared" ref="AM68:AM131" si="59">AL68+(AD68+AE68)*44/12</f>
        <v>293.33751724245104</v>
      </c>
      <c r="AN68" s="62">
        <f ca="1">AVERAGE(OFFSET($AM$3,0,0,'Données projet'!$E$10+1,1))-AVERAGE(OFFSET($H$3,0,0,'Données projet'!$E$10+1,1))</f>
        <v>164.64952352018145</v>
      </c>
      <c r="AO68" s="62">
        <f t="shared" si="36"/>
        <v>280.08682720086921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39.853738940054917</v>
      </c>
      <c r="AV68" s="23">
        <f>EXP(-LN(2)/25)*AV67+(1-EXP(-LN(2)/25))/(LN(2)/25)*Calculateur!AQ68*Calculateur!AS68*VLOOKUP('Données projet'!$B$10,Paramètres!$A$1:$I$89,3,0)*0.475*44/12</f>
        <v>12.189177166948229</v>
      </c>
      <c r="AW68" s="23">
        <f>EXP(-LN(2)/2)*AW67+(1-EXP(-LN(2)/2))/(LN(2)/2)*AQ68*AT68*VLOOKUP('Données projet'!$B$10,Paramètres!$A$1:$I$89,3,0)*0.475*44/12</f>
        <v>2.9251832331151865E-3</v>
      </c>
      <c r="AX68" s="23">
        <f t="shared" ref="AX68:AX131" si="60">SUM(AU68:AW68)</f>
        <v>52.045841290236261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10.166666666666666</v>
      </c>
      <c r="BD68" s="13">
        <f>IF('Données projet'!$A$88&gt;35,BD67+BC68-BL67,IF(A68&lt;'Données projet'!$A$88,$BA$205^A68,IF(A68='Données projet'!$A$88,'Données projet'!$B$88,BD67+BC68-BL67)))</f>
        <v>186.99333333333328</v>
      </c>
      <c r="BE68" s="14">
        <f>BD68*VLOOKUP('Données projet'!$B$11,Paramètres!$A$1:$I$89,3,0)*VLOOKUP('Données projet'!$B$11,Paramètres!$A$1:$I$89,5,0)</f>
        <v>157.52318399999999</v>
      </c>
      <c r="BF68" s="14">
        <f t="shared" si="37"/>
        <v>40.283356407241214</v>
      </c>
      <c r="BG68" s="22">
        <f t="shared" ref="BG68:BG131" si="61">(BE68+BF68)*0.475*44/12</f>
        <v>344.51305787594509</v>
      </c>
      <c r="BH68" s="62">
        <f t="shared" ref="BH68:BH131" si="62">BG68+(AY68+AZ68)*44/12</f>
        <v>637.84639120927841</v>
      </c>
      <c r="BI68" s="62">
        <f ca="1">AVERAGE(OFFSET($BH$3,0,0,'Données projet'!$E$11+1,1))-AVERAGE(OFFSET($H$3,0,0,'Données projet'!$E$11+1,1))</f>
        <v>339.58585574836434</v>
      </c>
      <c r="BJ68" s="62">
        <f t="shared" si="38"/>
        <v>42.267525972379588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3.3723574035038646</v>
      </c>
      <c r="BR68" s="23">
        <f>EXP(-LN(2)/2)*BR67+(1-EXP(-LN(2)/2))/(LN(2)/2)*BL68*BO68*VLOOKUP('Données projet'!$B$11,Paramètres!$A$1:$I$89,3,0)*0.475*44/12</f>
        <v>1.6862654536572521</v>
      </c>
      <c r="BS68" s="24">
        <f t="shared" ref="BS68:BS131" si="63">SUM(BP68:BR68)</f>
        <v>5.0586228571611169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5.6159999999999997</v>
      </c>
      <c r="BY68" s="13">
        <f>IF('Données projet'!$A$114&gt;35,BY67+BX68-CG67,IF(A68&lt;'Données projet'!$A$114,$BV$205^A68,IF(A68='Données projet'!$A$114,'Données projet'!$B$114,BY67+BX68-CG67)))</f>
        <v>88.519999999999968</v>
      </c>
      <c r="BZ68" s="14">
        <f>BY68*VLOOKUP('Données projet'!$B$12,Paramètres!$A$1:$I$89,3,0)*VLOOKUP('Données projet'!$B$12,Paramètres!$A$1:$I$89,5,0)</f>
        <v>88.378367999999966</v>
      </c>
      <c r="CA68" s="14">
        <f t="shared" si="39"/>
        <v>24.173713500211413</v>
      </c>
      <c r="CB68" s="22">
        <f t="shared" ref="CB68:CB131" si="64">(BZ68+CA68)*0.475*44/12</f>
        <v>196.02820861286816</v>
      </c>
      <c r="CC68" s="62">
        <f t="shared" ref="CC68:CC131" si="65">CB68+(BT68+BU68)*44/12</f>
        <v>489.36154194620144</v>
      </c>
      <c r="CD68" s="62">
        <f ca="1">AVERAGE(OFFSET($CC$3,0,0,'Données projet'!$E$12+1,1))-AVERAGE(OFFSET($H$3,0,0,'Données projet'!$E$12+1,1))</f>
        <v>112.34884104798977</v>
      </c>
      <c r="CE68" s="62">
        <f t="shared" si="40"/>
        <v>18.665658139749326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6.5526171372597384</v>
      </c>
      <c r="CL68" s="23">
        <f>EXP(-LN(2)/25)*CL67+(1-EXP(-LN(2)/25))/(LN(2)/25)*Calculateur!CG68*Calculateur!CI68*VLOOKUP('Données projet'!$B$12,Paramètres!$A$1:$I$89,3,0)*0.475*44/12</f>
        <v>5.0933064227454183</v>
      </c>
      <c r="CM68" s="23">
        <f>EXP(-LN(2)/2)*CM67+(1-EXP(-LN(2)/2))/(LN(2)/2)*CG68*CJ68*VLOOKUP('Données projet'!$B$12,Paramètres!$A$1:$I$89,3,0)*0.475*44/12</f>
        <v>2.1464684032999143E-2</v>
      </c>
      <c r="CN68" s="24">
        <f t="shared" ref="CN68:CN131" si="66">SUM(CK68:CM68)</f>
        <v>11.667388244038156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3.502307692307693</v>
      </c>
      <c r="CT68" s="13">
        <f>IF('Données projet'!$A$140&gt;35,CT67+CS68-DB67,IF(A68&lt;'Données projet'!$A$140,$CQ$205^A68,IF(A68='Données projet'!$A$140,'Données projet'!$B$140,CT67+CS68-DB67)))</f>
        <v>156.22384615384613</v>
      </c>
      <c r="CU68" s="18">
        <f>CT68*VLOOKUP('Données projet'!$B$13,Paramètres!$A$1:$I$89,3,0)*VLOOKUP('Données projet'!$B$13,Paramètres!$A$1:$I$89,5,0)</f>
        <v>170.59643999999997</v>
      </c>
      <c r="CV68" s="14">
        <f t="shared" si="41"/>
        <v>43.223579063241893</v>
      </c>
      <c r="CW68" s="22">
        <f t="shared" ref="CW68:CW131" si="67">(CU68+CV68)*0.475*44/12</f>
        <v>372.40319986847953</v>
      </c>
      <c r="CX68" s="62">
        <f t="shared" ref="CX68:CX131" si="68">CW68+(CO68+CP68)*44/12</f>
        <v>665.73653320181279</v>
      </c>
      <c r="CY68" s="62">
        <f ca="1">AVERAGE(OFFSET($CX$3,0,0,'Données projet'!$E$13+1,1))-AVERAGE(OFFSET($H$3,0,0,'Données projet'!$E$13+1,1))</f>
        <v>205.21073681197737</v>
      </c>
      <c r="CZ68" s="62">
        <f t="shared" si="42"/>
        <v>175.16446313750316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4.9298233134426486</v>
      </c>
      <c r="DH68" s="23">
        <f>EXP(-LN(2)/2)*DH67+(1-EXP(-LN(2)/2))/(LN(2)/2)*DB68*DE68*VLOOKUP('Données projet'!$B$13,Paramètres!$A$1:$I$89,3,0)*0.475*44/12</f>
        <v>1.9179194198805944E-2</v>
      </c>
      <c r="DI68" s="24">
        <f t="shared" ref="DI68:DI131" si="69">SUM(DF68:DH68)</f>
        <v>4.9490025076414543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2.2737367544323206E-13</v>
      </c>
      <c r="DP68" s="18">
        <f>DO68*VLOOKUP('Données projet'!$B$14,Paramètres!$A$1:$I$89,3,0)*VLOOKUP('Données projet'!$B$14,Paramètres!$A$1:$I$89,5,0)</f>
        <v>1.8444552551954985E-13</v>
      </c>
      <c r="DQ68" s="14">
        <f t="shared" si="43"/>
        <v>2.580317449479618E-12</v>
      </c>
      <c r="DR68" s="22">
        <f t="shared" ref="DR68:DR131" si="70">(DP68+DQ68)*0.475*44/12</f>
        <v>4.8152955147902165E-12</v>
      </c>
      <c r="DS68" s="62">
        <f t="shared" ref="DS68:DS131" si="71">DR68+(DJ68+DK68)*44/12</f>
        <v>293.33333333333815</v>
      </c>
      <c r="DT68" s="62">
        <f ca="1">AVERAGE(OFFSET($DS$3,0,0,'Données projet'!$E$14+1,1))-AVERAGE(OFFSET($H$3,0,0,'Données projet'!$E$14+1,1))</f>
        <v>223.63222290670075</v>
      </c>
      <c r="DU68" s="62">
        <f t="shared" si="44"/>
        <v>290.02663909417248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68.855679697323879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16.844775813890735</v>
      </c>
      <c r="ED68" s="24">
        <f t="shared" ref="ED68:ED131" si="72">SUM(EA68:EC68)</f>
        <v>85.700455511214614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338.48614777065865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192.24617268603629</v>
      </c>
      <c r="T69" s="62">
        <f t="shared" ref="T69:T132" si="88">$T$3</f>
        <v>192.48585280662832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78.131768067842344</v>
      </c>
      <c r="AA69" s="23">
        <f>EXP(-LN(2)/25)*AA68+(1-EXP(-LN(2)/25))/(LN(2)/25)*Calculateur!V69*Calculateur!X69*VLOOKUP('Données projet'!$B$9,Paramètres!$A$1:$I$89,3,0)*0.475*44/12</f>
        <v>26.843130317272212</v>
      </c>
      <c r="AB69" s="23">
        <f>EXP(-LN(2)/2)*AB68+(1-EXP(-LN(2)/2))/(LN(2)/2)*V69*Y69*VLOOKUP('Données projet'!$B$9,Paramètres!$A$1:$I$89,3,0)*0.475*44/12</f>
        <v>5.2458215271572426</v>
      </c>
      <c r="AC69" s="24">
        <f t="shared" si="57"/>
        <v>110.2207199122718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1.9999999998958629E-3</v>
      </c>
      <c r="AJ69" s="14">
        <f>AI69*VLOOKUP('Données projet'!$B$10,Paramètres!$A$1:$I$89,3,0)*VLOOKUP('Données projet'!$B$10,Paramètres!$A$1:$I$89,5,0)</f>
        <v>1.195999999937726E-3</v>
      </c>
      <c r="AK69" s="14">
        <f t="shared" ref="AK69:AK132" si="89">EXP(-1.0587+0.8836*LN(AJ69)+0.284)</f>
        <v>1.2062444695752218E-3</v>
      </c>
      <c r="AL69" s="22">
        <f t="shared" si="58"/>
        <v>4.1839091177350513E-3</v>
      </c>
      <c r="AM69" s="62">
        <f t="shared" si="59"/>
        <v>293.33751724245104</v>
      </c>
      <c r="AN69" s="62">
        <f ca="1">AVERAGE(OFFSET($AM$3,0,0,'Données projet'!$E$10+1,1))-AVERAGE(OFFSET($H$3,0,0,'Données projet'!$E$10+1,1))</f>
        <v>164.64952352018145</v>
      </c>
      <c r="AO69" s="62">
        <f t="shared" ref="AO69:AO132" si="90">$AO$3</f>
        <v>280.08682720086921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39.072231427820938</v>
      </c>
      <c r="AV69" s="23">
        <f>EXP(-LN(2)/25)*AV68+(1-EXP(-LN(2)/25))/(LN(2)/25)*Calculateur!AQ69*Calculateur!AS69*VLOOKUP('Données projet'!$B$10,Paramètres!$A$1:$I$89,3,0)*0.475*44/12</f>
        <v>11.855863476317062</v>
      </c>
      <c r="AW69" s="23">
        <f>EXP(-LN(2)/2)*AW68+(1-EXP(-LN(2)/2))/(LN(2)/2)*AQ69*AT69*VLOOKUP('Données projet'!$B$10,Paramètres!$A$1:$I$89,3,0)*0.475*44/12</f>
        <v>2.0684169003489378E-3</v>
      </c>
      <c r="AX69" s="23">
        <f t="shared" si="60"/>
        <v>50.93016332103835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>
        <f>VLOOKUP(A69,'Données projet'!$A$87:$I$107,2,0)</f>
        <v>197.16</v>
      </c>
      <c r="BB69" s="13">
        <f>VLOOKUP(A69,'Données projet'!$A$87:$I$107,9,0)</f>
        <v>10.166666666666666</v>
      </c>
      <c r="BC69" s="13">
        <f t="array" ref="BC69">INDEX(BB:BB,MIN(IF(ISNUMBER(BB69:BB265),ROW(BB69:BB265),"")))</f>
        <v>10.166666666666666</v>
      </c>
      <c r="BD69" s="13">
        <f>IF('Données projet'!$A$88&gt;35,BD68+BC69-BL68,IF(A69&lt;'Données projet'!$A$88,$BA$205^A69,IF(A69='Données projet'!$A$88,'Données projet'!$B$88,BD68+BC69-BL68)))</f>
        <v>197.15999999999994</v>
      </c>
      <c r="BE69" s="14">
        <f>BD69*VLOOKUP('Données projet'!$B$11,Paramètres!$A$1:$I$89,3,0)*VLOOKUP('Données projet'!$B$11,Paramètres!$A$1:$I$89,5,0)</f>
        <v>166.08758399999996</v>
      </c>
      <c r="BF69" s="14">
        <f t="shared" ref="BF69:BF132" si="91">EXP(-1.0587+0.8836*LN(BE69)+0.284)</f>
        <v>42.21258870001099</v>
      </c>
      <c r="BG69" s="22">
        <f t="shared" si="61"/>
        <v>362.78946745251909</v>
      </c>
      <c r="BH69" s="62">
        <f t="shared" si="62"/>
        <v>656.12280078585241</v>
      </c>
      <c r="BI69" s="62">
        <f ca="1">AVERAGE(OFFSET($BH$3,0,0,'Données projet'!$E$11+1,1))-AVERAGE(OFFSET($H$3,0,0,'Données projet'!$E$11+1,1))</f>
        <v>339.58585574836434</v>
      </c>
      <c r="BJ69" s="62">
        <f t="shared" ref="BJ69:BJ132" si="92">$BJ$3</f>
        <v>42.267525972379588</v>
      </c>
      <c r="BK69" s="16">
        <f>IF(ISNA(VLOOKUP(A69,'Données projet'!$A$87:$I$107,3,0)),0,VLOOKUP(A69,'Données projet'!$A$87:$I$107,3,0))</f>
        <v>7</v>
      </c>
      <c r="BL69" s="16">
        <f>IF(ISNA(VLOOKUP(A69,'Données projet'!$A$87:$I$107,4,0)),0,VLOOKUP(A69,'Données projet'!$A$87:$I$107,4,0))</f>
        <v>31</v>
      </c>
      <c r="BM69" s="17">
        <f>IF(ISNA(VLOOKUP(A69,'Données projet'!$A$87:$I$107,5,0)),0%,VLOOKUP(A69,'Données projet'!$A$87:$I$107,5,0)*VLOOKUP('Données projet'!$B$11,Paramètres!$A$1:$I$89,7,0))</f>
        <v>0.17200000000000001</v>
      </c>
      <c r="BN69" s="17">
        <f>IF(ISNA(VLOOKUP(A69,'Données projet'!$A$87:$I$107,6,0)),0%,VLOOKUP(A69,'Données projet'!$A$87:$I$107,6,0)*VLOOKUP('Données projet'!$B$11,Paramètres!$A$1:$I$89,7,0))</f>
        <v>0.129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4.965415656835348</v>
      </c>
      <c r="BQ69" s="23">
        <f>EXP(-LN(2)/25)*BQ68+(1-EXP(-LN(2)/25))/(LN(2)/25)*Calculateur!BL69*Calculateur!BN69*VLOOKUP('Données projet'!$B$11,Paramètres!$A$1:$I$89,3,0)*0.475*44/12</f>
        <v>6.9895388055275021</v>
      </c>
      <c r="BR69" s="23">
        <f>EXP(-LN(2)/2)*BR68+(1-EXP(-LN(2)/2))/(LN(2)/2)*BL69*BO69*VLOOKUP('Données projet'!$B$11,Paramètres!$A$1:$I$89,3,0)*0.475*44/12</f>
        <v>1.1923697371616528</v>
      </c>
      <c r="BS69" s="24">
        <f t="shared" si="63"/>
        <v>13.147324199524501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5.6159999999999997</v>
      </c>
      <c r="BY69" s="13">
        <f>IF('Données projet'!$A$114&gt;35,BY68+BX69-CG68,IF(A69&lt;'Données projet'!$A$114,$BV$205^A69,IF(A69='Données projet'!$A$114,'Données projet'!$B$114,BY68+BX69-CG68)))</f>
        <v>94.135999999999967</v>
      </c>
      <c r="BZ69" s="14">
        <f>BY69*VLOOKUP('Données projet'!$B$12,Paramètres!$A$1:$I$89,3,0)*VLOOKUP('Données projet'!$B$12,Paramètres!$A$1:$I$89,5,0)</f>
        <v>93.985382399999963</v>
      </c>
      <c r="CA69" s="14">
        <f t="shared" ref="CA69:CA132" si="93">EXP(-1.0587+0.8836*LN(BZ69)+0.284)</f>
        <v>25.523965988855064</v>
      </c>
      <c r="CB69" s="22">
        <f t="shared" si="64"/>
        <v>208.14544844392253</v>
      </c>
      <c r="CC69" s="62">
        <f t="shared" si="65"/>
        <v>501.47878177725585</v>
      </c>
      <c r="CD69" s="62">
        <f ca="1">AVERAGE(OFFSET($CC$3,0,0,'Données projet'!$E$12+1,1))-AVERAGE(OFFSET($H$3,0,0,'Données projet'!$E$12+1,1))</f>
        <v>112.34884104798977</v>
      </c>
      <c r="CE69" s="62">
        <f t="shared" ref="CE69:CE132" si="94">$CE$3</f>
        <v>18.665658139749326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6.4241243118998872</v>
      </c>
      <c r="CL69" s="23">
        <f>EXP(-LN(2)/25)*CL68+(1-EXP(-LN(2)/25))/(LN(2)/25)*Calculateur!CG69*Calculateur!CI69*VLOOKUP('Données projet'!$B$12,Paramètres!$A$1:$I$89,3,0)*0.475*44/12</f>
        <v>4.9540296907701009</v>
      </c>
      <c r="CM69" s="23">
        <f>EXP(-LN(2)/2)*CM68+(1-EXP(-LN(2)/2))/(LN(2)/2)*CG69*CJ69*VLOOKUP('Données projet'!$B$12,Paramètres!$A$1:$I$89,3,0)*0.475*44/12</f>
        <v>1.5177823635760306E-2</v>
      </c>
      <c r="CN69" s="24">
        <f t="shared" si="66"/>
        <v>11.393331826305747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3.502307692307693</v>
      </c>
      <c r="CT69" s="13">
        <f>IF('Données projet'!$A$140&gt;35,CT68+CS69-DB68,IF(A69&lt;'Données projet'!$A$140,$CQ$205^A69,IF(A69='Données projet'!$A$140,'Données projet'!$B$140,CT68+CS69-DB68)))</f>
        <v>159.72615384615381</v>
      </c>
      <c r="CU69" s="18">
        <f>CT69*VLOOKUP('Données projet'!$B$13,Paramètres!$A$1:$I$89,3,0)*VLOOKUP('Données projet'!$B$13,Paramètres!$A$1:$I$89,5,0)</f>
        <v>174.42095999999995</v>
      </c>
      <c r="CV69" s="14">
        <f t="shared" ref="CV69:CV132" si="95">EXP(-1.0587+0.8836*LN(CU69)+0.284)</f>
        <v>44.078687248475973</v>
      </c>
      <c r="CW69" s="22">
        <f t="shared" si="67"/>
        <v>380.55355229109551</v>
      </c>
      <c r="CX69" s="62">
        <f t="shared" si="68"/>
        <v>673.88688562442883</v>
      </c>
      <c r="CY69" s="62">
        <f ca="1">AVERAGE(OFFSET($CX$3,0,0,'Données projet'!$E$13+1,1))-AVERAGE(OFFSET($H$3,0,0,'Données projet'!$E$13+1,1))</f>
        <v>205.21073681197737</v>
      </c>
      <c r="CZ69" s="62">
        <f t="shared" ref="CZ69:CZ132" si="96">$CZ$3</f>
        <v>175.16446313750316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4.795017035688419</v>
      </c>
      <c r="DH69" s="23">
        <f>EXP(-LN(2)/2)*DH68+(1-EXP(-LN(2)/2))/(LN(2)/2)*DB69*DE69*VLOOKUP('Données projet'!$B$13,Paramètres!$A$1:$I$89,3,0)*0.475*44/12</f>
        <v>1.3561738275669376E-2</v>
      </c>
      <c r="DI69" s="24">
        <f t="shared" si="69"/>
        <v>4.8085787739640882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2.2737367544323206E-13</v>
      </c>
      <c r="DP69" s="18">
        <f>DO69*VLOOKUP('Données projet'!$B$14,Paramètres!$A$1:$I$89,3,0)*VLOOKUP('Données projet'!$B$14,Paramètres!$A$1:$I$89,5,0)</f>
        <v>1.8444552551954985E-13</v>
      </c>
      <c r="DQ69" s="14">
        <f t="shared" ref="DQ69:DQ132" si="97">EXP(-1.0587+0.8836*LN(DP69)+0.284)</f>
        <v>2.580317449479618E-12</v>
      </c>
      <c r="DR69" s="22">
        <f t="shared" si="70"/>
        <v>4.8152955147902165E-12</v>
      </c>
      <c r="DS69" s="62">
        <f t="shared" si="71"/>
        <v>293.33333333333815</v>
      </c>
      <c r="DT69" s="62">
        <f ca="1">AVERAGE(OFFSET($DS$3,0,0,'Données projet'!$E$14+1,1))-AVERAGE(OFFSET($H$3,0,0,'Données projet'!$E$14+1,1))</f>
        <v>223.63222290670075</v>
      </c>
      <c r="DU69" s="62">
        <f t="shared" ref="DU69:DU132" si="98">$DU$3</f>
        <v>290.02663909417248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67.505461816277034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11.911055205569285</v>
      </c>
      <c r="ED69" s="24">
        <f t="shared" si="72"/>
        <v>79.416517021846317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339.69200392644217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192.24617268603629</v>
      </c>
      <c r="T70" s="62">
        <f t="shared" si="88"/>
        <v>192.48585280662832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76.599651751704869</v>
      </c>
      <c r="AA70" s="23">
        <f>EXP(-LN(2)/25)*AA69+(1-EXP(-LN(2)/25))/(LN(2)/25)*Calculateur!V70*Calculateur!X70*VLOOKUP('Données projet'!$B$9,Paramètres!$A$1:$I$89,3,0)*0.475*44/12</f>
        <v>26.109103507127532</v>
      </c>
      <c r="AB70" s="23">
        <f>EXP(-LN(2)/2)*AB69+(1-EXP(-LN(2)/2))/(LN(2)/2)*V70*Y70*VLOOKUP('Données projet'!$B$9,Paramètres!$A$1:$I$89,3,0)*0.475*44/12</f>
        <v>3.7093559747472571</v>
      </c>
      <c r="AC70" s="24">
        <f t="shared" si="57"/>
        <v>106.41811123357965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1.9999999998958629E-3</v>
      </c>
      <c r="AJ70" s="14">
        <f>AI70*VLOOKUP('Données projet'!$B$10,Paramètres!$A$1:$I$89,3,0)*VLOOKUP('Données projet'!$B$10,Paramètres!$A$1:$I$89,5,0)</f>
        <v>1.195999999937726E-3</v>
      </c>
      <c r="AK70" s="14">
        <f t="shared" si="89"/>
        <v>1.2062444695752218E-3</v>
      </c>
      <c r="AL70" s="22">
        <f t="shared" si="58"/>
        <v>4.1839091177350513E-3</v>
      </c>
      <c r="AM70" s="62">
        <f t="shared" si="59"/>
        <v>293.33751724245104</v>
      </c>
      <c r="AN70" s="62">
        <f ca="1">AVERAGE(OFFSET($AM$3,0,0,'Données projet'!$E$10+1,1))-AVERAGE(OFFSET($H$3,0,0,'Données projet'!$E$10+1,1))</f>
        <v>164.64952352018145</v>
      </c>
      <c r="AO70" s="62">
        <f t="shared" si="90"/>
        <v>280.08682720086921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38.306048801229352</v>
      </c>
      <c r="AV70" s="23">
        <f>EXP(-LN(2)/25)*AV69+(1-EXP(-LN(2)/25))/(LN(2)/25)*Calculateur!AQ70*Calculateur!AS70*VLOOKUP('Données projet'!$B$10,Paramètres!$A$1:$I$89,3,0)*0.475*44/12</f>
        <v>11.531664266084409</v>
      </c>
      <c r="AW70" s="23">
        <f>EXP(-LN(2)/2)*AW69+(1-EXP(-LN(2)/2))/(LN(2)/2)*AQ70*AT70*VLOOKUP('Données projet'!$B$10,Paramètres!$A$1:$I$89,3,0)*0.475*44/12</f>
        <v>1.4625916165575932E-3</v>
      </c>
      <c r="AX70" s="23">
        <f t="shared" si="60"/>
        <v>49.839175658930316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9.1066666666666691</v>
      </c>
      <c r="BD70" s="13">
        <f>IF('Données projet'!$A$88&gt;35,BD69+BC70-BL69,IF(A70&lt;'Données projet'!$A$88,$BA$205^A70,IF(A70='Données projet'!$A$88,'Données projet'!$B$88,BD69+BC70-BL69)))</f>
        <v>175.26666666666659</v>
      </c>
      <c r="BE70" s="14">
        <f>BD70*VLOOKUP('Données projet'!$B$11,Paramètres!$A$1:$I$89,3,0)*VLOOKUP('Données projet'!$B$11,Paramètres!$A$1:$I$89,5,0)</f>
        <v>147.64463999999995</v>
      </c>
      <c r="BF70" s="14">
        <f t="shared" si="91"/>
        <v>38.042829559686801</v>
      </c>
      <c r="BG70" s="22">
        <f t="shared" si="61"/>
        <v>323.40567614978778</v>
      </c>
      <c r="BH70" s="62">
        <f t="shared" si="62"/>
        <v>616.73900948312109</v>
      </c>
      <c r="BI70" s="62">
        <f ca="1">AVERAGE(OFFSET($BH$3,0,0,'Données projet'!$E$11+1,1))-AVERAGE(OFFSET($H$3,0,0,'Données projet'!$E$11+1,1))</f>
        <v>339.58585574836434</v>
      </c>
      <c r="BJ70" s="62">
        <f t="shared" si="92"/>
        <v>42.267525972379588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4.8680468844093081</v>
      </c>
      <c r="BQ70" s="23">
        <f>EXP(-LN(2)/25)*BQ69+(1-EXP(-LN(2)/25))/(LN(2)/25)*Calculateur!BL70*Calculateur!BN70*VLOOKUP('Données projet'!$B$11,Paramètres!$A$1:$I$89,3,0)*0.475*44/12</f>
        <v>6.7984094993264819</v>
      </c>
      <c r="BR70" s="23">
        <f>EXP(-LN(2)/2)*BR69+(1-EXP(-LN(2)/2))/(LN(2)/2)*BL70*BO70*VLOOKUP('Données projet'!$B$11,Paramètres!$A$1:$I$89,3,0)*0.475*44/12</f>
        <v>0.84313272682862606</v>
      </c>
      <c r="BS70" s="24">
        <f t="shared" si="63"/>
        <v>12.509589110564416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5.6159999999999997</v>
      </c>
      <c r="BY70" s="13">
        <f>IF('Données projet'!$A$114&gt;35,BY69+BX70-CG69,IF(A70&lt;'Données projet'!$A$114,$BV$205^A70,IF(A70='Données projet'!$A$114,'Données projet'!$B$114,BY69+BX70-CG69)))</f>
        <v>99.751999999999967</v>
      </c>
      <c r="BZ70" s="14">
        <f>BY70*VLOOKUP('Données projet'!$B$12,Paramètres!$A$1:$I$89,3,0)*VLOOKUP('Données projet'!$B$12,Paramètres!$A$1:$I$89,5,0)</f>
        <v>99.592396799999975</v>
      </c>
      <c r="CA70" s="14">
        <f t="shared" si="93"/>
        <v>26.864868635705204</v>
      </c>
      <c r="CB70" s="22">
        <f t="shared" si="64"/>
        <v>220.24640396718652</v>
      </c>
      <c r="CC70" s="62">
        <f t="shared" si="65"/>
        <v>513.57973730051981</v>
      </c>
      <c r="CD70" s="62">
        <f ca="1">AVERAGE(OFFSET($CC$3,0,0,'Données projet'!$E$12+1,1))-AVERAGE(OFFSET($H$3,0,0,'Données projet'!$E$12+1,1))</f>
        <v>112.34884104798977</v>
      </c>
      <c r="CE70" s="62">
        <f t="shared" si="94"/>
        <v>18.665658139749326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6.2981511524724576</v>
      </c>
      <c r="CL70" s="23">
        <f>EXP(-LN(2)/25)*CL69+(1-EXP(-LN(2)/25))/(LN(2)/25)*Calculateur!CG70*Calculateur!CI70*VLOOKUP('Données projet'!$B$12,Paramètres!$A$1:$I$89,3,0)*0.475*44/12</f>
        <v>4.8185614883548933</v>
      </c>
      <c r="CM70" s="23">
        <f>EXP(-LN(2)/2)*CM69+(1-EXP(-LN(2)/2))/(LN(2)/2)*CG70*CJ70*VLOOKUP('Données projet'!$B$12,Paramètres!$A$1:$I$89,3,0)*0.475*44/12</f>
        <v>1.0732342016499571E-2</v>
      </c>
      <c r="CN70" s="24">
        <f t="shared" si="66"/>
        <v>11.127444982843851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3.502307692307693</v>
      </c>
      <c r="CT70" s="13">
        <f>IF('Données projet'!$A$140&gt;35,CT69+CS70-DB69,IF(A70&lt;'Données projet'!$A$140,$CQ$205^A70,IF(A70='Données projet'!$A$140,'Données projet'!$B$140,CT69+CS70-DB69)))</f>
        <v>163.22846153846149</v>
      </c>
      <c r="CU70" s="18">
        <f>CT70*VLOOKUP('Données projet'!$B$13,Paramètres!$A$1:$I$89,3,0)*VLOOKUP('Données projet'!$B$13,Paramètres!$A$1:$I$89,5,0)</f>
        <v>178.24547999999993</v>
      </c>
      <c r="CV70" s="14">
        <f t="shared" si="95"/>
        <v>44.931615541665344</v>
      </c>
      <c r="CW70" s="22">
        <f t="shared" si="67"/>
        <v>388.70010806840037</v>
      </c>
      <c r="CX70" s="62">
        <f t="shared" si="68"/>
        <v>682.03344140173363</v>
      </c>
      <c r="CY70" s="62">
        <f ca="1">AVERAGE(OFFSET($CX$3,0,0,'Données projet'!$E$13+1,1))-AVERAGE(OFFSET($H$3,0,0,'Données projet'!$E$13+1,1))</f>
        <v>205.21073681197737</v>
      </c>
      <c r="CZ70" s="62">
        <f t="shared" si="96"/>
        <v>175.16446313750316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4.6638970426885322</v>
      </c>
      <c r="DH70" s="23">
        <f>EXP(-LN(2)/2)*DH69+(1-EXP(-LN(2)/2))/(LN(2)/2)*DB70*DE70*VLOOKUP('Données projet'!$B$13,Paramètres!$A$1:$I$89,3,0)*0.475*44/12</f>
        <v>9.589597099402972E-3</v>
      </c>
      <c r="DI70" s="24">
        <f t="shared" si="69"/>
        <v>4.6734866397879351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2.2737367544323206E-13</v>
      </c>
      <c r="DP70" s="18">
        <f>DO70*VLOOKUP('Données projet'!$B$14,Paramètres!$A$1:$I$89,3,0)*VLOOKUP('Données projet'!$B$14,Paramètres!$A$1:$I$89,5,0)</f>
        <v>1.8444552551954985E-13</v>
      </c>
      <c r="DQ70" s="14">
        <f t="shared" si="97"/>
        <v>2.580317449479618E-12</v>
      </c>
      <c r="DR70" s="22">
        <f t="shared" si="70"/>
        <v>4.8152955147902165E-12</v>
      </c>
      <c r="DS70" s="62">
        <f t="shared" si="71"/>
        <v>293.33333333333815</v>
      </c>
      <c r="DT70" s="62">
        <f ca="1">AVERAGE(OFFSET($DS$3,0,0,'Données projet'!$E$14+1,1))-AVERAGE(OFFSET($H$3,0,0,'Données projet'!$E$14+1,1))</f>
        <v>223.63222290670075</v>
      </c>
      <c r="DU70" s="62">
        <f t="shared" si="98"/>
        <v>290.02663909417248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66.181720884325927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8.4223879069453691</v>
      </c>
      <c r="ED70" s="24">
        <f t="shared" si="72"/>
        <v>74.604108791271301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340.89741759743021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192.24617268603629</v>
      </c>
      <c r="T71" s="62">
        <f t="shared" si="88"/>
        <v>192.48585280662832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75.097579302028166</v>
      </c>
      <c r="AA71" s="23">
        <f>EXP(-LN(2)/25)*AA70+(1-EXP(-LN(2)/25))/(LN(2)/25)*Calculateur!V71*Calculateur!X71*VLOOKUP('Données projet'!$B$9,Paramètres!$A$1:$I$89,3,0)*0.475*44/12</f>
        <v>25.39514869870705</v>
      </c>
      <c r="AB71" s="23">
        <f>EXP(-LN(2)/2)*AB70+(1-EXP(-LN(2)/2))/(LN(2)/2)*V71*Y71*VLOOKUP('Données projet'!$B$9,Paramètres!$A$1:$I$89,3,0)*0.475*44/12</f>
        <v>2.6229107635786217</v>
      </c>
      <c r="AC71" s="24">
        <f t="shared" si="57"/>
        <v>103.11563876431383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1.9999999998958629E-3</v>
      </c>
      <c r="AJ71" s="14">
        <f>AI71*VLOOKUP('Données projet'!$B$10,Paramètres!$A$1:$I$89,3,0)*VLOOKUP('Données projet'!$B$10,Paramètres!$A$1:$I$89,5,0)</f>
        <v>1.195999999937726E-3</v>
      </c>
      <c r="AK71" s="14">
        <f t="shared" si="89"/>
        <v>1.2062444695752218E-3</v>
      </c>
      <c r="AL71" s="22">
        <f t="shared" si="58"/>
        <v>4.1839091177350513E-3</v>
      </c>
      <c r="AM71" s="62">
        <f t="shared" si="59"/>
        <v>293.33751724245104</v>
      </c>
      <c r="AN71" s="62">
        <f ca="1">AVERAGE(OFFSET($AM$3,0,0,'Données projet'!$E$10+1,1))-AVERAGE(OFFSET($H$3,0,0,'Données projet'!$E$10+1,1))</f>
        <v>164.64952352018145</v>
      </c>
      <c r="AO71" s="62">
        <f t="shared" si="90"/>
        <v>280.08682720086921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37.554890548619973</v>
      </c>
      <c r="AV71" s="23">
        <f>EXP(-LN(2)/25)*AV70+(1-EXP(-LN(2)/25))/(LN(2)/25)*Calculateur!AQ71*Calculateur!AS71*VLOOKUP('Données projet'!$B$10,Paramètres!$A$1:$I$89,3,0)*0.475*44/12</f>
        <v>11.216330300304463</v>
      </c>
      <c r="AW71" s="23">
        <f>EXP(-LN(2)/2)*AW70+(1-EXP(-LN(2)/2))/(LN(2)/2)*AQ71*AT71*VLOOKUP('Données projet'!$B$10,Paramètres!$A$1:$I$89,3,0)*0.475*44/12</f>
        <v>1.0342084501744689E-3</v>
      </c>
      <c r="AX71" s="23">
        <f t="shared" si="60"/>
        <v>48.772255057374608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9.1066666666666691</v>
      </c>
      <c r="BD71" s="13">
        <f>IF('Données projet'!$A$88&gt;35,BD70+BC71-BL70,IF(A71&lt;'Données projet'!$A$88,$BA$205^A71,IF(A71='Données projet'!$A$88,'Données projet'!$B$88,BD70+BC71-BL70)))</f>
        <v>184.37333333333328</v>
      </c>
      <c r="BE71" s="14">
        <f>BD71*VLOOKUP('Données projet'!$B$11,Paramètres!$A$1:$I$89,3,0)*VLOOKUP('Données projet'!$B$11,Paramètres!$A$1:$I$89,5,0)</f>
        <v>155.31609599999996</v>
      </c>
      <c r="BF71" s="14">
        <f t="shared" si="91"/>
        <v>39.784227888930303</v>
      </c>
      <c r="BG71" s="22">
        <f t="shared" si="61"/>
        <v>339.79973077322023</v>
      </c>
      <c r="BH71" s="62">
        <f t="shared" si="62"/>
        <v>633.13306410655355</v>
      </c>
      <c r="BI71" s="62">
        <f ca="1">AVERAGE(OFFSET($BH$3,0,0,'Données projet'!$E$11+1,1))-AVERAGE(OFFSET($H$3,0,0,'Données projet'!$E$11+1,1))</f>
        <v>339.58585574836434</v>
      </c>
      <c r="BJ71" s="62">
        <f t="shared" si="92"/>
        <v>42.267525972379588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4.7725874542214557</v>
      </c>
      <c r="BQ71" s="23">
        <f>EXP(-LN(2)/25)*BQ70+(1-EXP(-LN(2)/25))/(LN(2)/25)*Calculateur!BL71*Calculateur!BN71*VLOOKUP('Données projet'!$B$11,Paramètres!$A$1:$I$89,3,0)*0.475*44/12</f>
        <v>6.6125066340545819</v>
      </c>
      <c r="BR71" s="23">
        <f>EXP(-LN(2)/2)*BR70+(1-EXP(-LN(2)/2))/(LN(2)/2)*BL71*BO71*VLOOKUP('Données projet'!$B$11,Paramètres!$A$1:$I$89,3,0)*0.475*44/12</f>
        <v>0.59618486858082642</v>
      </c>
      <c r="BS71" s="24">
        <f t="shared" si="63"/>
        <v>11.981278956856864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5.6159999999999997</v>
      </c>
      <c r="BY71" s="13">
        <f>IF('Données projet'!$A$114&gt;35,BY70+BX71-CG70,IF(A71&lt;'Données projet'!$A$114,$BV$205^A71,IF(A71='Données projet'!$A$114,'Données projet'!$B$114,BY70+BX71-CG70)))</f>
        <v>105.36799999999997</v>
      </c>
      <c r="BZ71" s="14">
        <f>BY71*VLOOKUP('Données projet'!$B$12,Paramètres!$A$1:$I$89,3,0)*VLOOKUP('Données projet'!$B$12,Paramètres!$A$1:$I$89,5,0)</f>
        <v>105.19941119999997</v>
      </c>
      <c r="CA71" s="14">
        <f t="shared" si="93"/>
        <v>28.19700782060573</v>
      </c>
      <c r="CB71" s="22">
        <f t="shared" si="64"/>
        <v>232.33209646088824</v>
      </c>
      <c r="CC71" s="62">
        <f t="shared" si="65"/>
        <v>525.66542979422161</v>
      </c>
      <c r="CD71" s="62">
        <f ca="1">AVERAGE(OFFSET($CC$3,0,0,'Données projet'!$E$12+1,1))-AVERAGE(OFFSET($H$3,0,0,'Données projet'!$E$12+1,1))</f>
        <v>112.34884104798977</v>
      </c>
      <c r="CE71" s="62">
        <f t="shared" si="94"/>
        <v>18.665658139749326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6.1746482498653599</v>
      </c>
      <c r="CL71" s="23">
        <f>EXP(-LN(2)/25)*CL70+(1-EXP(-LN(2)/25))/(LN(2)/25)*Calculateur!CG71*Calculateur!CI71*VLOOKUP('Données projet'!$B$12,Paramètres!$A$1:$I$89,3,0)*0.475*44/12</f>
        <v>4.6867976710586934</v>
      </c>
      <c r="CM71" s="23">
        <f>EXP(-LN(2)/2)*CM70+(1-EXP(-LN(2)/2))/(LN(2)/2)*CG71*CJ71*VLOOKUP('Données projet'!$B$12,Paramètres!$A$1:$I$89,3,0)*0.475*44/12</f>
        <v>7.5889118178801528E-3</v>
      </c>
      <c r="CN71" s="24">
        <f t="shared" si="66"/>
        <v>10.869034832741933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3.502307692307693</v>
      </c>
      <c r="CT71" s="13">
        <f>IF('Données projet'!$A$140&gt;35,CT70+CS71-DB70,IF(A71&lt;'Données projet'!$A$140,$CQ$205^A71,IF(A71='Données projet'!$A$140,'Données projet'!$B$140,CT70+CS71-DB70)))</f>
        <v>166.73076923076917</v>
      </c>
      <c r="CU71" s="18">
        <f>CT71*VLOOKUP('Données projet'!$B$13,Paramètres!$A$1:$I$89,3,0)*VLOOKUP('Données projet'!$B$13,Paramètres!$A$1:$I$89,5,0)</f>
        <v>182.06999999999994</v>
      </c>
      <c r="CV71" s="14">
        <f t="shared" si="95"/>
        <v>45.782416102897471</v>
      </c>
      <c r="CW71" s="22">
        <f t="shared" si="67"/>
        <v>396.84295804587964</v>
      </c>
      <c r="CX71" s="62">
        <f t="shared" si="68"/>
        <v>690.1762913792129</v>
      </c>
      <c r="CY71" s="62">
        <f ca="1">AVERAGE(OFFSET($CX$3,0,0,'Données projet'!$E$13+1,1))-AVERAGE(OFFSET($H$3,0,0,'Données projet'!$E$13+1,1))</f>
        <v>205.21073681197737</v>
      </c>
      <c r="CZ71" s="62">
        <f t="shared" si="96"/>
        <v>175.16446313750316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4.5363625327925279</v>
      </c>
      <c r="DH71" s="23">
        <f>EXP(-LN(2)/2)*DH70+(1-EXP(-LN(2)/2))/(LN(2)/2)*DB71*DE71*VLOOKUP('Données projet'!$B$13,Paramètres!$A$1:$I$89,3,0)*0.475*44/12</f>
        <v>6.7808691378346882E-3</v>
      </c>
      <c r="DI71" s="24">
        <f t="shared" si="69"/>
        <v>4.5431434019303625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2.2737367544323206E-13</v>
      </c>
      <c r="DP71" s="18">
        <f>DO71*VLOOKUP('Données projet'!$B$14,Paramètres!$A$1:$I$89,3,0)*VLOOKUP('Données projet'!$B$14,Paramètres!$A$1:$I$89,5,0)</f>
        <v>1.8444552551954985E-13</v>
      </c>
      <c r="DQ71" s="14">
        <f t="shared" si="97"/>
        <v>2.580317449479618E-12</v>
      </c>
      <c r="DR71" s="22">
        <f t="shared" si="70"/>
        <v>4.8152955147902165E-12</v>
      </c>
      <c r="DS71" s="62">
        <f t="shared" si="71"/>
        <v>293.33333333333815</v>
      </c>
      <c r="DT71" s="62">
        <f ca="1">AVERAGE(OFFSET($DS$3,0,0,'Données projet'!$E$14+1,1))-AVERAGE(OFFSET($H$3,0,0,'Données projet'!$E$14+1,1))</f>
        <v>223.63222290670075</v>
      </c>
      <c r="DU71" s="62">
        <f t="shared" si="98"/>
        <v>290.02663909417248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64.883937704648133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5.9555276027846435</v>
      </c>
      <c r="ED71" s="24">
        <f t="shared" si="72"/>
        <v>70.839465307432775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342.10239604249472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192.24617268603629</v>
      </c>
      <c r="T72" s="62">
        <f t="shared" si="88"/>
        <v>192.48585280662832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73.624961576915894</v>
      </c>
      <c r="AA72" s="23">
        <f>EXP(-LN(2)/25)*AA71+(1-EXP(-LN(2)/25))/(LN(2)/25)*Calculateur!V72*Calculateur!X72*VLOOKUP('Données projet'!$B$9,Paramètres!$A$1:$I$89,3,0)*0.475*44/12</f>
        <v>24.700717022068076</v>
      </c>
      <c r="AB72" s="23">
        <f>EXP(-LN(2)/2)*AB71+(1-EXP(-LN(2)/2))/(LN(2)/2)*V72*Y72*VLOOKUP('Données projet'!$B$9,Paramètres!$A$1:$I$89,3,0)*0.475*44/12</f>
        <v>1.854677987373629</v>
      </c>
      <c r="AC72" s="24">
        <f t="shared" si="57"/>
        <v>100.1803565863576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1.9999999998958629E-3</v>
      </c>
      <c r="AJ72" s="14">
        <f>AI72*VLOOKUP('Données projet'!$B$10,Paramètres!$A$1:$I$89,3,0)*VLOOKUP('Données projet'!$B$10,Paramètres!$A$1:$I$89,5,0)</f>
        <v>1.195999999937726E-3</v>
      </c>
      <c r="AK72" s="14">
        <f t="shared" si="89"/>
        <v>1.2062444695752218E-3</v>
      </c>
      <c r="AL72" s="22">
        <f t="shared" si="58"/>
        <v>4.1839091177350513E-3</v>
      </c>
      <c r="AM72" s="62">
        <f t="shared" si="59"/>
        <v>293.33751724245104</v>
      </c>
      <c r="AN72" s="62">
        <f ca="1">AVERAGE(OFFSET($AM$3,0,0,'Données projet'!$E$10+1,1))-AVERAGE(OFFSET($H$3,0,0,'Données projet'!$E$10+1,1))</f>
        <v>164.64952352018145</v>
      </c>
      <c r="AO72" s="62">
        <f t="shared" si="90"/>
        <v>280.08682720086921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36.818462051182969</v>
      </c>
      <c r="AV72" s="23">
        <f>EXP(-LN(2)/25)*AV71+(1-EXP(-LN(2)/25))/(LN(2)/25)*Calculateur!AQ72*Calculateur!AS72*VLOOKUP('Données projet'!$B$10,Paramètres!$A$1:$I$89,3,0)*0.475*44/12</f>
        <v>10.909619158401462</v>
      </c>
      <c r="AW72" s="23">
        <f>EXP(-LN(2)/2)*AW71+(1-EXP(-LN(2)/2))/(LN(2)/2)*AQ72*AT72*VLOOKUP('Données projet'!$B$10,Paramètres!$A$1:$I$89,3,0)*0.475*44/12</f>
        <v>7.3129580827879662E-4</v>
      </c>
      <c r="AX72" s="23">
        <f t="shared" si="60"/>
        <v>47.72881250539271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9.1066666666666691</v>
      </c>
      <c r="BD72" s="13">
        <f>IF('Données projet'!$A$88&gt;35,BD71+BC72-BL71,IF(A72&lt;'Données projet'!$A$88,$BA$205^A72,IF(A72='Données projet'!$A$88,'Données projet'!$B$88,BD71+BC72-BL71)))</f>
        <v>193.47999999999996</v>
      </c>
      <c r="BE72" s="14">
        <f>BD72*VLOOKUP('Données projet'!$B$11,Paramètres!$A$1:$I$89,3,0)*VLOOKUP('Données projet'!$B$11,Paramètres!$A$1:$I$89,5,0)</f>
        <v>162.98755199999999</v>
      </c>
      <c r="BF72" s="14">
        <f t="shared" si="91"/>
        <v>41.515638849798833</v>
      </c>
      <c r="BG72" s="22">
        <f t="shared" si="61"/>
        <v>356.17639073006626</v>
      </c>
      <c r="BH72" s="62">
        <f t="shared" si="62"/>
        <v>649.50972406339952</v>
      </c>
      <c r="BI72" s="62">
        <f ca="1">AVERAGE(OFFSET($BH$3,0,0,'Données projet'!$E$11+1,1))-AVERAGE(OFFSET($H$3,0,0,'Données projet'!$E$11+1,1))</f>
        <v>339.58585574836434</v>
      </c>
      <c r="BJ72" s="62">
        <f t="shared" si="92"/>
        <v>42.267525972379588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4.6789999252350833</v>
      </c>
      <c r="BQ72" s="23">
        <f>EXP(-LN(2)/25)*BQ71+(1-EXP(-LN(2)/25))/(LN(2)/25)*Calculateur!BL72*Calculateur!BN72*VLOOKUP('Données projet'!$B$11,Paramètres!$A$1:$I$89,3,0)*0.475*44/12</f>
        <v>6.431687292409749</v>
      </c>
      <c r="BR72" s="23">
        <f>EXP(-LN(2)/2)*BR71+(1-EXP(-LN(2)/2))/(LN(2)/2)*BL72*BO72*VLOOKUP('Données projet'!$B$11,Paramètres!$A$1:$I$89,3,0)*0.475*44/12</f>
        <v>0.42156636341431303</v>
      </c>
      <c r="BS72" s="24">
        <f t="shared" si="63"/>
        <v>11.532253581059145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5.6159999999999997</v>
      </c>
      <c r="BY72" s="13">
        <f>IF('Données projet'!$A$114&gt;35,BY71+BX72-CG71,IF(A72&lt;'Données projet'!$A$114,$BV$205^A72,IF(A72='Données projet'!$A$114,'Données projet'!$B$114,BY71+BX72-CG71)))</f>
        <v>110.98399999999997</v>
      </c>
      <c r="BZ72" s="14">
        <f>BY72*VLOOKUP('Données projet'!$B$12,Paramètres!$A$1:$I$89,3,0)*VLOOKUP('Données projet'!$B$12,Paramètres!$A$1:$I$89,5,0)</f>
        <v>110.80642559999997</v>
      </c>
      <c r="CA72" s="14">
        <f t="shared" si="93"/>
        <v>29.520903886283602</v>
      </c>
      <c r="CB72" s="22">
        <f t="shared" si="64"/>
        <v>244.40343218861051</v>
      </c>
      <c r="CC72" s="62">
        <f t="shared" si="65"/>
        <v>537.73676552194388</v>
      </c>
      <c r="CD72" s="62">
        <f ca="1">AVERAGE(OFFSET($CC$3,0,0,'Données projet'!$E$12+1,1))-AVERAGE(OFFSET($H$3,0,0,'Données projet'!$E$12+1,1))</f>
        <v>112.34884104798977</v>
      </c>
      <c r="CE72" s="62">
        <f t="shared" si="94"/>
        <v>18.665658139749326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6.0535671638490545</v>
      </c>
      <c r="CL72" s="23">
        <f>EXP(-LN(2)/25)*CL71+(1-EXP(-LN(2)/25))/(LN(2)/25)*Calculateur!CG72*Calculateur!CI72*VLOOKUP('Données projet'!$B$12,Paramètres!$A$1:$I$89,3,0)*0.475*44/12</f>
        <v>4.5586369422756157</v>
      </c>
      <c r="CM72" s="23">
        <f>EXP(-LN(2)/2)*CM71+(1-EXP(-LN(2)/2))/(LN(2)/2)*CG72*CJ72*VLOOKUP('Données projet'!$B$12,Paramètres!$A$1:$I$89,3,0)*0.475*44/12</f>
        <v>5.3661710082497857E-3</v>
      </c>
      <c r="CN72" s="24">
        <f t="shared" si="66"/>
        <v>10.61757027713292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3.502307692307693</v>
      </c>
      <c r="CT72" s="13">
        <f>IF('Données projet'!$A$140&gt;35,CT71+CS72-DB71,IF(A72&lt;'Données projet'!$A$140,$CQ$205^A72,IF(A72='Données projet'!$A$140,'Données projet'!$B$140,CT71+CS72-DB71)))</f>
        <v>170.23307692307685</v>
      </c>
      <c r="CU72" s="18">
        <f>CT72*VLOOKUP('Données projet'!$B$13,Paramètres!$A$1:$I$89,3,0)*VLOOKUP('Données projet'!$B$13,Paramètres!$A$1:$I$89,5,0)</f>
        <v>185.89451999999991</v>
      </c>
      <c r="CV72" s="14">
        <f t="shared" si="95"/>
        <v>46.631138775720544</v>
      </c>
      <c r="CW72" s="22">
        <f t="shared" si="67"/>
        <v>404.9821890343797</v>
      </c>
      <c r="CX72" s="62">
        <f t="shared" si="68"/>
        <v>698.31552236771302</v>
      </c>
      <c r="CY72" s="62">
        <f ca="1">AVERAGE(OFFSET($CX$3,0,0,'Données projet'!$E$13+1,1))-AVERAGE(OFFSET($H$3,0,0,'Données projet'!$E$13+1,1))</f>
        <v>205.21073681197737</v>
      </c>
      <c r="CZ72" s="62">
        <f t="shared" si="96"/>
        <v>175.16446313750316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4.4123154607763784</v>
      </c>
      <c r="DH72" s="23">
        <f>EXP(-LN(2)/2)*DH71+(1-EXP(-LN(2)/2))/(LN(2)/2)*DB72*DE72*VLOOKUP('Données projet'!$B$13,Paramètres!$A$1:$I$89,3,0)*0.475*44/12</f>
        <v>4.794798549701486E-3</v>
      </c>
      <c r="DI72" s="24">
        <f t="shared" si="69"/>
        <v>4.4171102593260798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2.2737367544323206E-13</v>
      </c>
      <c r="DP72" s="18">
        <f>DO72*VLOOKUP('Données projet'!$B$14,Paramètres!$A$1:$I$89,3,0)*VLOOKUP('Données projet'!$B$14,Paramètres!$A$1:$I$89,5,0)</f>
        <v>1.8444552551954985E-13</v>
      </c>
      <c r="DQ72" s="14">
        <f t="shared" si="97"/>
        <v>2.580317449479618E-12</v>
      </c>
      <c r="DR72" s="22">
        <f t="shared" si="70"/>
        <v>4.8152955147902165E-12</v>
      </c>
      <c r="DS72" s="62">
        <f t="shared" si="71"/>
        <v>293.33333333333815</v>
      </c>
      <c r="DT72" s="62">
        <f ca="1">AVERAGE(OFFSET($DS$3,0,0,'Données projet'!$E$14+1,1))-AVERAGE(OFFSET($H$3,0,0,'Données projet'!$E$14+1,1))</f>
        <v>223.63222290670075</v>
      </c>
      <c r="DU72" s="62">
        <f t="shared" si="98"/>
        <v>290.02663909417248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63.611603261554251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4.2111939534726854</v>
      </c>
      <c r="ED72" s="24">
        <f t="shared" si="72"/>
        <v>67.822797215026938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343.30694629802451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192.24617268603629</v>
      </c>
      <c r="T73" s="62">
        <f t="shared" si="88"/>
        <v>192.48585280662832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72.181220987184957</v>
      </c>
      <c r="AA73" s="23">
        <f>EXP(-LN(2)/25)*AA72+(1-EXP(-LN(2)/25))/(LN(2)/25)*Calculateur!V73*Calculateur!X73*VLOOKUP('Données projet'!$B$9,Paramètres!$A$1:$I$89,3,0)*0.475*44/12</f>
        <v>24.025274616145371</v>
      </c>
      <c r="AB73" s="23">
        <f>EXP(-LN(2)/2)*AB72+(1-EXP(-LN(2)/2))/(LN(2)/2)*V73*Y73*VLOOKUP('Données projet'!$B$9,Paramètres!$A$1:$I$89,3,0)*0.475*44/12</f>
        <v>1.3114553817893111</v>
      </c>
      <c r="AC73" s="24">
        <f t="shared" si="57"/>
        <v>97.51795098511964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1.9999999998958629E-3</v>
      </c>
      <c r="AJ73" s="14">
        <f>AI73*VLOOKUP('Données projet'!$B$10,Paramètres!$A$1:$I$89,3,0)*VLOOKUP('Données projet'!$B$10,Paramètres!$A$1:$I$89,5,0)</f>
        <v>1.195999999937726E-3</v>
      </c>
      <c r="AK73" s="14">
        <f t="shared" si="89"/>
        <v>1.2062444695752218E-3</v>
      </c>
      <c r="AL73" s="22">
        <f t="shared" si="58"/>
        <v>4.1839091177350513E-3</v>
      </c>
      <c r="AM73" s="62">
        <f t="shared" si="59"/>
        <v>293.33751724245104</v>
      </c>
      <c r="AN73" s="62">
        <f ca="1">AVERAGE(OFFSET($AM$3,0,0,'Données projet'!$E$10+1,1))-AVERAGE(OFFSET($H$3,0,0,'Données projet'!$E$10+1,1))</f>
        <v>164.64952352018145</v>
      </c>
      <c r="AO73" s="62">
        <f t="shared" si="90"/>
        <v>280.08682720086921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36.096474467403674</v>
      </c>
      <c r="AV73" s="23">
        <f>EXP(-LN(2)/25)*AV72+(1-EXP(-LN(2)/25))/(LN(2)/25)*Calculateur!AQ73*Calculateur!AS73*VLOOKUP('Données projet'!$B$10,Paramètres!$A$1:$I$89,3,0)*0.475*44/12</f>
        <v>10.611295048803036</v>
      </c>
      <c r="AW73" s="23">
        <f>EXP(-LN(2)/2)*AW72+(1-EXP(-LN(2)/2))/(LN(2)/2)*AQ73*AT73*VLOOKUP('Données projet'!$B$10,Paramètres!$A$1:$I$89,3,0)*0.475*44/12</f>
        <v>5.1710422508723444E-4</v>
      </c>
      <c r="AX73" s="23">
        <f t="shared" si="60"/>
        <v>46.708286620431799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9.1066666666666691</v>
      </c>
      <c r="BD73" s="13">
        <f>IF('Données projet'!$A$88&gt;35,BD72+BC73-BL72,IF(A73&lt;'Données projet'!$A$88,$BA$205^A73,IF(A73='Données projet'!$A$88,'Données projet'!$B$88,BD72+BC73-BL72)))</f>
        <v>202.58666666666664</v>
      </c>
      <c r="BE73" s="14">
        <f>BD73*VLOOKUP('Données projet'!$B$11,Paramètres!$A$1:$I$89,3,0)*VLOOKUP('Données projet'!$B$11,Paramètres!$A$1:$I$89,5,0)</f>
        <v>170.659008</v>
      </c>
      <c r="BF73" s="14">
        <f t="shared" si="91"/>
        <v>43.237586203328412</v>
      </c>
      <c r="BG73" s="22">
        <f t="shared" si="61"/>
        <v>372.53656823746365</v>
      </c>
      <c r="BH73" s="62">
        <f t="shared" si="62"/>
        <v>665.86990157079697</v>
      </c>
      <c r="BI73" s="62">
        <f ca="1">AVERAGE(OFFSET($BH$3,0,0,'Données projet'!$E$11+1,1))-AVERAGE(OFFSET($H$3,0,0,'Données projet'!$E$11+1,1))</f>
        <v>339.58585574836434</v>
      </c>
      <c r="BJ73" s="62">
        <f t="shared" si="92"/>
        <v>42.267525972379588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4.5872475906093779</v>
      </c>
      <c r="BQ73" s="23">
        <f>EXP(-LN(2)/25)*BQ72+(1-EXP(-LN(2)/25))/(LN(2)/25)*Calculateur!BL73*Calculateur!BN73*VLOOKUP('Données projet'!$B$11,Paramètres!$A$1:$I$89,3,0)*0.475*44/12</f>
        <v>6.2558124651710694</v>
      </c>
      <c r="BR73" s="23">
        <f>EXP(-LN(2)/2)*BR72+(1-EXP(-LN(2)/2))/(LN(2)/2)*BL73*BO73*VLOOKUP('Données projet'!$B$11,Paramètres!$A$1:$I$89,3,0)*0.475*44/12</f>
        <v>0.29809243429041321</v>
      </c>
      <c r="BS73" s="24">
        <f t="shared" si="63"/>
        <v>11.141152490070862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116.6</v>
      </c>
      <c r="BW73" s="13">
        <f>VLOOKUP(A73,'Données projet'!$A$113:$I$133,9,0)</f>
        <v>5.6159999999999997</v>
      </c>
      <c r="BX73" s="13">
        <f t="array" ref="BX73">INDEX(BW:BW,MIN(IF(ISNUMBER(BW73:BW269),ROW(BW73:BW269),"")))</f>
        <v>5.6159999999999997</v>
      </c>
      <c r="BY73" s="13">
        <f>IF('Données projet'!$A$114&gt;35,BY72+BX73-CG72,IF(A73&lt;'Données projet'!$A$114,$BV$205^A73,IF(A73='Données projet'!$A$114,'Données projet'!$B$114,BY72+BX73-CG72)))</f>
        <v>116.59999999999997</v>
      </c>
      <c r="BZ73" s="14">
        <f>BY73*VLOOKUP('Données projet'!$B$12,Paramètres!$A$1:$I$89,3,0)*VLOOKUP('Données projet'!$B$12,Paramètres!$A$1:$I$89,5,0)</f>
        <v>116.41343999999998</v>
      </c>
      <c r="CA73" s="14">
        <f t="shared" si="93"/>
        <v>30.837021540200016</v>
      </c>
      <c r="CB73" s="22">
        <f t="shared" si="64"/>
        <v>256.46122051584837</v>
      </c>
      <c r="CC73" s="62">
        <f t="shared" si="65"/>
        <v>549.79455384918174</v>
      </c>
      <c r="CD73" s="62">
        <f ca="1">AVERAGE(OFFSET($CC$3,0,0,'Données projet'!$E$12+1,1))-AVERAGE(OFFSET($H$3,0,0,'Données projet'!$E$12+1,1))</f>
        <v>112.34884104798977</v>
      </c>
      <c r="CE73" s="62">
        <f t="shared" si="94"/>
        <v>18.665658139749326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29.15</v>
      </c>
      <c r="CH73" s="17">
        <f>IF(ISNA(VLOOKUP(A73,'Données projet'!$A$113:$I$133,5,0)),0%,VLOOKUP(A73,'Données projet'!$A$113:$I$133,5,0)*VLOOKUP('Données projet'!$B$12,Paramètres!$A$1:$I$89,7,0))</f>
        <v>0.17200000000000001</v>
      </c>
      <c r="CI73" s="17">
        <f>IF(ISNA(VLOOKUP(A73,'Données projet'!$A$113:$I$133,6,0)),0%,VLOOKUP(A73,'Données projet'!$A$113:$I$133,6,0)*VLOOKUP('Données projet'!$B$12,Paramètres!$A$1:$I$89,7,0))</f>
        <v>0.129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11.46859962115742</v>
      </c>
      <c r="CL73" s="23">
        <f>EXP(-LN(2)/25)*CL72+(1-EXP(-LN(2)/25))/(LN(2)/25)*Calculateur!CG73*Calculateur!CI73*VLOOKUP('Données projet'!$B$12,Paramètres!$A$1:$I$89,3,0)*0.475*44/12</f>
        <v>8.5679438583076433</v>
      </c>
      <c r="CM73" s="23">
        <f>EXP(-LN(2)/2)*CM72+(1-EXP(-LN(2)/2))/(LN(2)/2)*CG73*CJ73*VLOOKUP('Données projet'!$B$12,Paramètres!$A$1:$I$89,3,0)*0.475*44/12</f>
        <v>3.7944559089400764E-3</v>
      </c>
      <c r="CN73" s="24">
        <f t="shared" si="66"/>
        <v>20.040337935374005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3.502307692307693</v>
      </c>
      <c r="CT73" s="13">
        <f>IF('Données projet'!$A$140&gt;35,CT72+CS73-DB72,IF(A73&lt;'Données projet'!$A$140,$CQ$205^A73,IF(A73='Données projet'!$A$140,'Données projet'!$B$140,CT72+CS73-DB72)))</f>
        <v>173.73538461538453</v>
      </c>
      <c r="CU73" s="18">
        <f>CT73*VLOOKUP('Données projet'!$B$13,Paramètres!$A$1:$I$89,3,0)*VLOOKUP('Données projet'!$B$13,Paramètres!$A$1:$I$89,5,0)</f>
        <v>189.71903999999992</v>
      </c>
      <c r="CV73" s="14">
        <f t="shared" si="95"/>
        <v>47.477831235533898</v>
      </c>
      <c r="CW73" s="22">
        <f t="shared" si="67"/>
        <v>413.11788406855476</v>
      </c>
      <c r="CX73" s="62">
        <f t="shared" si="68"/>
        <v>706.45121740188802</v>
      </c>
      <c r="CY73" s="62">
        <f ca="1">AVERAGE(OFFSET($CX$3,0,0,'Données projet'!$E$13+1,1))-AVERAGE(OFFSET($H$3,0,0,'Données projet'!$E$13+1,1))</f>
        <v>205.21073681197737</v>
      </c>
      <c r="CZ73" s="62">
        <f t="shared" si="96"/>
        <v>175.16446313750316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4.2916604624678625</v>
      </c>
      <c r="DH73" s="23">
        <f>EXP(-LN(2)/2)*DH72+(1-EXP(-LN(2)/2))/(LN(2)/2)*DB73*DE73*VLOOKUP('Données projet'!$B$13,Paramètres!$A$1:$I$89,3,0)*0.475*44/12</f>
        <v>3.3904345689173441E-3</v>
      </c>
      <c r="DI73" s="24">
        <f t="shared" si="69"/>
        <v>4.2950508970367798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2.2737367544323206E-13</v>
      </c>
      <c r="DP73" s="18">
        <f>DO73*VLOOKUP('Données projet'!$B$14,Paramètres!$A$1:$I$89,3,0)*VLOOKUP('Données projet'!$B$14,Paramètres!$A$1:$I$89,5,0)</f>
        <v>1.8444552551954985E-13</v>
      </c>
      <c r="DQ73" s="14">
        <f t="shared" si="97"/>
        <v>2.580317449479618E-12</v>
      </c>
      <c r="DR73" s="22">
        <f t="shared" si="70"/>
        <v>4.8152955147902165E-12</v>
      </c>
      <c r="DS73" s="62">
        <f t="shared" si="71"/>
        <v>293.33333333333815</v>
      </c>
      <c r="DT73" s="62">
        <f ca="1">AVERAGE(OFFSET($DS$3,0,0,'Données projet'!$E$14+1,1))-AVERAGE(OFFSET($H$3,0,0,'Données projet'!$E$14+1,1))</f>
        <v>223.63222290670075</v>
      </c>
      <c r="DU73" s="62">
        <f t="shared" si="98"/>
        <v>290.02663909417248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62.364218520842051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2.9777638013923222</v>
      </c>
      <c r="ED73" s="24">
        <f t="shared" si="72"/>
        <v>65.341982322234372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344.51107518782362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192.24617268603629</v>
      </c>
      <c r="T74" s="62">
        <f t="shared" si="88"/>
        <v>192.48585280662832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70.765791269823836</v>
      </c>
      <c r="AA74" s="23">
        <f>EXP(-LN(2)/25)*AA73+(1-EXP(-LN(2)/25))/(LN(2)/25)*Calculateur!V74*Calculateur!X74*VLOOKUP('Données projet'!$B$9,Paramètres!$A$1:$I$89,3,0)*0.475*44/12</f>
        <v>23.368302218332595</v>
      </c>
      <c r="AB74" s="23">
        <f>EXP(-LN(2)/2)*AB73+(1-EXP(-LN(2)/2))/(LN(2)/2)*V74*Y74*VLOOKUP('Données projet'!$B$9,Paramètres!$A$1:$I$89,3,0)*0.475*44/12</f>
        <v>0.92733899368681461</v>
      </c>
      <c r="AC74" s="24">
        <f t="shared" si="57"/>
        <v>95.061432481843241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1.9999999998958629E-3</v>
      </c>
      <c r="AJ74" s="14">
        <f>AI74*VLOOKUP('Données projet'!$B$10,Paramètres!$A$1:$I$89,3,0)*VLOOKUP('Données projet'!$B$10,Paramètres!$A$1:$I$89,5,0)</f>
        <v>1.195999999937726E-3</v>
      </c>
      <c r="AK74" s="14">
        <f t="shared" si="89"/>
        <v>1.2062444695752218E-3</v>
      </c>
      <c r="AL74" s="22">
        <f t="shared" si="58"/>
        <v>4.1839091177350513E-3</v>
      </c>
      <c r="AM74" s="62">
        <f t="shared" si="59"/>
        <v>293.33751724245104</v>
      </c>
      <c r="AN74" s="62">
        <f ca="1">AVERAGE(OFFSET($AM$3,0,0,'Données projet'!$E$10+1,1))-AVERAGE(OFFSET($H$3,0,0,'Données projet'!$E$10+1,1))</f>
        <v>164.64952352018145</v>
      </c>
      <c r="AO74" s="62">
        <f t="shared" si="90"/>
        <v>280.08682720086921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35.388644619773345</v>
      </c>
      <c r="AV74" s="23">
        <f>EXP(-LN(2)/25)*AV73+(1-EXP(-LN(2)/25))/(LN(2)/25)*Calculateur!AQ74*Calculateur!AS74*VLOOKUP('Données projet'!$B$10,Paramètres!$A$1:$I$89,3,0)*0.475*44/12</f>
        <v>10.321128627669763</v>
      </c>
      <c r="AW74" s="23">
        <f>EXP(-LN(2)/2)*AW73+(1-EXP(-LN(2)/2))/(LN(2)/2)*AQ74*AT74*VLOOKUP('Données projet'!$B$10,Paramètres!$A$1:$I$89,3,0)*0.475*44/12</f>
        <v>3.6564790413939831E-4</v>
      </c>
      <c r="AX74" s="23">
        <f t="shared" si="60"/>
        <v>45.710138895347249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9.1066666666666691</v>
      </c>
      <c r="BD74" s="13">
        <f>IF('Données projet'!$A$88&gt;35,BD73+BC74-BL73,IF(A74&lt;'Données projet'!$A$88,$BA$205^A74,IF(A74='Données projet'!$A$88,'Données projet'!$B$88,BD73+BC74-BL73)))</f>
        <v>211.69333333333333</v>
      </c>
      <c r="BE74" s="14">
        <f>BD74*VLOOKUP('Données projet'!$B$11,Paramètres!$A$1:$I$89,3,0)*VLOOKUP('Données projet'!$B$11,Paramètres!$A$1:$I$89,5,0)</f>
        <v>178.33046400000001</v>
      </c>
      <c r="BF74" s="14">
        <f t="shared" si="91"/>
        <v>44.950543960407948</v>
      </c>
      <c r="BG74" s="22">
        <f t="shared" si="61"/>
        <v>388.8810888643772</v>
      </c>
      <c r="BH74" s="62">
        <f t="shared" si="62"/>
        <v>682.21442219771052</v>
      </c>
      <c r="BI74" s="62">
        <f ca="1">AVERAGE(OFFSET($BH$3,0,0,'Données projet'!$E$11+1,1))-AVERAGE(OFFSET($H$3,0,0,'Données projet'!$E$11+1,1))</f>
        <v>339.58585574836434</v>
      </c>
      <c r="BJ74" s="62">
        <f t="shared" si="92"/>
        <v>42.267525972379588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4.4972944633022838</v>
      </c>
      <c r="BQ74" s="23">
        <f>EXP(-LN(2)/25)*BQ73+(1-EXP(-LN(2)/25))/(LN(2)/25)*Calculateur!BL74*Calculateur!BN74*VLOOKUP('Données projet'!$B$11,Paramètres!$A$1:$I$89,3,0)*0.475*44/12</f>
        <v>6.0847469443320872</v>
      </c>
      <c r="BR74" s="23">
        <f>EXP(-LN(2)/2)*BR73+(1-EXP(-LN(2)/2))/(LN(2)/2)*BL74*BO74*VLOOKUP('Données projet'!$B$11,Paramètres!$A$1:$I$89,3,0)*0.475*44/12</f>
        <v>0.21078318170715651</v>
      </c>
      <c r="BS74" s="24">
        <f t="shared" si="63"/>
        <v>10.792824589341528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3.6790000000000007</v>
      </c>
      <c r="BY74" s="13">
        <f>IF('Données projet'!$A$114&gt;35,BY73+BX74-CG73,IF(A74&lt;'Données projet'!$A$114,$BV$205^A74,IF(A74='Données projet'!$A$114,'Données projet'!$B$114,BY73+BX74-CG73)))</f>
        <v>91.128999999999962</v>
      </c>
      <c r="BZ74" s="14">
        <f>BY74*VLOOKUP('Données projet'!$B$12,Paramètres!$A$1:$I$89,3,0)*VLOOKUP('Données projet'!$B$12,Paramètres!$A$1:$I$89,5,0)</f>
        <v>90.983193599999964</v>
      </c>
      <c r="CA74" s="14">
        <f t="shared" si="93"/>
        <v>24.802197462143063</v>
      </c>
      <c r="CB74" s="22">
        <f t="shared" si="64"/>
        <v>201.65955609989908</v>
      </c>
      <c r="CC74" s="62">
        <f t="shared" si="65"/>
        <v>494.99288943323239</v>
      </c>
      <c r="CD74" s="62">
        <f ca="1">AVERAGE(OFFSET($CC$3,0,0,'Données projet'!$E$12+1,1))-AVERAGE(OFFSET($H$3,0,0,'Données projet'!$E$12+1,1))</f>
        <v>112.34884104798977</v>
      </c>
      <c r="CE74" s="62">
        <f t="shared" si="94"/>
        <v>18.665658139749326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11.243707377741577</v>
      </c>
      <c r="CL74" s="23">
        <f>EXP(-LN(2)/25)*CL73+(1-EXP(-LN(2)/25))/(LN(2)/25)*Calculateur!CG74*Calculateur!CI74*VLOOKUP('Données projet'!$B$12,Paramètres!$A$1:$I$89,3,0)*0.475*44/12</f>
        <v>8.3336529829336357</v>
      </c>
      <c r="CM74" s="23">
        <f>EXP(-LN(2)/2)*CM73+(1-EXP(-LN(2)/2))/(LN(2)/2)*CG74*CJ74*VLOOKUP('Données projet'!$B$12,Paramètres!$A$1:$I$89,3,0)*0.475*44/12</f>
        <v>2.6830855041248929E-3</v>
      </c>
      <c r="CN74" s="24">
        <f t="shared" si="66"/>
        <v>19.580043446179339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3.502307692307693</v>
      </c>
      <c r="CT74" s="13">
        <f>IF('Données projet'!$A$140&gt;35,CT73+CS74-DB73,IF(A74&lt;'Données projet'!$A$140,$CQ$205^A74,IF(A74='Données projet'!$A$140,'Données projet'!$B$140,CT73+CS74-DB73)))</f>
        <v>177.23769230769221</v>
      </c>
      <c r="CU74" s="18">
        <f>CT74*VLOOKUP('Données projet'!$B$13,Paramètres!$A$1:$I$89,3,0)*VLOOKUP('Données projet'!$B$13,Paramètres!$A$1:$I$89,5,0)</f>
        <v>193.54355999999987</v>
      </c>
      <c r="CV74" s="14">
        <f t="shared" si="95"/>
        <v>48.322539125674943</v>
      </c>
      <c r="CW74" s="22">
        <f t="shared" si="67"/>
        <v>421.25012264388357</v>
      </c>
      <c r="CX74" s="62">
        <f t="shared" si="68"/>
        <v>714.58345597721689</v>
      </c>
      <c r="CY74" s="62">
        <f ca="1">AVERAGE(OFFSET($CX$3,0,0,'Données projet'!$E$13+1,1))-AVERAGE(OFFSET($H$3,0,0,'Données projet'!$E$13+1,1))</f>
        <v>205.21073681197737</v>
      </c>
      <c r="CZ74" s="62">
        <f t="shared" si="96"/>
        <v>175.16446313750316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4.1743047814330634</v>
      </c>
      <c r="DH74" s="23">
        <f>EXP(-LN(2)/2)*DH73+(1-EXP(-LN(2)/2))/(LN(2)/2)*DB74*DE74*VLOOKUP('Données projet'!$B$13,Paramètres!$A$1:$I$89,3,0)*0.475*44/12</f>
        <v>2.397399274850743E-3</v>
      </c>
      <c r="DI74" s="24">
        <f t="shared" si="69"/>
        <v>4.1767021807079141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2.2737367544323206E-13</v>
      </c>
      <c r="DP74" s="18">
        <f>DO74*VLOOKUP('Données projet'!$B$14,Paramètres!$A$1:$I$89,3,0)*VLOOKUP('Données projet'!$B$14,Paramètres!$A$1:$I$89,5,0)</f>
        <v>1.8444552551954985E-13</v>
      </c>
      <c r="DQ74" s="14">
        <f t="shared" si="97"/>
        <v>2.580317449479618E-12</v>
      </c>
      <c r="DR74" s="22">
        <f t="shared" si="70"/>
        <v>4.8152955147902165E-12</v>
      </c>
      <c r="DS74" s="62">
        <f t="shared" si="71"/>
        <v>293.33333333333815</v>
      </c>
      <c r="DT74" s="62">
        <f ca="1">AVERAGE(OFFSET($DS$3,0,0,'Données projet'!$E$14+1,1))-AVERAGE(OFFSET($H$3,0,0,'Données projet'!$E$14+1,1))</f>
        <v>223.63222290670075</v>
      </c>
      <c r="DU74" s="62">
        <f t="shared" si="98"/>
        <v>290.02663909417248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61.141294234065654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2.1055969767363427</v>
      </c>
      <c r="ED74" s="24">
        <f t="shared" si="72"/>
        <v>63.246891210801998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345.71478933243532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192.24617268603629</v>
      </c>
      <c r="T75" s="62">
        <f t="shared" si="88"/>
        <v>192.48585280662832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69.37811726589328</v>
      </c>
      <c r="AA75" s="23">
        <f>EXP(-LN(2)/25)*AA74+(1-EXP(-LN(2)/25))/(LN(2)/25)*Calculateur!V75*Calculateur!X75*VLOOKUP('Données projet'!$B$9,Paramètres!$A$1:$I$89,3,0)*0.475*44/12</f>
        <v>22.729294765286685</v>
      </c>
      <c r="AB75" s="23">
        <f>EXP(-LN(2)/2)*AB74+(1-EXP(-LN(2)/2))/(LN(2)/2)*V75*Y75*VLOOKUP('Données projet'!$B$9,Paramètres!$A$1:$I$89,3,0)*0.475*44/12</f>
        <v>0.65572769089465566</v>
      </c>
      <c r="AC75" s="24">
        <f t="shared" si="57"/>
        <v>92.763139722074612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1.9999999998958629E-3</v>
      </c>
      <c r="AJ75" s="14">
        <f>AI75*VLOOKUP('Données projet'!$B$10,Paramètres!$A$1:$I$89,3,0)*VLOOKUP('Données projet'!$B$10,Paramètres!$A$1:$I$89,5,0)</f>
        <v>1.195999999937726E-3</v>
      </c>
      <c r="AK75" s="14">
        <f t="shared" si="89"/>
        <v>1.2062444695752218E-3</v>
      </c>
      <c r="AL75" s="22">
        <f t="shared" si="58"/>
        <v>4.1839091177350513E-3</v>
      </c>
      <c r="AM75" s="62">
        <f t="shared" si="59"/>
        <v>293.33751724245104</v>
      </c>
      <c r="AN75" s="62">
        <f ca="1">AVERAGE(OFFSET($AM$3,0,0,'Données projet'!$E$10+1,1))-AVERAGE(OFFSET($H$3,0,0,'Données projet'!$E$10+1,1))</f>
        <v>164.64952352018145</v>
      </c>
      <c r="AO75" s="62">
        <f t="shared" si="90"/>
        <v>280.08682720086921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34.694694883721475</v>
      </c>
      <c r="AV75" s="23">
        <f>EXP(-LN(2)/25)*AV74+(1-EXP(-LN(2)/25))/(LN(2)/25)*Calculateur!AQ75*Calculateur!AS75*VLOOKUP('Données projet'!$B$10,Paramètres!$A$1:$I$89,3,0)*0.475*44/12</f>
        <v>10.038896822581568</v>
      </c>
      <c r="AW75" s="23">
        <f>EXP(-LN(2)/2)*AW74+(1-EXP(-LN(2)/2))/(LN(2)/2)*AQ75*AT75*VLOOKUP('Données projet'!$B$10,Paramètres!$A$1:$I$89,3,0)*0.475*44/12</f>
        <v>2.5855211254361722E-4</v>
      </c>
      <c r="AX75" s="23">
        <f t="shared" si="60"/>
        <v>44.733850258415586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>
        <f>VLOOKUP(A75,'Données projet'!$A$87:$I$107,2,0)</f>
        <v>220.8</v>
      </c>
      <c r="BB75" s="13">
        <f>VLOOKUP(A75,'Données projet'!$A$87:$I$107,9,0)</f>
        <v>9.1066666666666691</v>
      </c>
      <c r="BC75" s="13">
        <f t="array" ref="BC75">INDEX(BB:BB,MIN(IF(ISNUMBER(BB75:BB271),ROW(BB75:BB271),"")))</f>
        <v>9.1066666666666691</v>
      </c>
      <c r="BD75" s="13">
        <f>IF('Données projet'!$A$88&gt;35,BD74+BC75-BL74,IF(A75&lt;'Données projet'!$A$88,$BA$205^A75,IF(A75='Données projet'!$A$88,'Données projet'!$B$88,BD74+BC75-BL74)))</f>
        <v>220.8</v>
      </c>
      <c r="BE75" s="14">
        <f>BD75*VLOOKUP('Données projet'!$B$11,Paramètres!$A$1:$I$89,3,0)*VLOOKUP('Données projet'!$B$11,Paramètres!$A$1:$I$89,5,0)</f>
        <v>186.00192000000004</v>
      </c>
      <c r="BF75" s="14">
        <f t="shared" si="91"/>
        <v>46.654943043246</v>
      </c>
      <c r="BG75" s="22">
        <f t="shared" si="61"/>
        <v>405.21070313365345</v>
      </c>
      <c r="BH75" s="62">
        <f t="shared" si="62"/>
        <v>698.54403646698677</v>
      </c>
      <c r="BI75" s="62">
        <f ca="1">AVERAGE(OFFSET($BH$3,0,0,'Données projet'!$E$11+1,1))-AVERAGE(OFFSET($H$3,0,0,'Données projet'!$E$11+1,1))</f>
        <v>339.58585574836434</v>
      </c>
      <c r="BJ75" s="62">
        <f t="shared" si="92"/>
        <v>42.267525972379588</v>
      </c>
      <c r="BK75" s="16">
        <f>IF(ISNA(VLOOKUP(A75,'Données projet'!$A$87:$I$107,3,0)),0,VLOOKUP(A75,'Données projet'!$A$87:$I$107,3,0))</f>
        <v>8</v>
      </c>
      <c r="BL75" s="16">
        <f>IF(ISNA(VLOOKUP(A75,'Données projet'!$A$87:$I$107,4,0)),0,VLOOKUP(A75,'Données projet'!$A$87:$I$107,4,0))</f>
        <v>33.6</v>
      </c>
      <c r="BM75" s="17">
        <f>IF(ISNA(VLOOKUP(A75,'Données projet'!$A$87:$I$107,5,0)),0%,VLOOKUP(A75,'Données projet'!$A$87:$I$107,5,0)*VLOOKUP('Données projet'!$B$11,Paramètres!$A$1:$I$89,7,0))</f>
        <v>0.17200000000000001</v>
      </c>
      <c r="BN75" s="17">
        <f>IF(ISNA(VLOOKUP(A75,'Données projet'!$A$87:$I$107,6,0)),0%,VLOOKUP(A75,'Données projet'!$A$87:$I$107,6,0)*VLOOKUP('Données projet'!$B$11,Paramètres!$A$1:$I$89,7,0))</f>
        <v>0.129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9.790975135170779</v>
      </c>
      <c r="BQ75" s="23">
        <f>EXP(-LN(2)/25)*BQ74+(1-EXP(-LN(2)/25))/(LN(2)/25)*Calculateur!BL75*Calculateur!BN75*VLOOKUP('Données projet'!$B$11,Paramètres!$A$1:$I$89,3,0)*0.475*44/12</f>
        <v>9.9388687698096767</v>
      </c>
      <c r="BR75" s="23">
        <f>EXP(-LN(2)/2)*BR74+(1-EXP(-LN(2)/2))/(LN(2)/2)*BL75*BO75*VLOOKUP('Données projet'!$B$11,Paramètres!$A$1:$I$89,3,0)*0.475*44/12</f>
        <v>0.14904621714520661</v>
      </c>
      <c r="BS75" s="24">
        <f t="shared" si="63"/>
        <v>19.878890122125661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3.6790000000000007</v>
      </c>
      <c r="BY75" s="13">
        <f>IF('Données projet'!$A$114&gt;35,BY74+BX75-CG74,IF(A75&lt;'Données projet'!$A$114,$BV$205^A75,IF(A75='Données projet'!$A$114,'Données projet'!$B$114,BY74+BX75-CG74)))</f>
        <v>94.807999999999964</v>
      </c>
      <c r="BZ75" s="14">
        <f>BY75*VLOOKUP('Données projet'!$B$12,Paramètres!$A$1:$I$89,3,0)*VLOOKUP('Données projet'!$B$12,Paramètres!$A$1:$I$89,5,0)</f>
        <v>94.656307199999972</v>
      </c>
      <c r="CA75" s="14">
        <f t="shared" si="93"/>
        <v>25.684896133735535</v>
      </c>
      <c r="CB75" s="22">
        <f t="shared" si="64"/>
        <v>209.59426247292268</v>
      </c>
      <c r="CC75" s="62">
        <f t="shared" si="65"/>
        <v>502.92759580625602</v>
      </c>
      <c r="CD75" s="62">
        <f ca="1">AVERAGE(OFFSET($CC$3,0,0,'Données projet'!$E$12+1,1))-AVERAGE(OFFSET($H$3,0,0,'Données projet'!$E$12+1,1))</f>
        <v>112.34884104798977</v>
      </c>
      <c r="CE75" s="62">
        <f t="shared" si="94"/>
        <v>18.665658139749326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11.023225134048396</v>
      </c>
      <c r="CL75" s="23">
        <f>EXP(-LN(2)/25)*CL74+(1-EXP(-LN(2)/25))/(LN(2)/25)*Calculateur!CG75*Calculateur!CI75*VLOOKUP('Données projet'!$B$12,Paramètres!$A$1:$I$89,3,0)*0.475*44/12</f>
        <v>8.1057688038675515</v>
      </c>
      <c r="CM75" s="23">
        <f>EXP(-LN(2)/2)*CM74+(1-EXP(-LN(2)/2))/(LN(2)/2)*CG75*CJ75*VLOOKUP('Données projet'!$B$12,Paramètres!$A$1:$I$89,3,0)*0.475*44/12</f>
        <v>1.8972279544700382E-3</v>
      </c>
      <c r="CN75" s="24">
        <f t="shared" si="66"/>
        <v>19.130891165870416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>
        <f>VLOOKUP(A75,'Données projet'!$A$139:$I$159,2,0)</f>
        <v>180.74</v>
      </c>
      <c r="CR75" s="13">
        <f>VLOOKUP(A75,'Données projet'!$A$139:$I$159,9,0)</f>
        <v>3.502307692307693</v>
      </c>
      <c r="CS75" s="13">
        <f t="array" ref="CS75">INDEX(CR:CR,MIN(IF(ISNUMBER(CR75:CR271),ROW(CR75:CR271),"")))</f>
        <v>3.502307692307693</v>
      </c>
      <c r="CT75" s="13">
        <f>IF('Données projet'!$A$140&gt;35,CT74+CS75-DB74,IF(A75&lt;'Données projet'!$A$140,$CQ$205^A75,IF(A75='Données projet'!$A$140,'Données projet'!$B$140,CT74+CS75-DB74)))</f>
        <v>180.7399999999999</v>
      </c>
      <c r="CU75" s="18">
        <f>CT75*VLOOKUP('Données projet'!$B$13,Paramètres!$A$1:$I$89,3,0)*VLOOKUP('Données projet'!$B$13,Paramètres!$A$1:$I$89,5,0)</f>
        <v>197.36807999999988</v>
      </c>
      <c r="CV75" s="14">
        <f t="shared" si="95"/>
        <v>49.165306182445654</v>
      </c>
      <c r="CW75" s="22">
        <f t="shared" si="67"/>
        <v>429.37898093442595</v>
      </c>
      <c r="CX75" s="62">
        <f t="shared" si="68"/>
        <v>722.71231426775921</v>
      </c>
      <c r="CY75" s="62">
        <f ca="1">AVERAGE(OFFSET($CX$3,0,0,'Données projet'!$E$13+1,1))-AVERAGE(OFFSET($H$3,0,0,'Données projet'!$E$13+1,1))</f>
        <v>205.21073681197737</v>
      </c>
      <c r="CZ75" s="62">
        <f t="shared" si="96"/>
        <v>175.16446313750316</v>
      </c>
      <c r="DA75" s="16">
        <f>IF(ISNA(VLOOKUP(A75,'Données projet'!$A$139:$I$159,3,0)),0,VLOOKUP(A75,'Données projet'!$A$139:$I$159,3,0))</f>
        <v>4</v>
      </c>
      <c r="DB75" s="16">
        <f>IF(ISNA(VLOOKUP(A75,'Données projet'!$A$139:$I$159,4,0)),0,VLOOKUP(A75,'Données projet'!$A$139:$I$159,4,0))</f>
        <v>180.74</v>
      </c>
      <c r="DC75" s="17">
        <f>IF(ISNA(VLOOKUP(A75,'Données projet'!$A$139:$I$159,5,0)),0%,VLOOKUP(A75,'Données projet'!$A$139:$I$159,5,0)*VLOOKUP('Données projet'!$B$13,Paramètres!$A$1:$I$89,7,0))</f>
        <v>0.25800000000000001</v>
      </c>
      <c r="DD75" s="17">
        <f>IF(ISNA(VLOOKUP(A75,'Données projet'!$A$139:$I$159,6,0)),0%,VLOOKUP(A75,'Données projet'!$A$139:$I$159,6,0)*VLOOKUP('Données projet'!$B$13,Paramètres!$A$1:$I$89,7,0))</f>
        <v>8.6000000000000007E-2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56.29161810676473</v>
      </c>
      <c r="DG75" s="23">
        <f>EXP(-LN(2)/25)*DG74+(1-EXP(-LN(2)/25))/(LN(2)/25)*Calculateur!DB75*Calculateur!DD75*VLOOKUP('Données projet'!$B$13,Paramètres!$A$1:$I$89,3,0)*0.475*44/12</f>
        <v>22.750150383497743</v>
      </c>
      <c r="DH75" s="23">
        <f>EXP(-LN(2)/2)*DH74+(1-EXP(-LN(2)/2))/(LN(2)/2)*DB75*DE75*VLOOKUP('Données projet'!$B$13,Paramètres!$A$1:$I$89,3,0)*0.475*44/12</f>
        <v>1.6952172844586721E-3</v>
      </c>
      <c r="DI75" s="24">
        <f t="shared" si="69"/>
        <v>79.043463707546934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2.2737367544323206E-13</v>
      </c>
      <c r="DP75" s="18">
        <f>DO75*VLOOKUP('Données projet'!$B$14,Paramètres!$A$1:$I$89,3,0)*VLOOKUP('Données projet'!$B$14,Paramètres!$A$1:$I$89,5,0)</f>
        <v>1.8444552551954985E-13</v>
      </c>
      <c r="DQ75" s="14">
        <f t="shared" si="97"/>
        <v>2.580317449479618E-12</v>
      </c>
      <c r="DR75" s="22">
        <f t="shared" si="70"/>
        <v>4.8152955147902165E-12</v>
      </c>
      <c r="DS75" s="62">
        <f t="shared" si="71"/>
        <v>293.33333333333815</v>
      </c>
      <c r="DT75" s="62">
        <f ca="1">AVERAGE(OFFSET($DS$3,0,0,'Données projet'!$E$14+1,1))-AVERAGE(OFFSET($H$3,0,0,'Données projet'!$E$14+1,1))</f>
        <v>223.63222290670075</v>
      </c>
      <c r="DU75" s="62">
        <f t="shared" si="98"/>
        <v>290.02663909417248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59.942350746642781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1.4888819006961611</v>
      </c>
      <c r="ED75" s="24">
        <f t="shared" si="72"/>
        <v>61.431232647338945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346.9180951579346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192.24617268603629</v>
      </c>
      <c r="T76" s="62">
        <f t="shared" si="88"/>
        <v>192.48585280662832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68.017654702782238</v>
      </c>
      <c r="AA76" s="23">
        <f>EXP(-LN(2)/25)*AA75+(1-EXP(-LN(2)/25))/(LN(2)/25)*Calculateur!V76*Calculateur!X76*VLOOKUP('Données projet'!$B$9,Paramètres!$A$1:$I$89,3,0)*0.475*44/12</f>
        <v>22.107761004648257</v>
      </c>
      <c r="AB76" s="23">
        <f>EXP(-LN(2)/2)*AB75+(1-EXP(-LN(2)/2))/(LN(2)/2)*V76*Y76*VLOOKUP('Données projet'!$B$9,Paramètres!$A$1:$I$89,3,0)*0.475*44/12</f>
        <v>0.46366949684340736</v>
      </c>
      <c r="AC76" s="24">
        <f t="shared" si="57"/>
        <v>90.5890852042739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1.9999999998958629E-3</v>
      </c>
      <c r="AJ76" s="14">
        <f>AI76*VLOOKUP('Données projet'!$B$10,Paramètres!$A$1:$I$89,3,0)*VLOOKUP('Données projet'!$B$10,Paramètres!$A$1:$I$89,5,0)</f>
        <v>1.195999999937726E-3</v>
      </c>
      <c r="AK76" s="14">
        <f t="shared" si="89"/>
        <v>1.2062444695752218E-3</v>
      </c>
      <c r="AL76" s="22">
        <f t="shared" si="58"/>
        <v>4.1839091177350513E-3</v>
      </c>
      <c r="AM76" s="62">
        <f t="shared" si="59"/>
        <v>293.33751724245104</v>
      </c>
      <c r="AN76" s="62">
        <f ca="1">AVERAGE(OFFSET($AM$3,0,0,'Données projet'!$E$10+1,1))-AVERAGE(OFFSET($H$3,0,0,'Données projet'!$E$10+1,1))</f>
        <v>164.64952352018145</v>
      </c>
      <c r="AO76" s="62">
        <f t="shared" si="90"/>
        <v>280.08682720086921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34.014353078726032</v>
      </c>
      <c r="AV76" s="23">
        <f>EXP(-LN(2)/25)*AV75+(1-EXP(-LN(2)/25))/(LN(2)/25)*Calculateur!AQ76*Calculateur!AS76*VLOOKUP('Données projet'!$B$10,Paramètres!$A$1:$I$89,3,0)*0.475*44/12</f>
        <v>9.7643826610454365</v>
      </c>
      <c r="AW76" s="23">
        <f>EXP(-LN(2)/2)*AW75+(1-EXP(-LN(2)/2))/(LN(2)/2)*AQ76*AT76*VLOOKUP('Données projet'!$B$10,Paramètres!$A$1:$I$89,3,0)*0.475*44/12</f>
        <v>1.8282395206969915E-4</v>
      </c>
      <c r="AX76" s="23">
        <f t="shared" si="60"/>
        <v>43.778918563723536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8.9799999999999951</v>
      </c>
      <c r="BD76" s="13">
        <f>IF('Données projet'!$A$88&gt;35,BD75+BC76-BL75,IF(A76&lt;'Données projet'!$A$88,$BA$205^A76,IF(A76='Données projet'!$A$88,'Données projet'!$B$88,BD75+BC76-BL75)))</f>
        <v>196.18</v>
      </c>
      <c r="BE76" s="14">
        <f>BD76*VLOOKUP('Données projet'!$B$11,Paramètres!$A$1:$I$89,3,0)*VLOOKUP('Données projet'!$B$11,Paramètres!$A$1:$I$89,5,0)</f>
        <v>165.262032</v>
      </c>
      <c r="BF76" s="14">
        <f t="shared" si="91"/>
        <v>42.027137003534676</v>
      </c>
      <c r="BG76" s="22">
        <f t="shared" si="61"/>
        <v>361.02863601448956</v>
      </c>
      <c r="BH76" s="62">
        <f t="shared" si="62"/>
        <v>654.36196934782288</v>
      </c>
      <c r="BI76" s="62">
        <f ca="1">AVERAGE(OFFSET($BH$3,0,0,'Données projet'!$E$11+1,1))-AVERAGE(OFFSET($H$3,0,0,'Données projet'!$E$11+1,1))</f>
        <v>339.58585574836434</v>
      </c>
      <c r="BJ76" s="62">
        <f t="shared" si="92"/>
        <v>42.267525972379588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9.5989800846752367</v>
      </c>
      <c r="BQ76" s="23">
        <f>EXP(-LN(2)/25)*BQ75+(1-EXP(-LN(2)/25))/(LN(2)/25)*Calculateur!BL76*Calculateur!BN76*VLOOKUP('Données projet'!$B$11,Paramètres!$A$1:$I$89,3,0)*0.475*44/12</f>
        <v>9.6670898806368388</v>
      </c>
      <c r="BR76" s="23">
        <f>EXP(-LN(2)/2)*BR75+(1-EXP(-LN(2)/2))/(LN(2)/2)*BL76*BO76*VLOOKUP('Données projet'!$B$11,Paramètres!$A$1:$I$89,3,0)*0.475*44/12</f>
        <v>0.10539159085357826</v>
      </c>
      <c r="BS76" s="24">
        <f t="shared" si="63"/>
        <v>19.371461556165656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3.6790000000000007</v>
      </c>
      <c r="BY76" s="13">
        <f>IF('Données projet'!$A$114&gt;35,BY75+BX76-CG75,IF(A76&lt;'Données projet'!$A$114,$BV$205^A76,IF(A76='Données projet'!$A$114,'Données projet'!$B$114,BY75+BX76-CG75)))</f>
        <v>98.486999999999966</v>
      </c>
      <c r="BZ76" s="14">
        <f>BY76*VLOOKUP('Données projet'!$B$12,Paramètres!$A$1:$I$89,3,0)*VLOOKUP('Données projet'!$B$12,Paramètres!$A$1:$I$89,5,0)</f>
        <v>98.329420799999966</v>
      </c>
      <c r="CA76" s="14">
        <f t="shared" si="93"/>
        <v>26.56361570459746</v>
      </c>
      <c r="CB76" s="22">
        <f t="shared" si="64"/>
        <v>217.52203857884049</v>
      </c>
      <c r="CC76" s="62">
        <f t="shared" si="65"/>
        <v>510.85537191217384</v>
      </c>
      <c r="CD76" s="62">
        <f ca="1">AVERAGE(OFFSET($CC$3,0,0,'Données projet'!$E$12+1,1))-AVERAGE(OFFSET($H$3,0,0,'Données projet'!$E$12+1,1))</f>
        <v>112.34884104798977</v>
      </c>
      <c r="CE76" s="62">
        <f t="shared" si="94"/>
        <v>18.665658139749326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10.807066412673148</v>
      </c>
      <c r="CL76" s="23">
        <f>EXP(-LN(2)/25)*CL75+(1-EXP(-LN(2)/25))/(LN(2)/25)*Calculateur!CG76*Calculateur!CI76*VLOOKUP('Données projet'!$B$12,Paramètres!$A$1:$I$89,3,0)*0.475*44/12</f>
        <v>7.8841161296619378</v>
      </c>
      <c r="CM76" s="23">
        <f>EXP(-LN(2)/2)*CM75+(1-EXP(-LN(2)/2))/(LN(2)/2)*CG76*CJ76*VLOOKUP('Données projet'!$B$12,Paramètres!$A$1:$I$89,3,0)*0.475*44/12</f>
        <v>1.3415427520624464E-3</v>
      </c>
      <c r="CN76" s="24">
        <f t="shared" si="66"/>
        <v>18.692524085087147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-1.1368683772161603E-13</v>
      </c>
      <c r="CU76" s="18">
        <f>CT76*VLOOKUP('Données projet'!$B$13,Paramètres!$A$1:$I$89,3,0)*VLOOKUP('Données projet'!$B$13,Paramètres!$A$1:$I$89,5,0)</f>
        <v>-1.2414602679200469E-13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205.21073681197737</v>
      </c>
      <c r="CZ76" s="62">
        <f t="shared" si="96"/>
        <v>175.16446313750316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55.187773810187871</v>
      </c>
      <c r="DG76" s="23">
        <f>EXP(-LN(2)/25)*DG75+(1-EXP(-LN(2)/25))/(LN(2)/25)*Calculateur!DB76*Calculateur!DD76*VLOOKUP('Données projet'!$B$13,Paramètres!$A$1:$I$89,3,0)*0.475*44/12</f>
        <v>22.128046324882586</v>
      </c>
      <c r="DH76" s="23">
        <f>EXP(-LN(2)/2)*DH75+(1-EXP(-LN(2)/2))/(LN(2)/2)*DB76*DE76*VLOOKUP('Données projet'!$B$13,Paramètres!$A$1:$I$89,3,0)*0.475*44/12</f>
        <v>1.1986996374253715E-3</v>
      </c>
      <c r="DI76" s="24">
        <f t="shared" si="69"/>
        <v>77.317018834707881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2.2737367544323206E-13</v>
      </c>
      <c r="DP76" s="18">
        <f>DO76*VLOOKUP('Données projet'!$B$14,Paramètres!$A$1:$I$89,3,0)*VLOOKUP('Données projet'!$B$14,Paramètres!$A$1:$I$89,5,0)</f>
        <v>1.8444552551954985E-13</v>
      </c>
      <c r="DQ76" s="14">
        <f t="shared" si="97"/>
        <v>2.580317449479618E-12</v>
      </c>
      <c r="DR76" s="22">
        <f t="shared" si="70"/>
        <v>4.8152955147902165E-12</v>
      </c>
      <c r="DS76" s="62">
        <f t="shared" si="71"/>
        <v>293.33333333333815</v>
      </c>
      <c r="DT76" s="62">
        <f ca="1">AVERAGE(OFFSET($DS$3,0,0,'Données projet'!$E$14+1,1))-AVERAGE(OFFSET($H$3,0,0,'Données projet'!$E$14+1,1))</f>
        <v>223.63222290670075</v>
      </c>
      <c r="DU76" s="62">
        <f t="shared" si="98"/>
        <v>290.02663909417248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58.766917809724951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1.0527984883681714</v>
      </c>
      <c r="ED76" s="24">
        <f t="shared" si="72"/>
        <v>59.81971629809312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348.12099890422405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192.24617268603629</v>
      </c>
      <c r="T77" s="62">
        <f t="shared" si="88"/>
        <v>192.48585280662832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66.683869980733576</v>
      </c>
      <c r="AA77" s="23">
        <f>EXP(-LN(2)/25)*AA76+(1-EXP(-LN(2)/25))/(LN(2)/25)*Calculateur!V77*Calculateur!X77*VLOOKUP('Données projet'!$B$9,Paramètres!$A$1:$I$89,3,0)*0.475*44/12</f>
        <v>21.503223117379527</v>
      </c>
      <c r="AB77" s="23">
        <f>EXP(-LN(2)/2)*AB76+(1-EXP(-LN(2)/2))/(LN(2)/2)*V77*Y77*VLOOKUP('Données projet'!$B$9,Paramètres!$A$1:$I$89,3,0)*0.475*44/12</f>
        <v>0.32786384544732788</v>
      </c>
      <c r="AC77" s="24">
        <f t="shared" si="57"/>
        <v>88.514956943560435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1.9999999998958629E-3</v>
      </c>
      <c r="AJ77" s="14">
        <f>AI77*VLOOKUP('Données projet'!$B$10,Paramètres!$A$1:$I$89,3,0)*VLOOKUP('Données projet'!$B$10,Paramètres!$A$1:$I$89,5,0)</f>
        <v>1.195999999937726E-3</v>
      </c>
      <c r="AK77" s="14">
        <f t="shared" si="89"/>
        <v>1.2062444695752218E-3</v>
      </c>
      <c r="AL77" s="22">
        <f t="shared" si="58"/>
        <v>4.1839091177350513E-3</v>
      </c>
      <c r="AM77" s="62">
        <f t="shared" si="59"/>
        <v>293.33751724245104</v>
      </c>
      <c r="AN77" s="62">
        <f ca="1">AVERAGE(OFFSET($AM$3,0,0,'Données projet'!$E$10+1,1))-AVERAGE(OFFSET($H$3,0,0,'Données projet'!$E$10+1,1))</f>
        <v>164.64952352018145</v>
      </c>
      <c r="AO77" s="62">
        <f t="shared" si="90"/>
        <v>280.08682720086921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33.347352361559025</v>
      </c>
      <c r="AV77" s="23">
        <f>EXP(-LN(2)/25)*AV76+(1-EXP(-LN(2)/25))/(LN(2)/25)*Calculateur!AQ77*Calculateur!AS77*VLOOKUP('Données projet'!$B$10,Paramètres!$A$1:$I$89,3,0)*0.475*44/12</f>
        <v>9.4973751036925815</v>
      </c>
      <c r="AW77" s="23">
        <f>EXP(-LN(2)/2)*AW76+(1-EXP(-LN(2)/2))/(LN(2)/2)*AQ77*AT77*VLOOKUP('Données projet'!$B$10,Paramètres!$A$1:$I$89,3,0)*0.475*44/12</f>
        <v>1.2927605627180861E-4</v>
      </c>
      <c r="AX77" s="23">
        <f t="shared" si="60"/>
        <v>42.844856741307879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8.9799999999999951</v>
      </c>
      <c r="BD77" s="13">
        <f>IF('Données projet'!$A$88&gt;35,BD76+BC77-BL76,IF(A77&lt;'Données projet'!$A$88,$BA$205^A77,IF(A77='Données projet'!$A$88,'Données projet'!$B$88,BD76+BC77-BL76)))</f>
        <v>205.16</v>
      </c>
      <c r="BE77" s="14">
        <f>BD77*VLOOKUP('Données projet'!$B$11,Paramètres!$A$1:$I$89,3,0)*VLOOKUP('Données projet'!$B$11,Paramètres!$A$1:$I$89,5,0)</f>
        <v>172.826784</v>
      </c>
      <c r="BF77" s="14">
        <f t="shared" si="91"/>
        <v>43.722520231897917</v>
      </c>
      <c r="BG77" s="22">
        <f t="shared" si="61"/>
        <v>377.15670487055553</v>
      </c>
      <c r="BH77" s="62">
        <f t="shared" si="62"/>
        <v>670.49003820388884</v>
      </c>
      <c r="BI77" s="62">
        <f ca="1">AVERAGE(OFFSET($BH$3,0,0,'Données projet'!$E$11+1,1))-AVERAGE(OFFSET($H$3,0,0,'Données projet'!$E$11+1,1))</f>
        <v>339.58585574836434</v>
      </c>
      <c r="BJ77" s="62">
        <f t="shared" si="92"/>
        <v>42.267525972379588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9.4107499400144938</v>
      </c>
      <c r="BQ77" s="23">
        <f>EXP(-LN(2)/25)*BQ76+(1-EXP(-LN(2)/25))/(LN(2)/25)*Calculateur!BL77*Calculateur!BN77*VLOOKUP('Données projet'!$B$11,Paramètres!$A$1:$I$89,3,0)*0.475*44/12</f>
        <v>9.4027427994806629</v>
      </c>
      <c r="BR77" s="23">
        <f>EXP(-LN(2)/2)*BR76+(1-EXP(-LN(2)/2))/(LN(2)/2)*BL77*BO77*VLOOKUP('Données projet'!$B$11,Paramètres!$A$1:$I$89,3,0)*0.475*44/12</f>
        <v>7.4523108572603303E-2</v>
      </c>
      <c r="BS77" s="24">
        <f t="shared" si="63"/>
        <v>18.888015848067759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3.6790000000000007</v>
      </c>
      <c r="BY77" s="13">
        <f>IF('Données projet'!$A$114&gt;35,BY76+BX77-CG76,IF(A77&lt;'Données projet'!$A$114,$BV$205^A77,IF(A77='Données projet'!$A$114,'Données projet'!$B$114,BY76+BX77-CG76)))</f>
        <v>102.16599999999997</v>
      </c>
      <c r="BZ77" s="14">
        <f>BY77*VLOOKUP('Données projet'!$B$12,Paramètres!$A$1:$I$89,3,0)*VLOOKUP('Données projet'!$B$12,Paramètres!$A$1:$I$89,5,0)</f>
        <v>102.00253439999999</v>
      </c>
      <c r="CA77" s="14">
        <f t="shared" si="93"/>
        <v>27.438521834632002</v>
      </c>
      <c r="CB77" s="22">
        <f t="shared" si="64"/>
        <v>225.44317294198405</v>
      </c>
      <c r="CC77" s="62">
        <f t="shared" si="65"/>
        <v>518.77650627531739</v>
      </c>
      <c r="CD77" s="62">
        <f ca="1">AVERAGE(OFFSET($CC$3,0,0,'Données projet'!$E$12+1,1))-AVERAGE(OFFSET($H$3,0,0,'Données projet'!$E$12+1,1))</f>
        <v>112.34884104798977</v>
      </c>
      <c r="CE77" s="62">
        <f t="shared" si="94"/>
        <v>18.665658139749326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10.595146431980266</v>
      </c>
      <c r="CL77" s="23">
        <f>EXP(-LN(2)/25)*CL76+(1-EXP(-LN(2)/25))/(LN(2)/25)*Calculateur!CG77*Calculateur!CI77*VLOOKUP('Données projet'!$B$12,Paramètres!$A$1:$I$89,3,0)*0.475*44/12</f>
        <v>7.6685245594886844</v>
      </c>
      <c r="CM77" s="23">
        <f>EXP(-LN(2)/2)*CM76+(1-EXP(-LN(2)/2))/(LN(2)/2)*CG77*CJ77*VLOOKUP('Données projet'!$B$12,Paramètres!$A$1:$I$89,3,0)*0.475*44/12</f>
        <v>9.486139772350191E-4</v>
      </c>
      <c r="CN77" s="24">
        <f t="shared" si="66"/>
        <v>18.264619605446185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-1.1368683772161603E-13</v>
      </c>
      <c r="CU77" s="18">
        <f>CT77*VLOOKUP('Données projet'!$B$13,Paramètres!$A$1:$I$89,3,0)*VLOOKUP('Données projet'!$B$13,Paramètres!$A$1:$I$89,5,0)</f>
        <v>-1.2414602679200469E-13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205.21073681197737</v>
      </c>
      <c r="CZ77" s="62">
        <f t="shared" si="96"/>
        <v>175.16446313750316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54.105575226988343</v>
      </c>
      <c r="DG77" s="23">
        <f>EXP(-LN(2)/25)*DG76+(1-EXP(-LN(2)/25))/(LN(2)/25)*Calculateur!DB77*Calculateur!DD77*VLOOKUP('Données projet'!$B$13,Paramètres!$A$1:$I$89,3,0)*0.475*44/12</f>
        <v>21.52295373446529</v>
      </c>
      <c r="DH77" s="23">
        <f>EXP(-LN(2)/2)*DH76+(1-EXP(-LN(2)/2))/(LN(2)/2)*DB77*DE77*VLOOKUP('Données projet'!$B$13,Paramètres!$A$1:$I$89,3,0)*0.475*44/12</f>
        <v>8.4760864222933603E-4</v>
      </c>
      <c r="DI77" s="24">
        <f t="shared" si="69"/>
        <v>75.629376570095872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2.2737367544323206E-13</v>
      </c>
      <c r="DP77" s="18">
        <f>DO77*VLOOKUP('Données projet'!$B$14,Paramètres!$A$1:$I$89,3,0)*VLOOKUP('Données projet'!$B$14,Paramètres!$A$1:$I$89,5,0)</f>
        <v>1.8444552551954985E-13</v>
      </c>
      <c r="DQ77" s="14">
        <f t="shared" si="97"/>
        <v>2.580317449479618E-12</v>
      </c>
      <c r="DR77" s="22">
        <f t="shared" si="70"/>
        <v>4.8152955147902165E-12</v>
      </c>
      <c r="DS77" s="62">
        <f t="shared" si="71"/>
        <v>293.33333333333815</v>
      </c>
      <c r="DT77" s="62">
        <f ca="1">AVERAGE(OFFSET($DS$3,0,0,'Données projet'!$E$14+1,1))-AVERAGE(OFFSET($H$3,0,0,'Données projet'!$E$14+1,1))</f>
        <v>223.63222290670075</v>
      </c>
      <c r="DU77" s="62">
        <f t="shared" si="98"/>
        <v>290.02663909417248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57.614534395756777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0.74444095034808055</v>
      </c>
      <c r="ED77" s="24">
        <f t="shared" si="72"/>
        <v>58.358975346104856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349.32350663286911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192.24617268603629</v>
      </c>
      <c r="T78" s="62">
        <f t="shared" si="88"/>
        <v>192.48585280662832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65.376239963555946</v>
      </c>
      <c r="AA78" s="23">
        <f>EXP(-LN(2)/25)*AA77+(1-EXP(-LN(2)/25))/(LN(2)/25)*Calculateur!V78*Calculateur!X78*VLOOKUP('Données projet'!$B$9,Paramètres!$A$1:$I$89,3,0)*0.475*44/12</f>
        <v>20.915216350429425</v>
      </c>
      <c r="AB78" s="23">
        <f>EXP(-LN(2)/2)*AB77+(1-EXP(-LN(2)/2))/(LN(2)/2)*V78*Y78*VLOOKUP('Données projet'!$B$9,Paramètres!$A$1:$I$89,3,0)*0.475*44/12</f>
        <v>0.23183474842170373</v>
      </c>
      <c r="AC78" s="24">
        <f t="shared" si="57"/>
        <v>86.523291062407083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1.9999999998958629E-3</v>
      </c>
      <c r="AJ78" s="14">
        <f>AI78*VLOOKUP('Données projet'!$B$10,Paramètres!$A$1:$I$89,3,0)*VLOOKUP('Données projet'!$B$10,Paramètres!$A$1:$I$89,5,0)</f>
        <v>1.195999999937726E-3</v>
      </c>
      <c r="AK78" s="14">
        <f t="shared" si="89"/>
        <v>1.2062444695752218E-3</v>
      </c>
      <c r="AL78" s="22">
        <f t="shared" si="58"/>
        <v>4.1839091177350513E-3</v>
      </c>
      <c r="AM78" s="62">
        <f t="shared" si="59"/>
        <v>293.33751724245104</v>
      </c>
      <c r="AN78" s="62">
        <f ca="1">AVERAGE(OFFSET($AM$3,0,0,'Données projet'!$E$10+1,1))-AVERAGE(OFFSET($H$3,0,0,'Données projet'!$E$10+1,1))</f>
        <v>164.64952352018145</v>
      </c>
      <c r="AO78" s="62">
        <f t="shared" si="90"/>
        <v>280.08682720086921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32.693431121625395</v>
      </c>
      <c r="AV78" s="23">
        <f>EXP(-LN(2)/25)*AV77+(1-EXP(-LN(2)/25))/(LN(2)/25)*Calculateur!AQ78*Calculateur!AS78*VLOOKUP('Données projet'!$B$10,Paramètres!$A$1:$I$89,3,0)*0.475*44/12</f>
        <v>9.2376688820368571</v>
      </c>
      <c r="AW78" s="23">
        <f>EXP(-LN(2)/2)*AW77+(1-EXP(-LN(2)/2))/(LN(2)/2)*AQ78*AT78*VLOOKUP('Données projet'!$B$10,Paramètres!$A$1:$I$89,3,0)*0.475*44/12</f>
        <v>9.1411976034849577E-5</v>
      </c>
      <c r="AX78" s="23">
        <f t="shared" si="60"/>
        <v>41.931191415638288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8.9799999999999951</v>
      </c>
      <c r="BD78" s="13">
        <f>IF('Données projet'!$A$88&gt;35,BD77+BC78-BL77,IF(A78&lt;'Données projet'!$A$88,$BA$205^A78,IF(A78='Données projet'!$A$88,'Données projet'!$B$88,BD77+BC78-BL77)))</f>
        <v>214.14</v>
      </c>
      <c r="BE78" s="14">
        <f>BD78*VLOOKUP('Données projet'!$B$11,Paramètres!$A$1:$I$89,3,0)*VLOOKUP('Données projet'!$B$11,Paramètres!$A$1:$I$89,5,0)</f>
        <v>180.391536</v>
      </c>
      <c r="BF78" s="14">
        <f t="shared" si="91"/>
        <v>45.409284694081698</v>
      </c>
      <c r="BG78" s="22">
        <f t="shared" si="61"/>
        <v>393.26976270885893</v>
      </c>
      <c r="BH78" s="62">
        <f t="shared" si="62"/>
        <v>686.60309604219219</v>
      </c>
      <c r="BI78" s="62">
        <f ca="1">AVERAGE(OFFSET($BH$3,0,0,'Données projet'!$E$11+1,1))-AVERAGE(OFFSET($H$3,0,0,'Données projet'!$E$11+1,1))</f>
        <v>339.58585574836434</v>
      </c>
      <c r="BJ78" s="62">
        <f t="shared" si="92"/>
        <v>42.267525972379588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9.2262108736814952</v>
      </c>
      <c r="BQ78" s="23">
        <f>EXP(-LN(2)/25)*BQ77+(1-EXP(-LN(2)/25))/(LN(2)/25)*Calculateur!BL78*Calculateur!BN78*VLOOKUP('Données projet'!$B$11,Paramètres!$A$1:$I$89,3,0)*0.475*44/12</f>
        <v>9.1456243031601101</v>
      </c>
      <c r="BR78" s="23">
        <f>EXP(-LN(2)/2)*BR77+(1-EXP(-LN(2)/2))/(LN(2)/2)*BL78*BO78*VLOOKUP('Données projet'!$B$11,Paramètres!$A$1:$I$89,3,0)*0.475*44/12</f>
        <v>5.2695795426789128E-2</v>
      </c>
      <c r="BS78" s="24">
        <f t="shared" si="63"/>
        <v>18.424530972268396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3.6790000000000007</v>
      </c>
      <c r="BY78" s="13">
        <f>IF('Données projet'!$A$114&gt;35,BY77+BX78-CG77,IF(A78&lt;'Données projet'!$A$114,$BV$205^A78,IF(A78='Données projet'!$A$114,'Données projet'!$B$114,BY77+BX78-CG77)))</f>
        <v>105.84499999999997</v>
      </c>
      <c r="BZ78" s="14">
        <f>BY78*VLOOKUP('Données projet'!$B$12,Paramètres!$A$1:$I$89,3,0)*VLOOKUP('Données projet'!$B$12,Paramètres!$A$1:$I$89,5,0)</f>
        <v>105.67564799999997</v>
      </c>
      <c r="CA78" s="14">
        <f t="shared" si="93"/>
        <v>28.309767576648067</v>
      </c>
      <c r="CB78" s="22">
        <f t="shared" si="64"/>
        <v>233.35793212932859</v>
      </c>
      <c r="CC78" s="62">
        <f t="shared" si="65"/>
        <v>526.69126546266193</v>
      </c>
      <c r="CD78" s="62">
        <f ca="1">AVERAGE(OFFSET($CC$3,0,0,'Données projet'!$E$12+1,1))-AVERAGE(OFFSET($H$3,0,0,'Données projet'!$E$12+1,1))</f>
        <v>112.34884104798977</v>
      </c>
      <c r="CE78" s="62">
        <f t="shared" si="94"/>
        <v>18.665658139749326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10.387382072850349</v>
      </c>
      <c r="CL78" s="23">
        <f>EXP(-LN(2)/25)*CL77+(1-EXP(-LN(2)/25))/(LN(2)/25)*Calculateur!CG78*Calculateur!CI78*VLOOKUP('Données projet'!$B$12,Paramètres!$A$1:$I$89,3,0)*0.475*44/12</f>
        <v>7.4588283521392862</v>
      </c>
      <c r="CM78" s="23">
        <f>EXP(-LN(2)/2)*CM77+(1-EXP(-LN(2)/2))/(LN(2)/2)*CG78*CJ78*VLOOKUP('Données projet'!$B$12,Paramètres!$A$1:$I$89,3,0)*0.475*44/12</f>
        <v>6.7077137603122321E-4</v>
      </c>
      <c r="CN78" s="24">
        <f t="shared" si="66"/>
        <v>17.846881196365668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-1.1368683772161603E-13</v>
      </c>
      <c r="CU78" s="18">
        <f>CT78*VLOOKUP('Données projet'!$B$13,Paramètres!$A$1:$I$89,3,0)*VLOOKUP('Données projet'!$B$13,Paramètres!$A$1:$I$89,5,0)</f>
        <v>-1.2414602679200469E-13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205.21073681197737</v>
      </c>
      <c r="CZ78" s="62">
        <f t="shared" si="96"/>
        <v>175.16446313750316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53.0445978979294</v>
      </c>
      <c r="DG78" s="23">
        <f>EXP(-LN(2)/25)*DG77+(1-EXP(-LN(2)/25))/(LN(2)/25)*Calculateur!DB78*Calculateur!DD78*VLOOKUP('Données projet'!$B$13,Paramètres!$A$1:$I$89,3,0)*0.475*44/12</f>
        <v>20.934407432753392</v>
      </c>
      <c r="DH78" s="23">
        <f>EXP(-LN(2)/2)*DH77+(1-EXP(-LN(2)/2))/(LN(2)/2)*DB78*DE78*VLOOKUP('Données projet'!$B$13,Paramètres!$A$1:$I$89,3,0)*0.475*44/12</f>
        <v>5.9934981871268575E-4</v>
      </c>
      <c r="DI78" s="24">
        <f t="shared" si="69"/>
        <v>73.97960468050151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2.2737367544323206E-13</v>
      </c>
      <c r="DP78" s="18">
        <f>DO78*VLOOKUP('Données projet'!$B$14,Paramètres!$A$1:$I$89,3,0)*VLOOKUP('Données projet'!$B$14,Paramètres!$A$1:$I$89,5,0)</f>
        <v>1.8444552551954985E-13</v>
      </c>
      <c r="DQ78" s="14">
        <f t="shared" si="97"/>
        <v>2.580317449479618E-12</v>
      </c>
      <c r="DR78" s="22">
        <f t="shared" si="70"/>
        <v>4.8152955147902165E-12</v>
      </c>
      <c r="DS78" s="62">
        <f t="shared" si="71"/>
        <v>293.33333333333815</v>
      </c>
      <c r="DT78" s="62">
        <f ca="1">AVERAGE(OFFSET($DS$3,0,0,'Données projet'!$E$14+1,1))-AVERAGE(OFFSET($H$3,0,0,'Données projet'!$E$14+1,1))</f>
        <v>223.63222290670075</v>
      </c>
      <c r="DU78" s="62">
        <f t="shared" si="98"/>
        <v>290.02663909417248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56.484748517652044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0.52639924418408568</v>
      </c>
      <c r="ED78" s="24">
        <f t="shared" si="72"/>
        <v>57.011147761836128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350.5256242345036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192.24617268603629</v>
      </c>
      <c r="T79" s="62">
        <f t="shared" si="88"/>
        <v>192.48585280662832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64.094251773439609</v>
      </c>
      <c r="AA79" s="23">
        <f>EXP(-LN(2)/25)*AA78+(1-EXP(-LN(2)/25))/(LN(2)/25)*Calculateur!V79*Calculateur!X79*VLOOKUP('Données projet'!$B$9,Paramètres!$A$1:$I$89,3,0)*0.475*44/12</f>
        <v>20.343288659443505</v>
      </c>
      <c r="AB79" s="23">
        <f>EXP(-LN(2)/2)*AB78+(1-EXP(-LN(2)/2))/(LN(2)/2)*V79*Y79*VLOOKUP('Données projet'!$B$9,Paramètres!$A$1:$I$89,3,0)*0.475*44/12</f>
        <v>0.16393192272366397</v>
      </c>
      <c r="AC79" s="24">
        <f t="shared" si="57"/>
        <v>84.601472355606774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1.9999999998958629E-3</v>
      </c>
      <c r="AJ79" s="14">
        <f>AI79*VLOOKUP('Données projet'!$B$10,Paramètres!$A$1:$I$89,3,0)*VLOOKUP('Données projet'!$B$10,Paramètres!$A$1:$I$89,5,0)</f>
        <v>1.195999999937726E-3</v>
      </c>
      <c r="AK79" s="14">
        <f t="shared" si="89"/>
        <v>1.2062444695752218E-3</v>
      </c>
      <c r="AL79" s="22">
        <f t="shared" si="58"/>
        <v>4.1839091177350513E-3</v>
      </c>
      <c r="AM79" s="62">
        <f t="shared" si="59"/>
        <v>293.33751724245104</v>
      </c>
      <c r="AN79" s="62">
        <f ca="1">AVERAGE(OFFSET($AM$3,0,0,'Données projet'!$E$10+1,1))-AVERAGE(OFFSET($H$3,0,0,'Données projet'!$E$10+1,1))</f>
        <v>164.64952352018145</v>
      </c>
      <c r="AO79" s="62">
        <f t="shared" si="90"/>
        <v>280.08682720086921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32.052332878354292</v>
      </c>
      <c r="AV79" s="23">
        <f>EXP(-LN(2)/25)*AV78+(1-EXP(-LN(2)/25))/(LN(2)/25)*Calculateur!AQ79*Calculateur!AS79*VLOOKUP('Données projet'!$B$10,Paramètres!$A$1:$I$89,3,0)*0.475*44/12</f>
        <v>8.9850643406696662</v>
      </c>
      <c r="AW79" s="23">
        <f>EXP(-LN(2)/2)*AW78+(1-EXP(-LN(2)/2))/(LN(2)/2)*AQ79*AT79*VLOOKUP('Données projet'!$B$10,Paramètres!$A$1:$I$89,3,0)*0.475*44/12</f>
        <v>6.4638028135904305E-5</v>
      </c>
      <c r="AX79" s="23">
        <f t="shared" si="60"/>
        <v>41.037461857052094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8.9799999999999951</v>
      </c>
      <c r="BD79" s="13">
        <f>IF('Données projet'!$A$88&gt;35,BD78+BC79-BL78,IF(A79&lt;'Données projet'!$A$88,$BA$205^A79,IF(A79='Données projet'!$A$88,'Données projet'!$B$88,BD78+BC79-BL78)))</f>
        <v>223.11999999999998</v>
      </c>
      <c r="BE79" s="14">
        <f>BD79*VLOOKUP('Données projet'!$B$11,Paramètres!$A$1:$I$89,3,0)*VLOOKUP('Données projet'!$B$11,Paramètres!$A$1:$I$89,5,0)</f>
        <v>187.956288</v>
      </c>
      <c r="BF79" s="14">
        <f t="shared" si="91"/>
        <v>47.087833147616308</v>
      </c>
      <c r="BG79" s="22">
        <f t="shared" si="61"/>
        <v>409.36851099876503</v>
      </c>
      <c r="BH79" s="62">
        <f t="shared" si="62"/>
        <v>702.70184433209829</v>
      </c>
      <c r="BI79" s="62">
        <f ca="1">AVERAGE(OFFSET($BH$3,0,0,'Données projet'!$E$11+1,1))-AVERAGE(OFFSET($H$3,0,0,'Données projet'!$E$11+1,1))</f>
        <v>339.58585574836434</v>
      </c>
      <c r="BJ79" s="62">
        <f t="shared" si="92"/>
        <v>42.267525972379588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9.0452905058815709</v>
      </c>
      <c r="BQ79" s="23">
        <f>EXP(-LN(2)/25)*BQ78+(1-EXP(-LN(2)/25))/(LN(2)/25)*Calculateur!BL79*Calculateur!BN79*VLOOKUP('Données projet'!$B$11,Paramètres!$A$1:$I$89,3,0)*0.475*44/12</f>
        <v>8.8955367256427174</v>
      </c>
      <c r="BR79" s="23">
        <f>EXP(-LN(2)/2)*BR78+(1-EXP(-LN(2)/2))/(LN(2)/2)*BL79*BO79*VLOOKUP('Données projet'!$B$11,Paramètres!$A$1:$I$89,3,0)*0.475*44/12</f>
        <v>3.7261554286301651E-2</v>
      </c>
      <c r="BS79" s="24">
        <f t="shared" si="63"/>
        <v>17.978088785810591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3.6790000000000007</v>
      </c>
      <c r="BY79" s="13">
        <f>IF('Données projet'!$A$114&gt;35,BY78+BX79-CG78,IF(A79&lt;'Données projet'!$A$114,$BV$205^A79,IF(A79='Données projet'!$A$114,'Données projet'!$B$114,BY78+BX79-CG78)))</f>
        <v>109.52399999999997</v>
      </c>
      <c r="BZ79" s="14">
        <f>BY79*VLOOKUP('Données projet'!$B$12,Paramètres!$A$1:$I$89,3,0)*VLOOKUP('Données projet'!$B$12,Paramètres!$A$1:$I$89,5,0)</f>
        <v>109.34876159999997</v>
      </c>
      <c r="CA79" s="14">
        <f t="shared" si="93"/>
        <v>29.177494740340123</v>
      </c>
      <c r="CB79" s="22">
        <f t="shared" si="64"/>
        <v>241.26656312609234</v>
      </c>
      <c r="CC79" s="62">
        <f t="shared" si="65"/>
        <v>534.59989645942562</v>
      </c>
      <c r="CD79" s="62">
        <f ca="1">AVERAGE(OFFSET($CC$3,0,0,'Données projet'!$E$12+1,1))-AVERAGE(OFFSET($H$3,0,0,'Données projet'!$E$12+1,1))</f>
        <v>112.34884104798977</v>
      </c>
      <c r="CE79" s="62">
        <f t="shared" si="94"/>
        <v>18.665658139749326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10.183691846079222</v>
      </c>
      <c r="CL79" s="23">
        <f>EXP(-LN(2)/25)*CL78+(1-EXP(-LN(2)/25))/(LN(2)/25)*Calculateur!CG79*Calculateur!CI79*VLOOKUP('Données projet'!$B$12,Paramètres!$A$1:$I$89,3,0)*0.475*44/12</f>
        <v>7.2548662986073014</v>
      </c>
      <c r="CM79" s="23">
        <f>EXP(-LN(2)/2)*CM78+(1-EXP(-LN(2)/2))/(LN(2)/2)*CG79*CJ79*VLOOKUP('Données projet'!$B$12,Paramètres!$A$1:$I$89,3,0)*0.475*44/12</f>
        <v>4.7430698861750955E-4</v>
      </c>
      <c r="CN79" s="24">
        <f t="shared" si="66"/>
        <v>17.439032451675143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-1.1368683772161603E-13</v>
      </c>
      <c r="CU79" s="18">
        <f>CT79*VLOOKUP('Données projet'!$B$13,Paramètres!$A$1:$I$89,3,0)*VLOOKUP('Données projet'!$B$13,Paramètres!$A$1:$I$89,5,0)</f>
        <v>-1.2414602679200469E-13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205.21073681197737</v>
      </c>
      <c r="CZ79" s="62">
        <f t="shared" si="96"/>
        <v>175.16446313750316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52.004425687161032</v>
      </c>
      <c r="DG79" s="23">
        <f>EXP(-LN(2)/25)*DG78+(1-EXP(-LN(2)/25))/(LN(2)/25)*Calculateur!DB79*Calculateur!DD79*VLOOKUP('Données projet'!$B$13,Paramètres!$A$1:$I$89,3,0)*0.475*44/12</f>
        <v>20.36195496061211</v>
      </c>
      <c r="DH79" s="23">
        <f>EXP(-LN(2)/2)*DH78+(1-EXP(-LN(2)/2))/(LN(2)/2)*DB79*DE79*VLOOKUP('Données projet'!$B$13,Paramètres!$A$1:$I$89,3,0)*0.475*44/12</f>
        <v>4.2380432111466802E-4</v>
      </c>
      <c r="DI79" s="24">
        <f t="shared" si="69"/>
        <v>72.366804452094257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2.2737367544323206E-13</v>
      </c>
      <c r="DP79" s="18">
        <f>DO79*VLOOKUP('Données projet'!$B$14,Paramètres!$A$1:$I$89,3,0)*VLOOKUP('Données projet'!$B$14,Paramètres!$A$1:$I$89,5,0)</f>
        <v>1.8444552551954985E-13</v>
      </c>
      <c r="DQ79" s="14">
        <f t="shared" si="97"/>
        <v>2.580317449479618E-12</v>
      </c>
      <c r="DR79" s="22">
        <f t="shared" si="70"/>
        <v>4.8152955147902165E-12</v>
      </c>
      <c r="DS79" s="62">
        <f t="shared" si="71"/>
        <v>293.33333333333815</v>
      </c>
      <c r="DT79" s="62">
        <f ca="1">AVERAGE(OFFSET($DS$3,0,0,'Données projet'!$E$14+1,1))-AVERAGE(OFFSET($H$3,0,0,'Données projet'!$E$14+1,1))</f>
        <v>223.63222290670075</v>
      </c>
      <c r="DU79" s="62">
        <f t="shared" si="98"/>
        <v>290.02663909417248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55.377117051515604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0.37222047517404028</v>
      </c>
      <c r="ED79" s="24">
        <f t="shared" si="72"/>
        <v>55.749337526689644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351.72735743583411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192.24617268603629</v>
      </c>
      <c r="T80" s="62">
        <f t="shared" si="88"/>
        <v>192.48585280662832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62.837402589795865</v>
      </c>
      <c r="AA80" s="23">
        <f>EXP(-LN(2)/25)*AA79+(1-EXP(-LN(2)/25))/(LN(2)/25)*Calculateur!V80*Calculateur!X80*VLOOKUP('Données projet'!$B$9,Paramètres!$A$1:$I$89,3,0)*0.475*44/12</f>
        <v>19.787000361243969</v>
      </c>
      <c r="AB80" s="23">
        <f>EXP(-LN(2)/2)*AB79+(1-EXP(-LN(2)/2))/(LN(2)/2)*V80*Y80*VLOOKUP('Données projet'!$B$9,Paramètres!$A$1:$I$89,3,0)*0.475*44/12</f>
        <v>0.11591737421085188</v>
      </c>
      <c r="AC80" s="24">
        <f t="shared" si="57"/>
        <v>82.740320325250678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1.9999999998958629E-3</v>
      </c>
      <c r="AJ80" s="14">
        <f>AI80*VLOOKUP('Données projet'!$B$10,Paramètres!$A$1:$I$89,3,0)*VLOOKUP('Données projet'!$B$10,Paramètres!$A$1:$I$89,5,0)</f>
        <v>1.195999999937726E-3</v>
      </c>
      <c r="AK80" s="14">
        <f t="shared" si="89"/>
        <v>1.2062444695752218E-3</v>
      </c>
      <c r="AL80" s="22">
        <f t="shared" si="58"/>
        <v>4.1839091177350513E-3</v>
      </c>
      <c r="AM80" s="62">
        <f t="shared" si="59"/>
        <v>293.33751724245104</v>
      </c>
      <c r="AN80" s="62">
        <f ca="1">AVERAGE(OFFSET($AM$3,0,0,'Données projet'!$E$10+1,1))-AVERAGE(OFFSET($H$3,0,0,'Données projet'!$E$10+1,1))</f>
        <v>164.64952352018145</v>
      </c>
      <c r="AO80" s="62">
        <f t="shared" si="90"/>
        <v>280.08682720086921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31.423806180602419</v>
      </c>
      <c r="AV80" s="23">
        <f>EXP(-LN(2)/25)*AV79+(1-EXP(-LN(2)/25))/(LN(2)/25)*Calculateur!AQ80*Calculateur!AS80*VLOOKUP('Données projet'!$B$10,Paramètres!$A$1:$I$89,3,0)*0.475*44/12</f>
        <v>8.739367283770056</v>
      </c>
      <c r="AW80" s="23">
        <f>EXP(-LN(2)/2)*AW79+(1-EXP(-LN(2)/2))/(LN(2)/2)*AQ80*AT80*VLOOKUP('Données projet'!$B$10,Paramètres!$A$1:$I$89,3,0)*0.475*44/12</f>
        <v>4.5705988017424789E-5</v>
      </c>
      <c r="AX80" s="23">
        <f t="shared" si="60"/>
        <v>40.163219170360492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8.9799999999999951</v>
      </c>
      <c r="BD80" s="13">
        <f>IF('Données projet'!$A$88&gt;35,BD79+BC80-BL79,IF(A80&lt;'Données projet'!$A$88,$BA$205^A80,IF(A80='Données projet'!$A$88,'Données projet'!$B$88,BD79+BC80-BL79)))</f>
        <v>232.09999999999997</v>
      </c>
      <c r="BE80" s="14">
        <f>BD80*VLOOKUP('Données projet'!$B$11,Paramètres!$A$1:$I$89,3,0)*VLOOKUP('Données projet'!$B$11,Paramètres!$A$1:$I$89,5,0)</f>
        <v>195.52104</v>
      </c>
      <c r="BF80" s="14">
        <f t="shared" si="91"/>
        <v>48.758534095213513</v>
      </c>
      <c r="BG80" s="22">
        <f t="shared" si="61"/>
        <v>425.45359154916355</v>
      </c>
      <c r="BH80" s="62">
        <f t="shared" si="62"/>
        <v>718.78692488249681</v>
      </c>
      <c r="BI80" s="62">
        <f ca="1">AVERAGE(OFFSET($BH$3,0,0,'Données projet'!$E$11+1,1))-AVERAGE(OFFSET($H$3,0,0,'Données projet'!$E$11+1,1))</f>
        <v>339.58585574836434</v>
      </c>
      <c r="BJ80" s="62">
        <f t="shared" si="92"/>
        <v>42.267525972379588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8.8679178761436752</v>
      </c>
      <c r="BQ80" s="23">
        <f>EXP(-LN(2)/25)*BQ79+(1-EXP(-LN(2)/25))/(LN(2)/25)*Calculateur!BL80*Calculateur!BN80*VLOOKUP('Données projet'!$B$11,Paramètres!$A$1:$I$89,3,0)*0.475*44/12</f>
        <v>8.6522878060840718</v>
      </c>
      <c r="BR80" s="23">
        <f>EXP(-LN(2)/2)*BR79+(1-EXP(-LN(2)/2))/(LN(2)/2)*BL80*BO80*VLOOKUP('Données projet'!$B$11,Paramètres!$A$1:$I$89,3,0)*0.475*44/12</f>
        <v>2.6347897713394564E-2</v>
      </c>
      <c r="BS80" s="24">
        <f t="shared" si="63"/>
        <v>17.54655357994114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3.6790000000000007</v>
      </c>
      <c r="BY80" s="13">
        <f>IF('Données projet'!$A$114&gt;35,BY79+BX80-CG79,IF(A80&lt;'Données projet'!$A$114,$BV$205^A80,IF(A80='Données projet'!$A$114,'Données projet'!$B$114,BY79+BX80-CG79)))</f>
        <v>113.20299999999997</v>
      </c>
      <c r="BZ80" s="14">
        <f>BY80*VLOOKUP('Données projet'!$B$12,Paramètres!$A$1:$I$89,3,0)*VLOOKUP('Données projet'!$B$12,Paramètres!$A$1:$I$89,5,0)</f>
        <v>113.0218752</v>
      </c>
      <c r="CA80" s="14">
        <f t="shared" si="93"/>
        <v>30.041835067850364</v>
      </c>
      <c r="CB80" s="22">
        <f t="shared" si="64"/>
        <v>249.16929538317268</v>
      </c>
      <c r="CC80" s="62">
        <f t="shared" si="65"/>
        <v>542.50262871650602</v>
      </c>
      <c r="CD80" s="62">
        <f ca="1">AVERAGE(OFFSET($CC$3,0,0,'Données projet'!$E$12+1,1))-AVERAGE(OFFSET($H$3,0,0,'Données projet'!$E$12+1,1))</f>
        <v>112.34884104798977</v>
      </c>
      <c r="CE80" s="62">
        <f t="shared" si="94"/>
        <v>18.665658139749326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9.9839958604163055</v>
      </c>
      <c r="CL80" s="23">
        <f>EXP(-LN(2)/25)*CL79+(1-EXP(-LN(2)/25))/(LN(2)/25)*Calculateur!CG80*Calculateur!CI80*VLOOKUP('Données projet'!$B$12,Paramètres!$A$1:$I$89,3,0)*0.475*44/12</f>
        <v>7.0564815981550471</v>
      </c>
      <c r="CM80" s="23">
        <f>EXP(-LN(2)/2)*CM79+(1-EXP(-LN(2)/2))/(LN(2)/2)*CG80*CJ80*VLOOKUP('Données projet'!$B$12,Paramètres!$A$1:$I$89,3,0)*0.475*44/12</f>
        <v>3.3538568801561161E-4</v>
      </c>
      <c r="CN80" s="24">
        <f t="shared" si="66"/>
        <v>17.040812844259367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-1.1368683772161603E-13</v>
      </c>
      <c r="CU80" s="18">
        <f>CT80*VLOOKUP('Données projet'!$B$13,Paramètres!$A$1:$I$89,3,0)*VLOOKUP('Données projet'!$B$13,Paramètres!$A$1:$I$89,5,0)</f>
        <v>-1.2414602679200469E-13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205.21073681197737</v>
      </c>
      <c r="CZ80" s="62">
        <f t="shared" si="96"/>
        <v>175.16446313750316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50.984650619003425</v>
      </c>
      <c r="DG80" s="23">
        <f>EXP(-LN(2)/25)*DG79+(1-EXP(-LN(2)/25))/(LN(2)/25)*Calculateur!DB80*Calculateur!DD80*VLOOKUP('Données projet'!$B$13,Paramètres!$A$1:$I$89,3,0)*0.475*44/12</f>
        <v>19.805156231425499</v>
      </c>
      <c r="DH80" s="23">
        <f>EXP(-LN(2)/2)*DH79+(1-EXP(-LN(2)/2))/(LN(2)/2)*DB80*DE80*VLOOKUP('Données projet'!$B$13,Paramètres!$A$1:$I$89,3,0)*0.475*44/12</f>
        <v>2.9967490935634288E-4</v>
      </c>
      <c r="DI80" s="24">
        <f t="shared" si="69"/>
        <v>70.790106525338288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2.2737367544323206E-13</v>
      </c>
      <c r="DP80" s="18">
        <f>DO80*VLOOKUP('Données projet'!$B$14,Paramètres!$A$1:$I$89,3,0)*VLOOKUP('Données projet'!$B$14,Paramètres!$A$1:$I$89,5,0)</f>
        <v>1.8444552551954985E-13</v>
      </c>
      <c r="DQ80" s="14">
        <f t="shared" si="97"/>
        <v>2.580317449479618E-12</v>
      </c>
      <c r="DR80" s="22">
        <f t="shared" si="70"/>
        <v>4.8152955147902165E-12</v>
      </c>
      <c r="DS80" s="62">
        <f t="shared" si="71"/>
        <v>293.33333333333815</v>
      </c>
      <c r="DT80" s="62">
        <f ca="1">AVERAGE(OFFSET($DS$3,0,0,'Données projet'!$E$14+1,1))-AVERAGE(OFFSET($H$3,0,0,'Données projet'!$E$14+1,1))</f>
        <v>223.63222290670075</v>
      </c>
      <c r="DU80" s="62">
        <f t="shared" si="98"/>
        <v>290.02663909417248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54.291205562841611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0.26319962209204284</v>
      </c>
      <c r="ED80" s="24">
        <f t="shared" si="72"/>
        <v>54.554405184933657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352.92871180627031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192.24617268603629</v>
      </c>
      <c r="T81" s="62">
        <f t="shared" si="88"/>
        <v>192.48585280662832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61.60519945204107</v>
      </c>
      <c r="AA81" s="23">
        <f>EXP(-LN(2)/25)*AA80+(1-EXP(-LN(2)/25))/(LN(2)/25)*Calculateur!V81*Calculateur!X81*VLOOKUP('Données projet'!$B$9,Paramètres!$A$1:$I$89,3,0)*0.475*44/12</f>
        <v>19.245923795812626</v>
      </c>
      <c r="AB81" s="23">
        <f>EXP(-LN(2)/2)*AB80+(1-EXP(-LN(2)/2))/(LN(2)/2)*V81*Y81*VLOOKUP('Données projet'!$B$9,Paramètres!$A$1:$I$89,3,0)*0.475*44/12</f>
        <v>8.1965961361831999E-2</v>
      </c>
      <c r="AC81" s="24">
        <f t="shared" si="57"/>
        <v>80.933089209215524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1.9999999998958629E-3</v>
      </c>
      <c r="AJ81" s="14">
        <f>AI81*VLOOKUP('Données projet'!$B$10,Paramètres!$A$1:$I$89,3,0)*VLOOKUP('Données projet'!$B$10,Paramètres!$A$1:$I$89,5,0)</f>
        <v>1.195999999937726E-3</v>
      </c>
      <c r="AK81" s="14">
        <f t="shared" si="89"/>
        <v>1.2062444695752218E-3</v>
      </c>
      <c r="AL81" s="22">
        <f t="shared" si="58"/>
        <v>4.1839091177350513E-3</v>
      </c>
      <c r="AM81" s="62">
        <f t="shared" si="59"/>
        <v>293.33751724245104</v>
      </c>
      <c r="AN81" s="62">
        <f ca="1">AVERAGE(OFFSET($AM$3,0,0,'Données projet'!$E$10+1,1))-AVERAGE(OFFSET($H$3,0,0,'Données projet'!$E$10+1,1))</f>
        <v>164.64952352018145</v>
      </c>
      <c r="AO81" s="62">
        <f t="shared" si="90"/>
        <v>280.08682720086921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30.807604508030028</v>
      </c>
      <c r="AV81" s="23">
        <f>EXP(-LN(2)/25)*AV80+(1-EXP(-LN(2)/25))/(LN(2)/25)*Calculateur!AQ81*Calculateur!AS81*VLOOKUP('Données projet'!$B$10,Paramètres!$A$1:$I$89,3,0)*0.475*44/12</f>
        <v>8.5003888258120117</v>
      </c>
      <c r="AW81" s="23">
        <f>EXP(-LN(2)/2)*AW80+(1-EXP(-LN(2)/2))/(LN(2)/2)*AQ81*AT81*VLOOKUP('Données projet'!$B$10,Paramètres!$A$1:$I$89,3,0)*0.475*44/12</f>
        <v>3.2319014067952153E-5</v>
      </c>
      <c r="AX81" s="23">
        <f t="shared" si="60"/>
        <v>39.308025652856109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>
        <f>VLOOKUP(A81,'Données projet'!$A$87:$I$107,2,0)</f>
        <v>241.07999999999998</v>
      </c>
      <c r="BB81" s="13">
        <f>VLOOKUP(A81,'Données projet'!$A$87:$I$107,9,0)</f>
        <v>8.9799999999999951</v>
      </c>
      <c r="BC81" s="13">
        <f t="array" ref="BC81">INDEX(BB:BB,MIN(IF(ISNUMBER(BB81:BB277),ROW(BB81:BB277),"")))</f>
        <v>8.9799999999999951</v>
      </c>
      <c r="BD81" s="13">
        <f>IF('Données projet'!$A$88&gt;35,BD80+BC81-BL80,IF(A81&lt;'Données projet'!$A$88,$BA$205^A81,IF(A81='Données projet'!$A$88,'Données projet'!$B$88,BD80+BC81-BL80)))</f>
        <v>241.07999999999996</v>
      </c>
      <c r="BE81" s="14">
        <f>BD81*VLOOKUP('Données projet'!$B$11,Paramètres!$A$1:$I$89,3,0)*VLOOKUP('Données projet'!$B$11,Paramètres!$A$1:$I$89,5,0)</f>
        <v>203.08579199999997</v>
      </c>
      <c r="BF81" s="14">
        <f t="shared" si="91"/>
        <v>50.421725909972324</v>
      </c>
      <c r="BG81" s="22">
        <f t="shared" si="61"/>
        <v>441.5255936932017</v>
      </c>
      <c r="BH81" s="62">
        <f t="shared" si="62"/>
        <v>734.85892702653496</v>
      </c>
      <c r="BI81" s="62">
        <f ca="1">AVERAGE(OFFSET($BH$3,0,0,'Données projet'!$E$11+1,1))-AVERAGE(OFFSET($H$3,0,0,'Données projet'!$E$11+1,1))</f>
        <v>339.58585574836434</v>
      </c>
      <c r="BJ81" s="62">
        <f t="shared" si="92"/>
        <v>42.267525972379588</v>
      </c>
      <c r="BK81" s="16">
        <f>IF(ISNA(VLOOKUP(A81,'Données projet'!$A$87:$I$107,3,0)),0,VLOOKUP(A81,'Données projet'!$A$87:$I$107,3,0))</f>
        <v>9</v>
      </c>
      <c r="BL81" s="16">
        <f>IF(ISNA(VLOOKUP(A81,'Données projet'!$A$87:$I$107,4,0)),0,VLOOKUP(A81,'Données projet'!$A$87:$I$107,4,0))</f>
        <v>29.4</v>
      </c>
      <c r="BM81" s="17">
        <f>IF(ISNA(VLOOKUP(A81,'Données projet'!$A$87:$I$107,5,0)),0%,VLOOKUP(A81,'Données projet'!$A$87:$I$107,5,0)*VLOOKUP('Données projet'!$B$11,Paramètres!$A$1:$I$89,7,0))</f>
        <v>0.17200000000000001</v>
      </c>
      <c r="BN81" s="17">
        <f>IF(ISNA(VLOOKUP(A81,'Données projet'!$A$87:$I$107,6,0)),0%,VLOOKUP(A81,'Données projet'!$A$87:$I$107,6,0)*VLOOKUP('Données projet'!$B$11,Paramètres!$A$1:$I$89,7,0))</f>
        <v>0.129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13.40315955455152</v>
      </c>
      <c r="BQ81" s="23">
        <f>EXP(-LN(2)/25)*BQ80+(1-EXP(-LN(2)/25))/(LN(2)/25)*Calculateur!BL81*Calculateur!BN81*VLOOKUP('Données projet'!$B$11,Paramètres!$A$1:$I$89,3,0)*0.475*44/12</f>
        <v>11.933636397844289</v>
      </c>
      <c r="BR81" s="23">
        <f>EXP(-LN(2)/2)*BR80+(1-EXP(-LN(2)/2))/(LN(2)/2)*BL81*BO81*VLOOKUP('Données projet'!$B$11,Paramètres!$A$1:$I$89,3,0)*0.475*44/12</f>
        <v>1.8630777143150826E-2</v>
      </c>
      <c r="BS81" s="24">
        <f t="shared" si="63"/>
        <v>25.355426729538962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3.6790000000000007</v>
      </c>
      <c r="BY81" s="13">
        <f>IF('Données projet'!$A$114&gt;35,BY80+BX81-CG80,IF(A81&lt;'Données projet'!$A$114,$BV$205^A81,IF(A81='Données projet'!$A$114,'Données projet'!$B$114,BY80+BX81-CG80)))</f>
        <v>116.88199999999998</v>
      </c>
      <c r="BZ81" s="14">
        <f>BY81*VLOOKUP('Données projet'!$B$12,Paramètres!$A$1:$I$89,3,0)*VLOOKUP('Données projet'!$B$12,Paramètres!$A$1:$I$89,5,0)</f>
        <v>116.69498879999998</v>
      </c>
      <c r="CA81" s="14">
        <f t="shared" si="93"/>
        <v>30.902911252219333</v>
      </c>
      <c r="CB81" s="22">
        <f t="shared" si="64"/>
        <v>257.06634259094864</v>
      </c>
      <c r="CC81" s="62">
        <f t="shared" si="65"/>
        <v>550.39967592428195</v>
      </c>
      <c r="CD81" s="62">
        <f ca="1">AVERAGE(OFFSET($CC$3,0,0,'Données projet'!$E$12+1,1))-AVERAGE(OFFSET($H$3,0,0,'Données projet'!$E$12+1,1))</f>
        <v>112.34884104798977</v>
      </c>
      <c r="CE81" s="62">
        <f t="shared" si="94"/>
        <v>18.665658139749326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9.7882157912297156</v>
      </c>
      <c r="CL81" s="23">
        <f>EXP(-LN(2)/25)*CL80+(1-EXP(-LN(2)/25))/(LN(2)/25)*Calculateur!CG81*Calculateur!CI81*VLOOKUP('Données projet'!$B$12,Paramètres!$A$1:$I$89,3,0)*0.475*44/12</f>
        <v>6.8635217377692577</v>
      </c>
      <c r="CM81" s="23">
        <f>EXP(-LN(2)/2)*CM80+(1-EXP(-LN(2)/2))/(LN(2)/2)*CG81*CJ81*VLOOKUP('Données projet'!$B$12,Paramètres!$A$1:$I$89,3,0)*0.475*44/12</f>
        <v>2.3715349430875477E-4</v>
      </c>
      <c r="CN81" s="24">
        <f t="shared" si="66"/>
        <v>16.651974682493279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-1.1368683772161603E-13</v>
      </c>
      <c r="CU81" s="18">
        <f>CT81*VLOOKUP('Données projet'!$B$13,Paramètres!$A$1:$I$89,3,0)*VLOOKUP('Données projet'!$B$13,Paramètres!$A$1:$I$89,5,0)</f>
        <v>-1.2414602679200469E-13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205.21073681197737</v>
      </c>
      <c r="CZ81" s="62">
        <f t="shared" si="96"/>
        <v>175.16446313750316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49.984872717931019</v>
      </c>
      <c r="DG81" s="23">
        <f>EXP(-LN(2)/25)*DG80+(1-EXP(-LN(2)/25))/(LN(2)/25)*Calculateur!DB81*Calculateur!DD81*VLOOKUP('Données projet'!$B$13,Paramètres!$A$1:$I$89,3,0)*0.475*44/12</f>
        <v>19.263583192769268</v>
      </c>
      <c r="DH81" s="23">
        <f>EXP(-LN(2)/2)*DH80+(1-EXP(-LN(2)/2))/(LN(2)/2)*DB81*DE81*VLOOKUP('Données projet'!$B$13,Paramètres!$A$1:$I$89,3,0)*0.475*44/12</f>
        <v>2.1190216055733401E-4</v>
      </c>
      <c r="DI81" s="24">
        <f t="shared" si="69"/>
        <v>69.248667812860845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2.2737367544323206E-13</v>
      </c>
      <c r="DP81" s="18">
        <f>DO81*VLOOKUP('Données projet'!$B$14,Paramètres!$A$1:$I$89,3,0)*VLOOKUP('Données projet'!$B$14,Paramètres!$A$1:$I$89,5,0)</f>
        <v>1.8444552551954985E-13</v>
      </c>
      <c r="DQ81" s="14">
        <f t="shared" si="97"/>
        <v>2.580317449479618E-12</v>
      </c>
      <c r="DR81" s="22">
        <f t="shared" si="70"/>
        <v>4.8152955147902165E-12</v>
      </c>
      <c r="DS81" s="62">
        <f t="shared" si="71"/>
        <v>293.33333333333815</v>
      </c>
      <c r="DT81" s="62">
        <f ca="1">AVERAGE(OFFSET($DS$3,0,0,'Données projet'!$E$14+1,1))-AVERAGE(OFFSET($H$3,0,0,'Données projet'!$E$14+1,1))</f>
        <v>223.63222290670075</v>
      </c>
      <c r="DU81" s="62">
        <f t="shared" si="98"/>
        <v>290.02663909417248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53.226588136119908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0.18611023758702014</v>
      </c>
      <c r="ED81" s="24">
        <f t="shared" si="72"/>
        <v>53.412698373706931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354.12969276420569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192.24617268603629</v>
      </c>
      <c r="T82" s="62">
        <f t="shared" si="88"/>
        <v>192.48585280662832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60.397159066247944</v>
      </c>
      <c r="AA82" s="23">
        <f>EXP(-LN(2)/25)*AA81+(1-EXP(-LN(2)/25))/(LN(2)/25)*Calculateur!V82*Calculateur!X82*VLOOKUP('Données projet'!$B$9,Paramètres!$A$1:$I$89,3,0)*0.475*44/12</f>
        <v>18.719642997516985</v>
      </c>
      <c r="AB82" s="23">
        <f>EXP(-LN(2)/2)*AB81+(1-EXP(-LN(2)/2))/(LN(2)/2)*V82*Y82*VLOOKUP('Données projet'!$B$9,Paramètres!$A$1:$I$89,3,0)*0.475*44/12</f>
        <v>5.7958687105425954E-2</v>
      </c>
      <c r="AC82" s="24">
        <f t="shared" si="57"/>
        <v>79.174760750870362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1.9999999998958629E-3</v>
      </c>
      <c r="AJ82" s="14">
        <f>AI82*VLOOKUP('Données projet'!$B$10,Paramètres!$A$1:$I$89,3,0)*VLOOKUP('Données projet'!$B$10,Paramètres!$A$1:$I$89,5,0)</f>
        <v>1.195999999937726E-3</v>
      </c>
      <c r="AK82" s="14">
        <f t="shared" si="89"/>
        <v>1.2062444695752218E-3</v>
      </c>
      <c r="AL82" s="22">
        <f t="shared" si="58"/>
        <v>4.1839091177350513E-3</v>
      </c>
      <c r="AM82" s="62">
        <f t="shared" si="59"/>
        <v>293.33751724245104</v>
      </c>
      <c r="AN82" s="62">
        <f ca="1">AVERAGE(OFFSET($AM$3,0,0,'Données projet'!$E$10+1,1))-AVERAGE(OFFSET($H$3,0,0,'Données projet'!$E$10+1,1))</f>
        <v>164.64952352018145</v>
      </c>
      <c r="AO82" s="62">
        <f t="shared" si="90"/>
        <v>280.08682720086921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30.203486174410873</v>
      </c>
      <c r="AV82" s="23">
        <f>EXP(-LN(2)/25)*AV81+(1-EXP(-LN(2)/25))/(LN(2)/25)*Calculateur!AQ82*Calculateur!AS82*VLOOKUP('Données projet'!$B$10,Paramètres!$A$1:$I$89,3,0)*0.475*44/12</f>
        <v>8.2679452463541612</v>
      </c>
      <c r="AW82" s="23">
        <f>EXP(-LN(2)/2)*AW81+(1-EXP(-LN(2)/2))/(LN(2)/2)*AQ82*AT82*VLOOKUP('Données projet'!$B$10,Paramètres!$A$1:$I$89,3,0)*0.475*44/12</f>
        <v>2.2852994008712394E-5</v>
      </c>
      <c r="AX82" s="23">
        <f t="shared" si="60"/>
        <v>38.471454273759043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9.1199999999999992</v>
      </c>
      <c r="BD82" s="13">
        <f>IF('Données projet'!$A$88&gt;35,BD81+BC82-BL81,IF(A82&lt;'Données projet'!$A$88,$BA$205^A82,IF(A82='Données projet'!$A$88,'Données projet'!$B$88,BD81+BC82-BL81)))</f>
        <v>220.79999999999995</v>
      </c>
      <c r="BE82" s="14">
        <f>BD82*VLOOKUP('Données projet'!$B$11,Paramètres!$A$1:$I$89,3,0)*VLOOKUP('Données projet'!$B$11,Paramètres!$A$1:$I$89,5,0)</f>
        <v>186.00191999999998</v>
      </c>
      <c r="BF82" s="14">
        <f t="shared" si="91"/>
        <v>46.654943043246</v>
      </c>
      <c r="BG82" s="22">
        <f t="shared" si="61"/>
        <v>405.2107031336534</v>
      </c>
      <c r="BH82" s="62">
        <f t="shared" si="62"/>
        <v>698.54403646698665</v>
      </c>
      <c r="BI82" s="62">
        <f ca="1">AVERAGE(OFFSET($BH$3,0,0,'Données projet'!$E$11+1,1))-AVERAGE(OFFSET($H$3,0,0,'Données projet'!$E$11+1,1))</f>
        <v>339.58585574836434</v>
      </c>
      <c r="BJ82" s="62">
        <f t="shared" si="92"/>
        <v>42.267525972379588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13.140331770806867</v>
      </c>
      <c r="BQ82" s="23">
        <f>EXP(-LN(2)/25)*BQ81+(1-EXP(-LN(2)/25))/(LN(2)/25)*Calculateur!BL82*Calculateur!BN82*VLOOKUP('Données projet'!$B$11,Paramètres!$A$1:$I$89,3,0)*0.475*44/12</f>
        <v>11.607310482982573</v>
      </c>
      <c r="BR82" s="23">
        <f>EXP(-LN(2)/2)*BR81+(1-EXP(-LN(2)/2))/(LN(2)/2)*BL82*BO82*VLOOKUP('Données projet'!$B$11,Paramètres!$A$1:$I$89,3,0)*0.475*44/12</f>
        <v>1.3173948856697282E-2</v>
      </c>
      <c r="BS82" s="24">
        <f t="shared" si="63"/>
        <v>24.760816202646136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3.6790000000000007</v>
      </c>
      <c r="BY82" s="13">
        <f>IF('Données projet'!$A$114&gt;35,BY81+BX82-CG81,IF(A82&lt;'Données projet'!$A$114,$BV$205^A82,IF(A82='Données projet'!$A$114,'Données projet'!$B$114,BY81+BX82-CG81)))</f>
        <v>120.56099999999998</v>
      </c>
      <c r="BZ82" s="14">
        <f>BY82*VLOOKUP('Données projet'!$B$12,Paramètres!$A$1:$I$89,3,0)*VLOOKUP('Données projet'!$B$12,Paramètres!$A$1:$I$89,5,0)</f>
        <v>120.36810239999998</v>
      </c>
      <c r="CA82" s="14">
        <f t="shared" si="93"/>
        <v>31.760837824006568</v>
      </c>
      <c r="CB82" s="22">
        <f t="shared" si="64"/>
        <v>264.95790422347807</v>
      </c>
      <c r="CC82" s="62">
        <f t="shared" si="65"/>
        <v>558.29123755681144</v>
      </c>
      <c r="CD82" s="62">
        <f ca="1">AVERAGE(OFFSET($CC$3,0,0,'Données projet'!$E$12+1,1))-AVERAGE(OFFSET($H$3,0,0,'Données projet'!$E$12+1,1))</f>
        <v>112.34884104798977</v>
      </c>
      <c r="CE82" s="62">
        <f t="shared" si="94"/>
        <v>18.665658139749326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9.5962748497858232</v>
      </c>
      <c r="CL82" s="23">
        <f>EXP(-LN(2)/25)*CL81+(1-EXP(-LN(2)/25))/(LN(2)/25)*Calculateur!CG82*Calculateur!CI82*VLOOKUP('Données projet'!$B$12,Paramètres!$A$1:$I$89,3,0)*0.475*44/12</f>
        <v>6.6758383749130363</v>
      </c>
      <c r="CM82" s="23">
        <f>EXP(-LN(2)/2)*CM81+(1-EXP(-LN(2)/2))/(LN(2)/2)*CG82*CJ82*VLOOKUP('Données projet'!$B$12,Paramètres!$A$1:$I$89,3,0)*0.475*44/12</f>
        <v>1.676928440078058E-4</v>
      </c>
      <c r="CN82" s="24">
        <f t="shared" si="66"/>
        <v>16.272280917542869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-1.1368683772161603E-13</v>
      </c>
      <c r="CU82" s="18">
        <f>CT82*VLOOKUP('Données projet'!$B$13,Paramètres!$A$1:$I$89,3,0)*VLOOKUP('Données projet'!$B$13,Paramètres!$A$1:$I$89,5,0)</f>
        <v>-1.2414602679200469E-13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205.21073681197737</v>
      </c>
      <c r="CZ82" s="62">
        <f t="shared" si="96"/>
        <v>175.16446313750316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49.004699851694333</v>
      </c>
      <c r="DG82" s="23">
        <f>EXP(-LN(2)/25)*DG81+(1-EXP(-LN(2)/25))/(LN(2)/25)*Calculateur!DB82*Calculateur!DD82*VLOOKUP('Données projet'!$B$13,Paramètres!$A$1:$I$89,3,0)*0.475*44/12</f>
        <v>18.73681949733518</v>
      </c>
      <c r="DH82" s="23">
        <f>EXP(-LN(2)/2)*DH81+(1-EXP(-LN(2)/2))/(LN(2)/2)*DB82*DE82*VLOOKUP('Données projet'!$B$13,Paramètres!$A$1:$I$89,3,0)*0.475*44/12</f>
        <v>1.4983745467817144E-4</v>
      </c>
      <c r="DI82" s="24">
        <f t="shared" si="69"/>
        <v>67.741669186484188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2.2737367544323206E-13</v>
      </c>
      <c r="DP82" s="18">
        <f>DO82*VLOOKUP('Données projet'!$B$14,Paramètres!$A$1:$I$89,3,0)*VLOOKUP('Données projet'!$B$14,Paramètres!$A$1:$I$89,5,0)</f>
        <v>1.8444552551954985E-13</v>
      </c>
      <c r="DQ82" s="14">
        <f t="shared" si="97"/>
        <v>2.580317449479618E-12</v>
      </c>
      <c r="DR82" s="22">
        <f t="shared" si="70"/>
        <v>4.8152955147902165E-12</v>
      </c>
      <c r="DS82" s="62">
        <f t="shared" si="71"/>
        <v>293.33333333333815</v>
      </c>
      <c r="DT82" s="62">
        <f ca="1">AVERAGE(OFFSET($DS$3,0,0,'Données projet'!$E$14+1,1))-AVERAGE(OFFSET($H$3,0,0,'Données projet'!$E$14+1,1))</f>
        <v>223.63222290670075</v>
      </c>
      <c r="DU82" s="62">
        <f t="shared" si="98"/>
        <v>290.02663909417248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52.182847207783709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0.13159981104602142</v>
      </c>
      <c r="ED82" s="24">
        <f t="shared" si="72"/>
        <v>52.314447018829732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355.33030558297088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192.24617268603629</v>
      </c>
      <c r="T83" s="62">
        <f t="shared" si="88"/>
        <v>192.48585280662832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59.212807615588339</v>
      </c>
      <c r="AA83" s="23">
        <f>EXP(-LN(2)/25)*AA82+(1-EXP(-LN(2)/25))/(LN(2)/25)*Calculateur!V83*Calculateur!X83*VLOOKUP('Données projet'!$B$9,Paramètres!$A$1:$I$89,3,0)*0.475*44/12</f>
        <v>18.207753375326643</v>
      </c>
      <c r="AB83" s="23">
        <f>EXP(-LN(2)/2)*AB82+(1-EXP(-LN(2)/2))/(LN(2)/2)*V83*Y83*VLOOKUP('Données projet'!$B$9,Paramètres!$A$1:$I$89,3,0)*0.475*44/12</f>
        <v>4.0982980680916006E-2</v>
      </c>
      <c r="AC83" s="24">
        <f t="shared" si="57"/>
        <v>77.461543971595901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1.9999999998958629E-3</v>
      </c>
      <c r="AJ83" s="14">
        <f>AI83*VLOOKUP('Données projet'!$B$10,Paramètres!$A$1:$I$89,3,0)*VLOOKUP('Données projet'!$B$10,Paramètres!$A$1:$I$89,5,0)</f>
        <v>1.195999999937726E-3</v>
      </c>
      <c r="AK83" s="14">
        <f t="shared" si="89"/>
        <v>1.2062444695752218E-3</v>
      </c>
      <c r="AL83" s="22">
        <f t="shared" si="58"/>
        <v>4.1839091177350513E-3</v>
      </c>
      <c r="AM83" s="62">
        <f t="shared" si="59"/>
        <v>293.33751724245104</v>
      </c>
      <c r="AN83" s="62">
        <f ca="1">AVERAGE(OFFSET($AM$3,0,0,'Données projet'!$E$10+1,1))-AVERAGE(OFFSET($H$3,0,0,'Données projet'!$E$10+1,1))</f>
        <v>164.64952352018145</v>
      </c>
      <c r="AO83" s="62">
        <f t="shared" si="90"/>
        <v>280.08682720086921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29.61121423283819</v>
      </c>
      <c r="AV83" s="23">
        <f>EXP(-LN(2)/25)*AV82+(1-EXP(-LN(2)/25))/(LN(2)/25)*Calculateur!AQ83*Calculateur!AS83*VLOOKUP('Données projet'!$B$10,Paramètres!$A$1:$I$89,3,0)*0.475*44/12</f>
        <v>8.0418578488002623</v>
      </c>
      <c r="AW83" s="23">
        <f>EXP(-LN(2)/2)*AW82+(1-EXP(-LN(2)/2))/(LN(2)/2)*AQ83*AT83*VLOOKUP('Données projet'!$B$10,Paramètres!$A$1:$I$89,3,0)*0.475*44/12</f>
        <v>1.6159507033976076E-5</v>
      </c>
      <c r="AX83" s="23">
        <f t="shared" si="60"/>
        <v>37.65308824114549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9.1199999999999992</v>
      </c>
      <c r="BD83" s="13">
        <f>IF('Données projet'!$A$88&gt;35,BD82+BC83-BL82,IF(A83&lt;'Données projet'!$A$88,$BA$205^A83,IF(A83='Données projet'!$A$88,'Données projet'!$B$88,BD82+BC83-BL82)))</f>
        <v>229.91999999999996</v>
      </c>
      <c r="BE83" s="14">
        <f>BD83*VLOOKUP('Données projet'!$B$11,Paramètres!$A$1:$I$89,3,0)*VLOOKUP('Données projet'!$B$11,Paramètres!$A$1:$I$89,5,0)</f>
        <v>193.684608</v>
      </c>
      <c r="BF83" s="14">
        <f t="shared" si="91"/>
        <v>48.353654515420509</v>
      </c>
      <c r="BG83" s="22">
        <f t="shared" si="61"/>
        <v>421.54997388102402</v>
      </c>
      <c r="BH83" s="62">
        <f t="shared" si="62"/>
        <v>714.88330721435727</v>
      </c>
      <c r="BI83" s="62">
        <f ca="1">AVERAGE(OFFSET($BH$3,0,0,'Données projet'!$E$11+1,1))-AVERAGE(OFFSET($H$3,0,0,'Données projet'!$E$11+1,1))</f>
        <v>339.58585574836434</v>
      </c>
      <c r="BJ83" s="62">
        <f t="shared" si="92"/>
        <v>42.267525972379588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12.882657879592328</v>
      </c>
      <c r="BQ83" s="23">
        <f>EXP(-LN(2)/25)*BQ82+(1-EXP(-LN(2)/25))/(LN(2)/25)*Calculateur!BL83*Calculateur!BN83*VLOOKUP('Données projet'!$B$11,Paramètres!$A$1:$I$89,3,0)*0.475*44/12</f>
        <v>11.289907967423485</v>
      </c>
      <c r="BR83" s="23">
        <f>EXP(-LN(2)/2)*BR82+(1-EXP(-LN(2)/2))/(LN(2)/2)*BL83*BO83*VLOOKUP('Données projet'!$B$11,Paramètres!$A$1:$I$89,3,0)*0.475*44/12</f>
        <v>9.3153885715754128E-3</v>
      </c>
      <c r="BS83" s="24">
        <f t="shared" si="63"/>
        <v>24.181881235587387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124.24</v>
      </c>
      <c r="BW83" s="13">
        <f>VLOOKUP(A83,'Données projet'!$A$113:$I$133,9,0)</f>
        <v>3.6790000000000007</v>
      </c>
      <c r="BX83" s="13">
        <f t="array" ref="BX83">INDEX(BW:BW,MIN(IF(ISNUMBER(BW83:BW279),ROW(BW83:BW279),"")))</f>
        <v>3.6790000000000007</v>
      </c>
      <c r="BY83" s="13">
        <f>IF('Données projet'!$A$114&gt;35,BY82+BX83-CG82,IF(A83&lt;'Données projet'!$A$114,$BV$205^A83,IF(A83='Données projet'!$A$114,'Données projet'!$B$114,BY82+BX83-CG82)))</f>
        <v>124.23999999999998</v>
      </c>
      <c r="BZ83" s="14">
        <f>BY83*VLOOKUP('Données projet'!$B$12,Paramètres!$A$1:$I$89,3,0)*VLOOKUP('Données projet'!$B$12,Paramètres!$A$1:$I$89,5,0)</f>
        <v>124.04121599999998</v>
      </c>
      <c r="CA83" s="14">
        <f t="shared" si="93"/>
        <v>32.615721926647446</v>
      </c>
      <c r="CB83" s="22">
        <f t="shared" si="64"/>
        <v>272.84416688891093</v>
      </c>
      <c r="CC83" s="62">
        <f t="shared" si="65"/>
        <v>566.17750022224425</v>
      </c>
      <c r="CD83" s="62">
        <f ca="1">AVERAGE(OFFSET($CC$3,0,0,'Données projet'!$E$12+1,1))-AVERAGE(OFFSET($H$3,0,0,'Données projet'!$E$12+1,1))</f>
        <v>112.34884104798977</v>
      </c>
      <c r="CE83" s="62">
        <f t="shared" si="94"/>
        <v>18.665658139749326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13.5</v>
      </c>
      <c r="CH83" s="17">
        <f>IF(ISNA(VLOOKUP(A83,'Données projet'!$A$113:$I$133,5,0)),0%,VLOOKUP(A83,'Données projet'!$A$113:$I$133,5,0)*VLOOKUP('Données projet'!$B$12,Paramètres!$A$1:$I$89,7,0))</f>
        <v>0.25800000000000001</v>
      </c>
      <c r="CI83" s="17">
        <f>IF(ISNA(VLOOKUP(A83,'Données projet'!$A$113:$I$133,6,0)),0%,VLOOKUP(A83,'Données projet'!$A$113:$I$133,6,0)*VLOOKUP('Données projet'!$B$12,Paramètres!$A$1:$I$89,7,0))</f>
        <v>8.6000000000000007E-2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13.252290519713435</v>
      </c>
      <c r="CL83" s="23">
        <f>EXP(-LN(2)/25)*CL82+(1-EXP(-LN(2)/25))/(LN(2)/25)*Calculateur!CG83*Calculateur!CI83*VLOOKUP('Données projet'!$B$12,Paramètres!$A$1:$I$89,3,0)*0.475*44/12</f>
        <v>7.7696394617865874</v>
      </c>
      <c r="CM83" s="23">
        <f>EXP(-LN(2)/2)*CM82+(1-EXP(-LN(2)/2))/(LN(2)/2)*CG83*CJ83*VLOOKUP('Données projet'!$B$12,Paramètres!$A$1:$I$89,3,0)*0.475*44/12</f>
        <v>1.1857674715437739E-4</v>
      </c>
      <c r="CN83" s="24">
        <f t="shared" si="66"/>
        <v>21.022048558247178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-1.1368683772161603E-13</v>
      </c>
      <c r="CU83" s="18">
        <f>CT83*VLOOKUP('Données projet'!$B$13,Paramètres!$A$1:$I$89,3,0)*VLOOKUP('Données projet'!$B$13,Paramètres!$A$1:$I$89,5,0)</f>
        <v>-1.2414602679200469E-13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205.21073681197737</v>
      </c>
      <c r="CZ83" s="62">
        <f t="shared" si="96"/>
        <v>175.16446313750316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48.043747577518133</v>
      </c>
      <c r="DG83" s="23">
        <f>EXP(-LN(2)/25)*DG82+(1-EXP(-LN(2)/25))/(LN(2)/25)*Calculateur!DB83*Calculateur!DD83*VLOOKUP('Données projet'!$B$13,Paramètres!$A$1:$I$89,3,0)*0.475*44/12</f>
        <v>18.224460182854035</v>
      </c>
      <c r="DH83" s="23">
        <f>EXP(-LN(2)/2)*DH82+(1-EXP(-LN(2)/2))/(LN(2)/2)*DB83*DE83*VLOOKUP('Données projet'!$B$13,Paramètres!$A$1:$I$89,3,0)*0.475*44/12</f>
        <v>1.05951080278667E-4</v>
      </c>
      <c r="DI83" s="24">
        <f t="shared" si="69"/>
        <v>66.268313711452436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2.2737367544323206E-13</v>
      </c>
      <c r="DP83" s="18">
        <f>DO83*VLOOKUP('Données projet'!$B$14,Paramètres!$A$1:$I$89,3,0)*VLOOKUP('Données projet'!$B$14,Paramètres!$A$1:$I$89,5,0)</f>
        <v>1.8444552551954985E-13</v>
      </c>
      <c r="DQ83" s="14">
        <f t="shared" si="97"/>
        <v>2.580317449479618E-12</v>
      </c>
      <c r="DR83" s="22">
        <f t="shared" si="70"/>
        <v>4.8152955147902165E-12</v>
      </c>
      <c r="DS83" s="62">
        <f t="shared" si="71"/>
        <v>293.33333333333815</v>
      </c>
      <c r="DT83" s="62">
        <f ca="1">AVERAGE(OFFSET($DS$3,0,0,'Données projet'!$E$14+1,1))-AVERAGE(OFFSET($H$3,0,0,'Données projet'!$E$14+1,1))</f>
        <v>223.63222290670075</v>
      </c>
      <c r="DU83" s="62">
        <f t="shared" si="98"/>
        <v>290.02663909417248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51.159573402433075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9.3055118793510069E-2</v>
      </c>
      <c r="ED83" s="24">
        <f t="shared" si="72"/>
        <v>51.252628521226583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356.53055539648136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192.24617268603629</v>
      </c>
      <c r="T84" s="62">
        <f t="shared" si="88"/>
        <v>192.48585280662832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58.051680574493112</v>
      </c>
      <c r="AA84" s="23">
        <f>EXP(-LN(2)/25)*AA83+(1-EXP(-LN(2)/25))/(LN(2)/25)*Calculateur!V84*Calculateur!X84*VLOOKUP('Données projet'!$B$9,Paramètres!$A$1:$I$89,3,0)*0.475*44/12</f>
        <v>17.709861401774202</v>
      </c>
      <c r="AB84" s="23">
        <f>EXP(-LN(2)/2)*AB83+(1-EXP(-LN(2)/2))/(LN(2)/2)*V84*Y84*VLOOKUP('Données projet'!$B$9,Paramètres!$A$1:$I$89,3,0)*0.475*44/12</f>
        <v>2.8979343552712981E-2</v>
      </c>
      <c r="AC84" s="24">
        <f t="shared" si="57"/>
        <v>75.790521319820016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1.9999999998958629E-3</v>
      </c>
      <c r="AJ84" s="14">
        <f>AI84*VLOOKUP('Données projet'!$B$10,Paramètres!$A$1:$I$89,3,0)*VLOOKUP('Données projet'!$B$10,Paramètres!$A$1:$I$89,5,0)</f>
        <v>1.195999999937726E-3</v>
      </c>
      <c r="AK84" s="14">
        <f t="shared" si="89"/>
        <v>1.2062444695752218E-3</v>
      </c>
      <c r="AL84" s="22">
        <f t="shared" si="58"/>
        <v>4.1839091177350513E-3</v>
      </c>
      <c r="AM84" s="62">
        <f t="shared" si="59"/>
        <v>293.33751724245104</v>
      </c>
      <c r="AN84" s="62">
        <f ca="1">AVERAGE(OFFSET($AM$3,0,0,'Données projet'!$E$10+1,1))-AVERAGE(OFFSET($H$3,0,0,'Données projet'!$E$10+1,1))</f>
        <v>164.64952352018145</v>
      </c>
      <c r="AO84" s="62">
        <f t="shared" si="90"/>
        <v>280.08682720086921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29.030556382789534</v>
      </c>
      <c r="AV84" s="23">
        <f>EXP(-LN(2)/25)*AV83+(1-EXP(-LN(2)/25))/(LN(2)/25)*Calculateur!AQ84*Calculateur!AS84*VLOOKUP('Données projet'!$B$10,Paramètres!$A$1:$I$89,3,0)*0.475*44/12</f>
        <v>7.8219528230218947</v>
      </c>
      <c r="AW84" s="23">
        <f>EXP(-LN(2)/2)*AW83+(1-EXP(-LN(2)/2))/(LN(2)/2)*AQ84*AT84*VLOOKUP('Données projet'!$B$10,Paramètres!$A$1:$I$89,3,0)*0.475*44/12</f>
        <v>1.1426497004356197E-5</v>
      </c>
      <c r="AX84" s="23">
        <f t="shared" si="60"/>
        <v>36.852520632308433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9.1199999999999992</v>
      </c>
      <c r="BD84" s="13">
        <f>IF('Données projet'!$A$88&gt;35,BD83+BC84-BL83,IF(A84&lt;'Données projet'!$A$88,$BA$205^A84,IF(A84='Données projet'!$A$88,'Données projet'!$B$88,BD83+BC84-BL83)))</f>
        <v>239.03999999999996</v>
      </c>
      <c r="BE84" s="14">
        <f>BD84*VLOOKUP('Données projet'!$B$11,Paramètres!$A$1:$I$89,3,0)*VLOOKUP('Données projet'!$B$11,Paramètres!$A$1:$I$89,5,0)</f>
        <v>201.36729599999998</v>
      </c>
      <c r="BF84" s="14">
        <f t="shared" si="91"/>
        <v>50.04453874531108</v>
      </c>
      <c r="BG84" s="22">
        <f t="shared" si="61"/>
        <v>437.87561218141673</v>
      </c>
      <c r="BH84" s="62">
        <f t="shared" si="62"/>
        <v>731.20894551474998</v>
      </c>
      <c r="BI84" s="62">
        <f ca="1">AVERAGE(OFFSET($BH$3,0,0,'Données projet'!$E$11+1,1))-AVERAGE(OFFSET($H$3,0,0,'Données projet'!$E$11+1,1))</f>
        <v>339.58585574836434</v>
      </c>
      <c r="BJ84" s="62">
        <f t="shared" si="92"/>
        <v>42.267525972379588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12.630036816218951</v>
      </c>
      <c r="BQ84" s="23">
        <f>EXP(-LN(2)/25)*BQ83+(1-EXP(-LN(2)/25))/(LN(2)/25)*Calculateur!BL84*Calculateur!BN84*VLOOKUP('Données projet'!$B$11,Paramètres!$A$1:$I$89,3,0)*0.475*44/12</f>
        <v>10.981184840343833</v>
      </c>
      <c r="BR84" s="23">
        <f>EXP(-LN(2)/2)*BR83+(1-EXP(-LN(2)/2))/(LN(2)/2)*BL84*BO84*VLOOKUP('Données projet'!$B$11,Paramètres!$A$1:$I$89,3,0)*0.475*44/12</f>
        <v>6.5869744283486411E-3</v>
      </c>
      <c r="BS84" s="24">
        <f t="shared" si="63"/>
        <v>23.617808630991131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6.1609999999999996</v>
      </c>
      <c r="BY84" s="13">
        <f>IF('Données projet'!$A$114&gt;35,BY83+BX84-CG83,IF(A84&lt;'Données projet'!$A$114,$BV$205^A84,IF(A84='Données projet'!$A$114,'Données projet'!$B$114,BY83+BX84-CG83)))</f>
        <v>116.90099999999998</v>
      </c>
      <c r="BZ84" s="14">
        <f>BY84*VLOOKUP('Données projet'!$B$12,Paramètres!$A$1:$I$89,3,0)*VLOOKUP('Données projet'!$B$12,Paramètres!$A$1:$I$89,5,0)</f>
        <v>116.7139584</v>
      </c>
      <c r="CA84" s="14">
        <f t="shared" si="93"/>
        <v>30.907349964144089</v>
      </c>
      <c r="CB84" s="22">
        <f t="shared" si="64"/>
        <v>257.10711206755093</v>
      </c>
      <c r="CC84" s="62">
        <f t="shared" si="65"/>
        <v>550.4404454008843</v>
      </c>
      <c r="CD84" s="62">
        <f ca="1">AVERAGE(OFFSET($CC$3,0,0,'Données projet'!$E$12+1,1))-AVERAGE(OFFSET($H$3,0,0,'Données projet'!$E$12+1,1))</f>
        <v>112.34884104798977</v>
      </c>
      <c r="CE84" s="62">
        <f t="shared" si="94"/>
        <v>18.665658139749326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12.992421185720932</v>
      </c>
      <c r="CL84" s="23">
        <f>EXP(-LN(2)/25)*CL83+(1-EXP(-LN(2)/25))/(LN(2)/25)*Calculateur!CG84*Calculateur!CI84*VLOOKUP('Données projet'!$B$12,Paramètres!$A$1:$I$89,3,0)*0.475*44/12</f>
        <v>7.5571782621164516</v>
      </c>
      <c r="CM84" s="23">
        <f>EXP(-LN(2)/2)*CM83+(1-EXP(-LN(2)/2))/(LN(2)/2)*CG84*CJ84*VLOOKUP('Données projet'!$B$12,Paramètres!$A$1:$I$89,3,0)*0.475*44/12</f>
        <v>8.3846422003902902E-5</v>
      </c>
      <c r="CN84" s="24">
        <f t="shared" si="66"/>
        <v>20.549683294259388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-1.1368683772161603E-13</v>
      </c>
      <c r="CU84" s="18">
        <f>CT84*VLOOKUP('Données projet'!$B$13,Paramètres!$A$1:$I$89,3,0)*VLOOKUP('Données projet'!$B$13,Paramètres!$A$1:$I$89,5,0)</f>
        <v>-1.2414602679200469E-13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205.21073681197737</v>
      </c>
      <c r="CZ84" s="62">
        <f t="shared" si="96"/>
        <v>175.16446313750316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47.101638991315518</v>
      </c>
      <c r="DG84" s="23">
        <f>EXP(-LN(2)/25)*DG83+(1-EXP(-LN(2)/25))/(LN(2)/25)*Calculateur!DB84*Calculateur!DD84*VLOOKUP('Données projet'!$B$13,Paramètres!$A$1:$I$89,3,0)*0.475*44/12</f>
        <v>17.726111360771181</v>
      </c>
      <c r="DH84" s="23">
        <f>EXP(-LN(2)/2)*DH83+(1-EXP(-LN(2)/2))/(LN(2)/2)*DB84*DE84*VLOOKUP('Données projet'!$B$13,Paramètres!$A$1:$I$89,3,0)*0.475*44/12</f>
        <v>7.4918727339085719E-5</v>
      </c>
      <c r="DI84" s="24">
        <f t="shared" si="69"/>
        <v>64.827825270814031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2.2737367544323206E-13</v>
      </c>
      <c r="DP84" s="18">
        <f>DO84*VLOOKUP('Données projet'!$B$14,Paramètres!$A$1:$I$89,3,0)*VLOOKUP('Données projet'!$B$14,Paramètres!$A$1:$I$89,5,0)</f>
        <v>1.8444552551954985E-13</v>
      </c>
      <c r="DQ84" s="14">
        <f t="shared" si="97"/>
        <v>2.580317449479618E-12</v>
      </c>
      <c r="DR84" s="22">
        <f t="shared" si="70"/>
        <v>4.8152955147902165E-12</v>
      </c>
      <c r="DS84" s="62">
        <f t="shared" si="71"/>
        <v>293.33333333333815</v>
      </c>
      <c r="DT84" s="62">
        <f ca="1">AVERAGE(OFFSET($DS$3,0,0,'Données projet'!$E$14+1,1))-AVERAGE(OFFSET($H$3,0,0,'Données projet'!$E$14+1,1))</f>
        <v>223.63222290670075</v>
      </c>
      <c r="DU84" s="62">
        <f t="shared" si="98"/>
        <v>290.02663909417248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50.156365372269974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6.579990552301071E-2</v>
      </c>
      <c r="ED84" s="24">
        <f t="shared" si="72"/>
        <v>50.222165277792982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357.73044720459762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192.24617268603629</v>
      </c>
      <c r="T85" s="62">
        <f t="shared" si="88"/>
        <v>192.48585280662832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56.913322526456199</v>
      </c>
      <c r="AA85" s="23">
        <f>EXP(-LN(2)/25)*AA84+(1-EXP(-LN(2)/25))/(LN(2)/25)*Calculateur!V85*Calculateur!X85*VLOOKUP('Données projet'!$B$9,Paramètres!$A$1:$I$89,3,0)*0.475*44/12</f>
        <v>17.225584310421553</v>
      </c>
      <c r="AB85" s="23">
        <f>EXP(-LN(2)/2)*AB84+(1-EXP(-LN(2)/2))/(LN(2)/2)*V85*Y85*VLOOKUP('Données projet'!$B$9,Paramètres!$A$1:$I$89,3,0)*0.475*44/12</f>
        <v>2.0491490340458007E-2</v>
      </c>
      <c r="AC85" s="24">
        <f t="shared" si="57"/>
        <v>74.159398327218213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1.9999999998958629E-3</v>
      </c>
      <c r="AJ85" s="14">
        <f>AI85*VLOOKUP('Données projet'!$B$10,Paramètres!$A$1:$I$89,3,0)*VLOOKUP('Données projet'!$B$10,Paramètres!$A$1:$I$89,5,0)</f>
        <v>1.195999999937726E-3</v>
      </c>
      <c r="AK85" s="14">
        <f t="shared" si="89"/>
        <v>1.2062444695752218E-3</v>
      </c>
      <c r="AL85" s="22">
        <f t="shared" si="58"/>
        <v>4.1839091177350513E-3</v>
      </c>
      <c r="AM85" s="62">
        <f t="shared" si="59"/>
        <v>293.33751724245104</v>
      </c>
      <c r="AN85" s="62">
        <f ca="1">AVERAGE(OFFSET($AM$3,0,0,'Données projet'!$E$10+1,1))-AVERAGE(OFFSET($H$3,0,0,'Données projet'!$E$10+1,1))</f>
        <v>164.64952352018145</v>
      </c>
      <c r="AO85" s="62">
        <f t="shared" si="90"/>
        <v>280.08682720086921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28.461284879014016</v>
      </c>
      <c r="AV85" s="23">
        <f>EXP(-LN(2)/25)*AV84+(1-EXP(-LN(2)/25))/(LN(2)/25)*Calculateur!AQ85*Calculateur!AS85*VLOOKUP('Données projet'!$B$10,Paramètres!$A$1:$I$89,3,0)*0.475*44/12</f>
        <v>7.6080611117377392</v>
      </c>
      <c r="AW85" s="23">
        <f>EXP(-LN(2)/2)*AW84+(1-EXP(-LN(2)/2))/(LN(2)/2)*AQ85*AT85*VLOOKUP('Données projet'!$B$10,Paramètres!$A$1:$I$89,3,0)*0.475*44/12</f>
        <v>8.0797535169880382E-6</v>
      </c>
      <c r="AX85" s="23">
        <f t="shared" si="60"/>
        <v>36.069354070505277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9.1199999999999992</v>
      </c>
      <c r="BD85" s="13">
        <f>IF('Données projet'!$A$88&gt;35,BD84+BC85-BL84,IF(A85&lt;'Données projet'!$A$88,$BA$205^A85,IF(A85='Données projet'!$A$88,'Données projet'!$B$88,BD84+BC85-BL84)))</f>
        <v>248.15999999999997</v>
      </c>
      <c r="BE85" s="14">
        <f>BD85*VLOOKUP('Données projet'!$B$11,Paramètres!$A$1:$I$89,3,0)*VLOOKUP('Données projet'!$B$11,Paramètres!$A$1:$I$89,5,0)</f>
        <v>209.04998399999999</v>
      </c>
      <c r="BF85" s="14">
        <f t="shared" si="91"/>
        <v>51.7279285483406</v>
      </c>
      <c r="BG85" s="22">
        <f t="shared" si="61"/>
        <v>454.18819768835988</v>
      </c>
      <c r="BH85" s="62">
        <f t="shared" si="62"/>
        <v>747.52153102169314</v>
      </c>
      <c r="BI85" s="62">
        <f ca="1">AVERAGE(OFFSET($BH$3,0,0,'Données projet'!$E$11+1,1))-AVERAGE(OFFSET($H$3,0,0,'Données projet'!$E$11+1,1))</f>
        <v>339.58585574836434</v>
      </c>
      <c r="BJ85" s="62">
        <f t="shared" si="92"/>
        <v>42.267525972379588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12.382369497814691</v>
      </c>
      <c r="BQ85" s="23">
        <f>EXP(-LN(2)/25)*BQ84+(1-EXP(-LN(2)/25))/(LN(2)/25)*Calculateur!BL85*Calculateur!BN85*VLOOKUP('Données projet'!$B$11,Paramètres!$A$1:$I$89,3,0)*0.475*44/12</f>
        <v>10.680903763409217</v>
      </c>
      <c r="BR85" s="23">
        <f>EXP(-LN(2)/2)*BR84+(1-EXP(-LN(2)/2))/(LN(2)/2)*BL85*BO85*VLOOKUP('Données projet'!$B$11,Paramètres!$A$1:$I$89,3,0)*0.475*44/12</f>
        <v>4.6576942857877064E-3</v>
      </c>
      <c r="BS85" s="24">
        <f t="shared" si="63"/>
        <v>23.067930955509695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6.1609999999999996</v>
      </c>
      <c r="BY85" s="13">
        <f>IF('Données projet'!$A$114&gt;35,BY84+BX85-CG84,IF(A85&lt;'Données projet'!$A$114,$BV$205^A85,IF(A85='Données projet'!$A$114,'Données projet'!$B$114,BY84+BX85-CG84)))</f>
        <v>123.06199999999998</v>
      </c>
      <c r="BZ85" s="14">
        <f>BY85*VLOOKUP('Données projet'!$B$12,Paramètres!$A$1:$I$89,3,0)*VLOOKUP('Données projet'!$B$12,Paramètres!$A$1:$I$89,5,0)</f>
        <v>122.86510079999999</v>
      </c>
      <c r="CA85" s="14">
        <f t="shared" si="93"/>
        <v>32.342316587356578</v>
      </c>
      <c r="CB85" s="22">
        <f t="shared" si="64"/>
        <v>270.31958528297929</v>
      </c>
      <c r="CC85" s="62">
        <f t="shared" si="65"/>
        <v>563.6529186163126</v>
      </c>
      <c r="CD85" s="62">
        <f ca="1">AVERAGE(OFFSET($CC$3,0,0,'Données projet'!$E$12+1,1))-AVERAGE(OFFSET($H$3,0,0,'Données projet'!$E$12+1,1))</f>
        <v>112.34884104798977</v>
      </c>
      <c r="CE85" s="62">
        <f t="shared" si="94"/>
        <v>18.665658139749326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12.73764773086338</v>
      </c>
      <c r="CL85" s="23">
        <f>EXP(-LN(2)/25)*CL84+(1-EXP(-LN(2)/25))/(LN(2)/25)*Calculateur!CG85*Calculateur!CI85*VLOOKUP('Données projet'!$B$12,Paramètres!$A$1:$I$89,3,0)*0.475*44/12</f>
        <v>7.3505268251241445</v>
      </c>
      <c r="CM85" s="23">
        <f>EXP(-LN(2)/2)*CM84+(1-EXP(-LN(2)/2))/(LN(2)/2)*CG85*CJ85*VLOOKUP('Données projet'!$B$12,Paramètres!$A$1:$I$89,3,0)*0.475*44/12</f>
        <v>5.9288373577188693E-5</v>
      </c>
      <c r="CN85" s="24">
        <f t="shared" si="66"/>
        <v>20.088233844361103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-1.1368683772161603E-13</v>
      </c>
      <c r="CU85" s="18">
        <f>CT85*VLOOKUP('Données projet'!$B$13,Paramètres!$A$1:$I$89,3,0)*VLOOKUP('Données projet'!$B$13,Paramètres!$A$1:$I$89,5,0)</f>
        <v>-1.2414602679200469E-13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205.21073681197737</v>
      </c>
      <c r="CZ85" s="62">
        <f t="shared" si="96"/>
        <v>175.16446313750316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46.178004579858836</v>
      </c>
      <c r="DG85" s="23">
        <f>EXP(-LN(2)/25)*DG84+(1-EXP(-LN(2)/25))/(LN(2)/25)*Calculateur!DB85*Calculateur!DD85*VLOOKUP('Données projet'!$B$13,Paramètres!$A$1:$I$89,3,0)*0.475*44/12</f>
        <v>17.24138991343521</v>
      </c>
      <c r="DH85" s="23">
        <f>EXP(-LN(2)/2)*DH84+(1-EXP(-LN(2)/2))/(LN(2)/2)*DB85*DE85*VLOOKUP('Données projet'!$B$13,Paramètres!$A$1:$I$89,3,0)*0.475*44/12</f>
        <v>5.2975540139333502E-5</v>
      </c>
      <c r="DI85" s="24">
        <f t="shared" si="69"/>
        <v>63.419447468834186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2.2737367544323206E-13</v>
      </c>
      <c r="DP85" s="18">
        <f>DO85*VLOOKUP('Données projet'!$B$14,Paramètres!$A$1:$I$89,3,0)*VLOOKUP('Données projet'!$B$14,Paramètres!$A$1:$I$89,5,0)</f>
        <v>1.8444552551954985E-13</v>
      </c>
      <c r="DQ85" s="14">
        <f t="shared" si="97"/>
        <v>2.580317449479618E-12</v>
      </c>
      <c r="DR85" s="22">
        <f t="shared" si="70"/>
        <v>4.8152955147902165E-12</v>
      </c>
      <c r="DS85" s="62">
        <f t="shared" si="71"/>
        <v>293.33333333333815</v>
      </c>
      <c r="DT85" s="62">
        <f ca="1">AVERAGE(OFFSET($DS$3,0,0,'Données projet'!$E$14+1,1))-AVERAGE(OFFSET($H$3,0,0,'Données projet'!$E$14+1,1))</f>
        <v>223.63222290670075</v>
      </c>
      <c r="DU85" s="62">
        <f t="shared" si="98"/>
        <v>290.02663909417248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49.172829639681893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4.6527559396755035E-2</v>
      </c>
      <c r="ED85" s="24">
        <f t="shared" si="72"/>
        <v>49.219357199078651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358.92998587821728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192.24617268603629</v>
      </c>
      <c r="T86" s="62">
        <f t="shared" si="88"/>
        <v>192.48585280662832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55.797286985411439</v>
      </c>
      <c r="AA86" s="23">
        <f>EXP(-LN(2)/25)*AA85+(1-EXP(-LN(2)/25))/(LN(2)/25)*Calculateur!V86*Calculateur!X86*VLOOKUP('Données projet'!$B$9,Paramètres!$A$1:$I$89,3,0)*0.475*44/12</f>
        <v>16.754549801598966</v>
      </c>
      <c r="AB86" s="23">
        <f>EXP(-LN(2)/2)*AB85+(1-EXP(-LN(2)/2))/(LN(2)/2)*V86*Y86*VLOOKUP('Données projet'!$B$9,Paramètres!$A$1:$I$89,3,0)*0.475*44/12</f>
        <v>1.4489671776356492E-2</v>
      </c>
      <c r="AC86" s="24">
        <f t="shared" si="57"/>
        <v>72.566326458786762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1.9999999998958629E-3</v>
      </c>
      <c r="AJ86" s="14">
        <f>AI86*VLOOKUP('Données projet'!$B$10,Paramètres!$A$1:$I$89,3,0)*VLOOKUP('Données projet'!$B$10,Paramètres!$A$1:$I$89,5,0)</f>
        <v>1.195999999937726E-3</v>
      </c>
      <c r="AK86" s="14">
        <f t="shared" si="89"/>
        <v>1.2062444695752218E-3</v>
      </c>
      <c r="AL86" s="22">
        <f t="shared" si="58"/>
        <v>4.1839091177350513E-3</v>
      </c>
      <c r="AM86" s="62">
        <f t="shared" si="59"/>
        <v>293.33751724245104</v>
      </c>
      <c r="AN86" s="62">
        <f ca="1">AVERAGE(OFFSET($AM$3,0,0,'Données projet'!$E$10+1,1))-AVERAGE(OFFSET($H$3,0,0,'Données projet'!$E$10+1,1))</f>
        <v>164.64952352018145</v>
      </c>
      <c r="AO86" s="62">
        <f t="shared" si="90"/>
        <v>280.08682720086921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27.903176442206203</v>
      </c>
      <c r="AV86" s="23">
        <f>EXP(-LN(2)/25)*AV85+(1-EXP(-LN(2)/25))/(LN(2)/25)*Calculateur!AQ86*Calculateur!AS86*VLOOKUP('Données projet'!$B$10,Paramètres!$A$1:$I$89,3,0)*0.475*44/12</f>
        <v>7.4000182805467256</v>
      </c>
      <c r="AW86" s="23">
        <f>EXP(-LN(2)/2)*AW85+(1-EXP(-LN(2)/2))/(LN(2)/2)*AQ86*AT86*VLOOKUP('Données projet'!$B$10,Paramètres!$A$1:$I$89,3,0)*0.475*44/12</f>
        <v>5.7132485021780986E-6</v>
      </c>
      <c r="AX86" s="23">
        <f t="shared" si="60"/>
        <v>35.303200436001433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9.1199999999999992</v>
      </c>
      <c r="BD86" s="13">
        <f>IF('Données projet'!$A$88&gt;35,BD85+BC86-BL85,IF(A86&lt;'Données projet'!$A$88,$BA$205^A86,IF(A86='Données projet'!$A$88,'Données projet'!$B$88,BD85+BC86-BL85)))</f>
        <v>257.27999999999997</v>
      </c>
      <c r="BE86" s="14">
        <f>BD86*VLOOKUP('Données projet'!$B$11,Paramètres!$A$1:$I$89,3,0)*VLOOKUP('Données projet'!$B$11,Paramètres!$A$1:$I$89,5,0)</f>
        <v>216.73267199999998</v>
      </c>
      <c r="BF86" s="14">
        <f t="shared" si="91"/>
        <v>53.404130891504622</v>
      </c>
      <c r="BG86" s="22">
        <f t="shared" si="61"/>
        <v>470.48826503603715</v>
      </c>
      <c r="BH86" s="62">
        <f t="shared" si="62"/>
        <v>763.82159836937046</v>
      </c>
      <c r="BI86" s="62">
        <f ca="1">AVERAGE(OFFSET($BH$3,0,0,'Données projet'!$E$11+1,1))-AVERAGE(OFFSET($H$3,0,0,'Données projet'!$E$11+1,1))</f>
        <v>339.58585574836434</v>
      </c>
      <c r="BJ86" s="62">
        <f t="shared" si="92"/>
        <v>42.267525972379588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12.139558784462192</v>
      </c>
      <c r="BQ86" s="23">
        <f>EXP(-LN(2)/25)*BQ85+(1-EXP(-LN(2)/25))/(LN(2)/25)*Calculateur!BL86*Calculateur!BN86*VLOOKUP('Données projet'!$B$11,Paramètres!$A$1:$I$89,3,0)*0.475*44/12</f>
        <v>10.388833888314474</v>
      </c>
      <c r="BR86" s="23">
        <f>EXP(-LN(2)/2)*BR85+(1-EXP(-LN(2)/2))/(LN(2)/2)*BL86*BO86*VLOOKUP('Données projet'!$B$11,Paramètres!$A$1:$I$89,3,0)*0.475*44/12</f>
        <v>3.2934872141743205E-3</v>
      </c>
      <c r="BS86" s="24">
        <f t="shared" si="63"/>
        <v>22.531686159990844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6.1609999999999996</v>
      </c>
      <c r="BY86" s="13">
        <f>IF('Données projet'!$A$114&gt;35,BY85+BX86-CG85,IF(A86&lt;'Données projet'!$A$114,$BV$205^A86,IF(A86='Données projet'!$A$114,'Données projet'!$B$114,BY85+BX86-CG85)))</f>
        <v>129.22299999999998</v>
      </c>
      <c r="BZ86" s="14">
        <f>BY86*VLOOKUP('Données projet'!$B$12,Paramètres!$A$1:$I$89,3,0)*VLOOKUP('Données projet'!$B$12,Paramètres!$A$1:$I$89,5,0)</f>
        <v>129.01624319999999</v>
      </c>
      <c r="CA86" s="14">
        <f t="shared" si="93"/>
        <v>33.768941621444199</v>
      </c>
      <c r="CB86" s="22">
        <f t="shared" si="64"/>
        <v>283.51753023068198</v>
      </c>
      <c r="CC86" s="62">
        <f t="shared" si="65"/>
        <v>576.8508635640153</v>
      </c>
      <c r="CD86" s="62">
        <f ca="1">AVERAGE(OFFSET($CC$3,0,0,'Données projet'!$E$12+1,1))-AVERAGE(OFFSET($H$3,0,0,'Données projet'!$E$12+1,1))</f>
        <v>112.34884104798977</v>
      </c>
      <c r="CE86" s="62">
        <f t="shared" si="94"/>
        <v>18.665658139749326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12.487870228059119</v>
      </c>
      <c r="CL86" s="23">
        <f>EXP(-LN(2)/25)*CL85+(1-EXP(-LN(2)/25))/(LN(2)/25)*Calculateur!CG86*Calculateur!CI86*VLOOKUP('Données projet'!$B$12,Paramètres!$A$1:$I$89,3,0)*0.475*44/12</f>
        <v>7.1495262825437189</v>
      </c>
      <c r="CM86" s="23">
        <f>EXP(-LN(2)/2)*CM85+(1-EXP(-LN(2)/2))/(LN(2)/2)*CG86*CJ86*VLOOKUP('Données projet'!$B$12,Paramètres!$A$1:$I$89,3,0)*0.475*44/12</f>
        <v>4.1923211001951451E-5</v>
      </c>
      <c r="CN86" s="24">
        <f t="shared" si="66"/>
        <v>19.637438433813838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-1.1368683772161603E-13</v>
      </c>
      <c r="CU86" s="18">
        <f>CT86*VLOOKUP('Données projet'!$B$13,Paramètres!$A$1:$I$89,3,0)*VLOOKUP('Données projet'!$B$13,Paramètres!$A$1:$I$89,5,0)</f>
        <v>-1.2414602679200469E-13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205.21073681197737</v>
      </c>
      <c r="CZ86" s="62">
        <f t="shared" si="96"/>
        <v>175.16446313750316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45.272482075849453</v>
      </c>
      <c r="DG86" s="23">
        <f>EXP(-LN(2)/25)*DG85+(1-EXP(-LN(2)/25))/(LN(2)/25)*Calculateur!DB86*Calculateur!DD86*VLOOKUP('Données projet'!$B$13,Paramètres!$A$1:$I$89,3,0)*0.475*44/12</f>
        <v>16.769923199567035</v>
      </c>
      <c r="DH86" s="23">
        <f>EXP(-LN(2)/2)*DH85+(1-EXP(-LN(2)/2))/(LN(2)/2)*DB86*DE86*VLOOKUP('Données projet'!$B$13,Paramètres!$A$1:$I$89,3,0)*0.475*44/12</f>
        <v>3.7459363669542859E-5</v>
      </c>
      <c r="DI86" s="24">
        <f t="shared" si="69"/>
        <v>62.042442734780153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2.2737367544323206E-13</v>
      </c>
      <c r="DP86" s="18">
        <f>DO86*VLOOKUP('Données projet'!$B$14,Paramètres!$A$1:$I$89,3,0)*VLOOKUP('Données projet'!$B$14,Paramètres!$A$1:$I$89,5,0)</f>
        <v>1.8444552551954985E-13</v>
      </c>
      <c r="DQ86" s="14">
        <f t="shared" si="97"/>
        <v>2.580317449479618E-12</v>
      </c>
      <c r="DR86" s="22">
        <f t="shared" si="70"/>
        <v>4.8152955147902165E-12</v>
      </c>
      <c r="DS86" s="62">
        <f t="shared" si="71"/>
        <v>293.33333333333815</v>
      </c>
      <c r="DT86" s="62">
        <f ca="1">AVERAGE(OFFSET($DS$3,0,0,'Données projet'!$E$14+1,1))-AVERAGE(OFFSET($H$3,0,0,'Données projet'!$E$14+1,1))</f>
        <v>223.63222290670075</v>
      </c>
      <c r="DU86" s="62">
        <f t="shared" si="98"/>
        <v>290.02663909417248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48.2085804429123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3.2899952761505355E-2</v>
      </c>
      <c r="ED86" s="24">
        <f t="shared" si="72"/>
        <v>48.241480395673804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360.12917616411374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192.24617268603629</v>
      </c>
      <c r="T87" s="62">
        <f t="shared" si="88"/>
        <v>192.48585280662832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54.703136220612102</v>
      </c>
      <c r="AA87" s="23">
        <f>EXP(-LN(2)/25)*AA86+(1-EXP(-LN(2)/25))/(LN(2)/25)*Calculateur!V87*Calculateur!X87*VLOOKUP('Données projet'!$B$9,Paramètres!$A$1:$I$89,3,0)*0.475*44/12</f>
        <v>16.296395756190762</v>
      </c>
      <c r="AB87" s="23">
        <f>EXP(-LN(2)/2)*AB86+(1-EXP(-LN(2)/2))/(LN(2)/2)*V87*Y87*VLOOKUP('Données projet'!$B$9,Paramètres!$A$1:$I$89,3,0)*0.475*44/12</f>
        <v>1.0245745170229003E-2</v>
      </c>
      <c r="AC87" s="24">
        <f t="shared" si="57"/>
        <v>71.009777721973094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1.9999999998958629E-3</v>
      </c>
      <c r="AJ87" s="14">
        <f>AI87*VLOOKUP('Données projet'!$B$10,Paramètres!$A$1:$I$89,3,0)*VLOOKUP('Données projet'!$B$10,Paramètres!$A$1:$I$89,5,0)</f>
        <v>1.195999999937726E-3</v>
      </c>
      <c r="AK87" s="14">
        <f t="shared" si="89"/>
        <v>1.2062444695752218E-3</v>
      </c>
      <c r="AL87" s="22">
        <f t="shared" si="58"/>
        <v>4.1839091177350513E-3</v>
      </c>
      <c r="AM87" s="62">
        <f t="shared" si="59"/>
        <v>293.33751724245104</v>
      </c>
      <c r="AN87" s="62">
        <f ca="1">AVERAGE(OFFSET($AM$3,0,0,'Données projet'!$E$10+1,1))-AVERAGE(OFFSET($H$3,0,0,'Données projet'!$E$10+1,1))</f>
        <v>164.64952352018145</v>
      </c>
      <c r="AO87" s="62">
        <f t="shared" si="90"/>
        <v>280.08682720086921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27.356012171431658</v>
      </c>
      <c r="AV87" s="23">
        <f>EXP(-LN(2)/25)*AV86+(1-EXP(-LN(2)/25))/(LN(2)/25)*Calculateur!AQ87*Calculateur!AS87*VLOOKUP('Données projet'!$B$10,Paramètres!$A$1:$I$89,3,0)*0.475*44/12</f>
        <v>7.1976643915151266</v>
      </c>
      <c r="AW87" s="23">
        <f>EXP(-LN(2)/2)*AW86+(1-EXP(-LN(2)/2))/(LN(2)/2)*AQ87*AT87*VLOOKUP('Données projet'!$B$10,Paramètres!$A$1:$I$89,3,0)*0.475*44/12</f>
        <v>4.0398767584940191E-6</v>
      </c>
      <c r="AX87" s="23">
        <f t="shared" si="60"/>
        <v>34.55368060282354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>
        <f>VLOOKUP(A87,'Données projet'!$A$87:$I$107,2,0)</f>
        <v>266.39999999999998</v>
      </c>
      <c r="BB87" s="13">
        <f>VLOOKUP(A87,'Données projet'!$A$87:$I$107,9,0)</f>
        <v>9.1199999999999992</v>
      </c>
      <c r="BC87" s="13">
        <f t="array" ref="BC87">INDEX(BB:BB,MIN(IF(ISNUMBER(BB87:BB283),ROW(BB87:BB283),"")))</f>
        <v>9.1199999999999992</v>
      </c>
      <c r="BD87" s="13">
        <f>IF('Données projet'!$A$88&gt;35,BD86+BC87-BL86,IF(A87&lt;'Données projet'!$A$88,$BA$205^A87,IF(A87='Données projet'!$A$88,'Données projet'!$B$88,BD86+BC87-BL86)))</f>
        <v>266.39999999999998</v>
      </c>
      <c r="BE87" s="14">
        <f>BD87*VLOOKUP('Données projet'!$B$11,Paramètres!$A$1:$I$89,3,0)*VLOOKUP('Données projet'!$B$11,Paramètres!$A$1:$I$89,5,0)</f>
        <v>224.41535999999999</v>
      </c>
      <c r="BF87" s="14">
        <f t="shared" si="91"/>
        <v>55.073429745398869</v>
      </c>
      <c r="BG87" s="22">
        <f t="shared" si="61"/>
        <v>486.77630880656972</v>
      </c>
      <c r="BH87" s="62">
        <f t="shared" si="62"/>
        <v>780.10964213990303</v>
      </c>
      <c r="BI87" s="62">
        <f ca="1">AVERAGE(OFFSET($BH$3,0,0,'Données projet'!$E$11+1,1))-AVERAGE(OFFSET($H$3,0,0,'Données projet'!$E$11+1,1))</f>
        <v>339.58585574836434</v>
      </c>
      <c r="BJ87" s="62">
        <f t="shared" si="92"/>
        <v>42.267525972379588</v>
      </c>
      <c r="BK87" s="16">
        <f>IF(ISNA(VLOOKUP(A87,'Données projet'!$A$87:$I$107,3,0)),0,VLOOKUP(A87,'Données projet'!$A$87:$I$107,3,0))</f>
        <v>10</v>
      </c>
      <c r="BL87" s="16">
        <f>IF(ISNA(VLOOKUP(A87,'Données projet'!$A$87:$I$107,4,0)),0,VLOOKUP(A87,'Données projet'!$A$87:$I$107,4,0))</f>
        <v>28.799999999999997</v>
      </c>
      <c r="BM87" s="17">
        <f>IF(ISNA(VLOOKUP(A87,'Données projet'!$A$87:$I$107,5,0)),0%,VLOOKUP(A87,'Données projet'!$A$87:$I$107,5,0)*VLOOKUP('Données projet'!$B$11,Paramètres!$A$1:$I$89,7,0))</f>
        <v>0.25800000000000001</v>
      </c>
      <c r="BN87" s="17">
        <f>IF(ISNA(VLOOKUP(A87,'Données projet'!$A$87:$I$107,6,0)),0%,VLOOKUP(A87,'Données projet'!$A$87:$I$107,6,0)*VLOOKUP('Données projet'!$B$11,Paramètres!$A$1:$I$89,7,0))</f>
        <v>8.6000000000000007E-2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18.82105642094659</v>
      </c>
      <c r="BQ87" s="23">
        <f>EXP(-LN(2)/25)*BQ86+(1-EXP(-LN(2)/25))/(LN(2)/25)*Calculateur!BL87*Calculateur!BN87*VLOOKUP('Données projet'!$B$11,Paramètres!$A$1:$I$89,3,0)*0.475*44/12</f>
        <v>12.40218470825822</v>
      </c>
      <c r="BR87" s="23">
        <f>EXP(-LN(2)/2)*BR86+(1-EXP(-LN(2)/2))/(LN(2)/2)*BL87*BO87*VLOOKUP('Données projet'!$B$11,Paramètres!$A$1:$I$89,3,0)*0.475*44/12</f>
        <v>2.3288471428938532E-3</v>
      </c>
      <c r="BS87" s="24">
        <f t="shared" si="63"/>
        <v>31.225569976347703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6.1609999999999996</v>
      </c>
      <c r="BY87" s="13">
        <f>IF('Données projet'!$A$114&gt;35,BY86+BX87-CG86,IF(A87&lt;'Données projet'!$A$114,$BV$205^A87,IF(A87='Données projet'!$A$114,'Données projet'!$B$114,BY86+BX87-CG86)))</f>
        <v>135.38399999999999</v>
      </c>
      <c r="BZ87" s="14">
        <f>BY87*VLOOKUP('Données projet'!$B$12,Paramètres!$A$1:$I$89,3,0)*VLOOKUP('Données projet'!$B$12,Paramètres!$A$1:$I$89,5,0)</f>
        <v>135.16738559999999</v>
      </c>
      <c r="CA87" s="14">
        <f t="shared" si="93"/>
        <v>35.187668177077221</v>
      </c>
      <c r="CB87" s="22">
        <f t="shared" si="64"/>
        <v>296.7017186617428</v>
      </c>
      <c r="CC87" s="62">
        <f t="shared" si="65"/>
        <v>590.03505199507617</v>
      </c>
      <c r="CD87" s="62">
        <f ca="1">AVERAGE(OFFSET($CC$3,0,0,'Données projet'!$E$12+1,1))-AVERAGE(OFFSET($H$3,0,0,'Données projet'!$E$12+1,1))</f>
        <v>112.34884104798977</v>
      </c>
      <c r="CE87" s="62">
        <f t="shared" si="94"/>
        <v>18.665658139749326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12.242990709735617</v>
      </c>
      <c r="CL87" s="23">
        <f>EXP(-LN(2)/25)*CL86+(1-EXP(-LN(2)/25))/(LN(2)/25)*Calculateur!CG87*Calculateur!CI87*VLOOKUP('Données projet'!$B$12,Paramètres!$A$1:$I$89,3,0)*0.475*44/12</f>
        <v>6.9540221103703139</v>
      </c>
      <c r="CM87" s="23">
        <f>EXP(-LN(2)/2)*CM86+(1-EXP(-LN(2)/2))/(LN(2)/2)*CG87*CJ87*VLOOKUP('Données projet'!$B$12,Paramètres!$A$1:$I$89,3,0)*0.475*44/12</f>
        <v>2.9644186788594347E-5</v>
      </c>
      <c r="CN87" s="24">
        <f t="shared" si="66"/>
        <v>19.197042464292721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-1.1368683772161603E-13</v>
      </c>
      <c r="CU87" s="18">
        <f>CT87*VLOOKUP('Données projet'!$B$13,Paramètres!$A$1:$I$89,3,0)*VLOOKUP('Données projet'!$B$13,Paramètres!$A$1:$I$89,5,0)</f>
        <v>-1.2414602679200469E-13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205.21073681197737</v>
      </c>
      <c r="CZ87" s="62">
        <f t="shared" si="96"/>
        <v>175.16446313750316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44.384716315829507</v>
      </c>
      <c r="DG87" s="23">
        <f>EXP(-LN(2)/25)*DG86+(1-EXP(-LN(2)/25))/(LN(2)/25)*Calculateur!DB87*Calculateur!DD87*VLOOKUP('Données projet'!$B$13,Paramètres!$A$1:$I$89,3,0)*0.475*44/12</f>
        <v>16.311348767782942</v>
      </c>
      <c r="DH87" s="23">
        <f>EXP(-LN(2)/2)*DH86+(1-EXP(-LN(2)/2))/(LN(2)/2)*DB87*DE87*VLOOKUP('Données projet'!$B$13,Paramètres!$A$1:$I$89,3,0)*0.475*44/12</f>
        <v>2.6487770069666751E-5</v>
      </c>
      <c r="DI87" s="24">
        <f t="shared" si="69"/>
        <v>60.696091571382524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2.2737367544323206E-13</v>
      </c>
      <c r="DP87" s="18">
        <f>DO87*VLOOKUP('Données projet'!$B$14,Paramètres!$A$1:$I$89,3,0)*VLOOKUP('Données projet'!$B$14,Paramètres!$A$1:$I$89,5,0)</f>
        <v>1.8444552551954985E-13</v>
      </c>
      <c r="DQ87" s="14">
        <f t="shared" si="97"/>
        <v>2.580317449479618E-12</v>
      </c>
      <c r="DR87" s="22">
        <f t="shared" si="70"/>
        <v>4.8152955147902165E-12</v>
      </c>
      <c r="DS87" s="62">
        <f t="shared" si="71"/>
        <v>293.33333333333815</v>
      </c>
      <c r="DT87" s="62">
        <f ca="1">AVERAGE(OFFSET($DS$3,0,0,'Données projet'!$E$14+1,1))-AVERAGE(OFFSET($H$3,0,0,'Données projet'!$E$14+1,1))</f>
        <v>223.63222290670075</v>
      </c>
      <c r="DU87" s="62">
        <f t="shared" si="98"/>
        <v>290.02663909417248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47.263239584757422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2.3263779698377517E-2</v>
      </c>
      <c r="ED87" s="24">
        <f t="shared" si="72"/>
        <v>47.286503364455797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361.32802268953901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192.24617268603629</v>
      </c>
      <c r="T88" s="62">
        <f t="shared" si="88"/>
        <v>192.48585280662832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53.630441084944415</v>
      </c>
      <c r="AA88" s="23">
        <f>EXP(-LN(2)/25)*AA87+(1-EXP(-LN(2)/25))/(LN(2)/25)*Calculateur!V88*Calculateur!X88*VLOOKUP('Données projet'!$B$9,Paramètres!$A$1:$I$89,3,0)*0.475*44/12</f>
        <v>15.850769957247518</v>
      </c>
      <c r="AB88" s="23">
        <f>EXP(-LN(2)/2)*AB87+(1-EXP(-LN(2)/2))/(LN(2)/2)*V88*Y88*VLOOKUP('Données projet'!$B$9,Paramètres!$A$1:$I$89,3,0)*0.475*44/12</f>
        <v>7.244835888178246E-3</v>
      </c>
      <c r="AC88" s="24">
        <f t="shared" si="57"/>
        <v>69.488455878080103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1.9999999998958629E-3</v>
      </c>
      <c r="AJ88" s="14">
        <f>AI88*VLOOKUP('Données projet'!$B$10,Paramètres!$A$1:$I$89,3,0)*VLOOKUP('Données projet'!$B$10,Paramètres!$A$1:$I$89,5,0)</f>
        <v>1.195999999937726E-3</v>
      </c>
      <c r="AK88" s="14">
        <f t="shared" si="89"/>
        <v>1.2062444695752218E-3</v>
      </c>
      <c r="AL88" s="22">
        <f t="shared" si="58"/>
        <v>4.1839091177350513E-3</v>
      </c>
      <c r="AM88" s="62">
        <f t="shared" si="59"/>
        <v>293.33751724245104</v>
      </c>
      <c r="AN88" s="62">
        <f ca="1">AVERAGE(OFFSET($AM$3,0,0,'Données projet'!$E$10+1,1))-AVERAGE(OFFSET($H$3,0,0,'Données projet'!$E$10+1,1))</f>
        <v>164.64952352018145</v>
      </c>
      <c r="AO88" s="62">
        <f t="shared" si="90"/>
        <v>280.08682720086921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26.819577458269748</v>
      </c>
      <c r="AV88" s="23">
        <f>EXP(-LN(2)/25)*AV87+(1-EXP(-LN(2)/25))/(LN(2)/25)*Calculateur!AQ88*Calculateur!AS88*VLOOKUP('Données projet'!$B$10,Paramètres!$A$1:$I$89,3,0)*0.475*44/12</f>
        <v>7.000843880220426</v>
      </c>
      <c r="AW88" s="23">
        <f>EXP(-LN(2)/2)*AW87+(1-EXP(-LN(2)/2))/(LN(2)/2)*AQ88*AT88*VLOOKUP('Données projet'!$B$10,Paramètres!$A$1:$I$89,3,0)*0.475*44/12</f>
        <v>2.8566242510890493E-6</v>
      </c>
      <c r="AX88" s="23">
        <f t="shared" si="60"/>
        <v>33.820424195114427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7.7333333333333387</v>
      </c>
      <c r="BD88" s="13">
        <f>IF('Données projet'!$A$88&gt;35,BD87+BC88-BL87,IF(A88&lt;'Données projet'!$A$88,$BA$205^A88,IF(A88='Données projet'!$A$88,'Données projet'!$B$88,BD87+BC88-BL87)))</f>
        <v>245.33333333333331</v>
      </c>
      <c r="BE88" s="14">
        <f>BD88*VLOOKUP('Données projet'!$B$11,Paramètres!$A$1:$I$89,3,0)*VLOOKUP('Données projet'!$B$11,Paramètres!$A$1:$I$89,5,0)</f>
        <v>206.6688</v>
      </c>
      <c r="BF88" s="14">
        <f t="shared" si="91"/>
        <v>51.206958627992755</v>
      </c>
      <c r="BG88" s="22">
        <f t="shared" si="61"/>
        <v>449.13361294375403</v>
      </c>
      <c r="BH88" s="62">
        <f t="shared" si="62"/>
        <v>742.46694627708735</v>
      </c>
      <c r="BI88" s="62">
        <f ca="1">AVERAGE(OFFSET($BH$3,0,0,'Données projet'!$E$11+1,1))-AVERAGE(OFFSET($H$3,0,0,'Données projet'!$E$11+1,1))</f>
        <v>339.58585574836434</v>
      </c>
      <c r="BJ88" s="62">
        <f t="shared" si="92"/>
        <v>42.267525972379588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18.451986984242716</v>
      </c>
      <c r="BQ88" s="23">
        <f>EXP(-LN(2)/25)*BQ87+(1-EXP(-LN(2)/25))/(LN(2)/25)*Calculateur!BL88*Calculateur!BN88*VLOOKUP('Données projet'!$B$11,Paramètres!$A$1:$I$89,3,0)*0.475*44/12</f>
        <v>12.06304631520835</v>
      </c>
      <c r="BR88" s="23">
        <f>EXP(-LN(2)/2)*BR87+(1-EXP(-LN(2)/2))/(LN(2)/2)*BL88*BO88*VLOOKUP('Données projet'!$B$11,Paramètres!$A$1:$I$89,3,0)*0.475*44/12</f>
        <v>1.6467436070871603E-3</v>
      </c>
      <c r="BS88" s="24">
        <f t="shared" si="63"/>
        <v>30.516680043058152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6.1609999999999996</v>
      </c>
      <c r="BY88" s="13">
        <f>IF('Données projet'!$A$114&gt;35,BY87+BX88-CG87,IF(A88&lt;'Données projet'!$A$114,$BV$205^A88,IF(A88='Données projet'!$A$114,'Données projet'!$B$114,BY87+BX88-CG87)))</f>
        <v>141.54499999999999</v>
      </c>
      <c r="BZ88" s="14">
        <f>BY88*VLOOKUP('Données projet'!$B$12,Paramètres!$A$1:$I$89,3,0)*VLOOKUP('Données projet'!$B$12,Paramètres!$A$1:$I$89,5,0)</f>
        <v>141.31852799999999</v>
      </c>
      <c r="CA88" s="14">
        <f t="shared" si="93"/>
        <v>36.598896755455584</v>
      </c>
      <c r="CB88" s="22">
        <f t="shared" si="64"/>
        <v>309.87284811575176</v>
      </c>
      <c r="CC88" s="62">
        <f t="shared" si="65"/>
        <v>603.20618144908508</v>
      </c>
      <c r="CD88" s="62">
        <f ca="1">AVERAGE(OFFSET($CC$3,0,0,'Données projet'!$E$12+1,1))-AVERAGE(OFFSET($H$3,0,0,'Données projet'!$E$12+1,1))</f>
        <v>112.34884104798977</v>
      </c>
      <c r="CE88" s="62">
        <f t="shared" si="94"/>
        <v>18.665658139749326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12.002913129404682</v>
      </c>
      <c r="CL88" s="23">
        <f>EXP(-LN(2)/25)*CL87+(1-EXP(-LN(2)/25))/(LN(2)/25)*Calculateur!CG88*Calculateur!CI88*VLOOKUP('Données projet'!$B$12,Paramètres!$A$1:$I$89,3,0)*0.475*44/12</f>
        <v>6.7638640100661087</v>
      </c>
      <c r="CM88" s="23">
        <f>EXP(-LN(2)/2)*CM87+(1-EXP(-LN(2)/2))/(LN(2)/2)*CG88*CJ88*VLOOKUP('Données projet'!$B$12,Paramètres!$A$1:$I$89,3,0)*0.475*44/12</f>
        <v>2.0961605500975725E-5</v>
      </c>
      <c r="CN88" s="24">
        <f t="shared" si="66"/>
        <v>18.76679810107629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-1.1368683772161603E-13</v>
      </c>
      <c r="CU88" s="18">
        <f>CT88*VLOOKUP('Données projet'!$B$13,Paramètres!$A$1:$I$89,3,0)*VLOOKUP('Données projet'!$B$13,Paramètres!$A$1:$I$89,5,0)</f>
        <v>-1.2414602679200469E-13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205.21073681197737</v>
      </c>
      <c r="CZ88" s="62">
        <f t="shared" si="96"/>
        <v>175.16446313750316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43.514359100879908</v>
      </c>
      <c r="DG88" s="23">
        <f>EXP(-LN(2)/25)*DG87+(1-EXP(-LN(2)/25))/(LN(2)/25)*Calculateur!DB88*Calculateur!DD88*VLOOKUP('Données projet'!$B$13,Paramètres!$A$1:$I$89,3,0)*0.475*44/12</f>
        <v>15.865314077951366</v>
      </c>
      <c r="DH88" s="23">
        <f>EXP(-LN(2)/2)*DH87+(1-EXP(-LN(2)/2))/(LN(2)/2)*DB88*DE88*VLOOKUP('Données projet'!$B$13,Paramètres!$A$1:$I$89,3,0)*0.475*44/12</f>
        <v>1.872968183477143E-5</v>
      </c>
      <c r="DI88" s="24">
        <f t="shared" si="69"/>
        <v>59.379691908513109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2.2737367544323206E-13</v>
      </c>
      <c r="DP88" s="18">
        <f>DO88*VLOOKUP('Données projet'!$B$14,Paramètres!$A$1:$I$89,3,0)*VLOOKUP('Données projet'!$B$14,Paramètres!$A$1:$I$89,5,0)</f>
        <v>1.8444552551954985E-13</v>
      </c>
      <c r="DQ88" s="14">
        <f t="shared" si="97"/>
        <v>2.580317449479618E-12</v>
      </c>
      <c r="DR88" s="22">
        <f t="shared" si="70"/>
        <v>4.8152955147902165E-12</v>
      </c>
      <c r="DS88" s="62">
        <f t="shared" si="71"/>
        <v>293.33333333333815</v>
      </c>
      <c r="DT88" s="62">
        <f ca="1">AVERAGE(OFFSET($DS$3,0,0,'Données projet'!$E$14+1,1))-AVERAGE(OFFSET($H$3,0,0,'Données projet'!$E$14+1,1))</f>
        <v>223.63222290670075</v>
      </c>
      <c r="DU88" s="62">
        <f t="shared" si="98"/>
        <v>290.02663909417248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46.336436284229976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1.6449976380752677E-2</v>
      </c>
      <c r="ED88" s="24">
        <f t="shared" si="72"/>
        <v>46.352886260610731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362.52652996660277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192.24617268603629</v>
      </c>
      <c r="T89" s="62">
        <f t="shared" si="88"/>
        <v>192.48585280662832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52.578780846607742</v>
      </c>
      <c r="AA89" s="23">
        <f>EXP(-LN(2)/25)*AA88+(1-EXP(-LN(2)/25))/(LN(2)/25)*Calculateur!V89*Calculateur!X89*VLOOKUP('Données projet'!$B$9,Paramètres!$A$1:$I$89,3,0)*0.475*44/12</f>
        <v>15.417329819210821</v>
      </c>
      <c r="AB89" s="23">
        <f>EXP(-LN(2)/2)*AB88+(1-EXP(-LN(2)/2))/(LN(2)/2)*V89*Y89*VLOOKUP('Données projet'!$B$9,Paramètres!$A$1:$I$89,3,0)*0.475*44/12</f>
        <v>5.1228725851145017E-3</v>
      </c>
      <c r="AC89" s="24">
        <f t="shared" si="57"/>
        <v>68.001233538403682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1.9999999998958629E-3</v>
      </c>
      <c r="AJ89" s="14">
        <f>AI89*VLOOKUP('Données projet'!$B$10,Paramètres!$A$1:$I$89,3,0)*VLOOKUP('Données projet'!$B$10,Paramètres!$A$1:$I$89,5,0)</f>
        <v>1.195999999937726E-3</v>
      </c>
      <c r="AK89" s="14">
        <f t="shared" si="89"/>
        <v>1.2062444695752218E-3</v>
      </c>
      <c r="AL89" s="22">
        <f t="shared" si="58"/>
        <v>4.1839091177350513E-3</v>
      </c>
      <c r="AM89" s="62">
        <f t="shared" si="59"/>
        <v>293.33751724245104</v>
      </c>
      <c r="AN89" s="62">
        <f ca="1">AVERAGE(OFFSET($AM$3,0,0,'Données projet'!$E$10+1,1))-AVERAGE(OFFSET($H$3,0,0,'Données projet'!$E$10+1,1))</f>
        <v>164.64952352018145</v>
      </c>
      <c r="AO89" s="62">
        <f t="shared" si="90"/>
        <v>280.08682720086921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26.293661902640078</v>
      </c>
      <c r="AV89" s="23">
        <f>EXP(-LN(2)/25)*AV88+(1-EXP(-LN(2)/25))/(LN(2)/25)*Calculateur!AQ89*Calculateur!AS89*VLOOKUP('Données projet'!$B$10,Paramètres!$A$1:$I$89,3,0)*0.475*44/12</f>
        <v>6.8094054361574194</v>
      </c>
      <c r="AW89" s="23">
        <f>EXP(-LN(2)/2)*AW88+(1-EXP(-LN(2)/2))/(LN(2)/2)*AQ89*AT89*VLOOKUP('Données projet'!$B$10,Paramètres!$A$1:$I$89,3,0)*0.475*44/12</f>
        <v>2.0199383792470095E-6</v>
      </c>
      <c r="AX89" s="23">
        <f t="shared" si="60"/>
        <v>33.10306935873588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7.7333333333333387</v>
      </c>
      <c r="BD89" s="13">
        <f>IF('Données projet'!$A$88&gt;35,BD88+BC89-BL88,IF(A89&lt;'Données projet'!$A$88,$BA$205^A89,IF(A89='Données projet'!$A$88,'Données projet'!$B$88,BD88+BC89-BL88)))</f>
        <v>253.06666666666666</v>
      </c>
      <c r="BE89" s="14">
        <f>BD89*VLOOKUP('Données projet'!$B$11,Paramètres!$A$1:$I$89,3,0)*VLOOKUP('Données projet'!$B$11,Paramètres!$A$1:$I$89,5,0)</f>
        <v>213.18336000000002</v>
      </c>
      <c r="BF89" s="14">
        <f t="shared" si="91"/>
        <v>52.630619656078551</v>
      </c>
      <c r="BG89" s="22">
        <f t="shared" si="61"/>
        <v>462.95934790100347</v>
      </c>
      <c r="BH89" s="62">
        <f t="shared" si="62"/>
        <v>756.29268123433678</v>
      </c>
      <c r="BI89" s="62">
        <f ca="1">AVERAGE(OFFSET($BH$3,0,0,'Données projet'!$E$11+1,1))-AVERAGE(OFFSET($H$3,0,0,'Données projet'!$E$11+1,1))</f>
        <v>339.58585574836434</v>
      </c>
      <c r="BJ89" s="62">
        <f t="shared" si="92"/>
        <v>42.267525972379588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18.090154774082478</v>
      </c>
      <c r="BQ89" s="23">
        <f>EXP(-LN(2)/25)*BQ88+(1-EXP(-LN(2)/25))/(LN(2)/25)*Calculateur!BL89*Calculateur!BN89*VLOOKUP('Données projet'!$B$11,Paramètres!$A$1:$I$89,3,0)*0.475*44/12</f>
        <v>11.733181679350942</v>
      </c>
      <c r="BR89" s="23">
        <f>EXP(-LN(2)/2)*BR88+(1-EXP(-LN(2)/2))/(LN(2)/2)*BL89*BO89*VLOOKUP('Données projet'!$B$11,Paramètres!$A$1:$I$89,3,0)*0.475*44/12</f>
        <v>1.1644235714469266E-3</v>
      </c>
      <c r="BS89" s="24">
        <f t="shared" si="63"/>
        <v>29.824500877004866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6.1609999999999996</v>
      </c>
      <c r="BY89" s="13">
        <f>IF('Données projet'!$A$114&gt;35,BY88+BX89-CG88,IF(A89&lt;'Données projet'!$A$114,$BV$205^A89,IF(A89='Données projet'!$A$114,'Données projet'!$B$114,BY88+BX89-CG88)))</f>
        <v>147.70599999999999</v>
      </c>
      <c r="BZ89" s="14">
        <f>BY89*VLOOKUP('Données projet'!$B$12,Paramètres!$A$1:$I$89,3,0)*VLOOKUP('Données projet'!$B$12,Paramètres!$A$1:$I$89,5,0)</f>
        <v>147.46967039999998</v>
      </c>
      <c r="CA89" s="14">
        <f t="shared" si="93"/>
        <v>38.002991021114212</v>
      </c>
      <c r="CB89" s="22">
        <f t="shared" si="64"/>
        <v>323.03155197510722</v>
      </c>
      <c r="CC89" s="62">
        <f t="shared" si="65"/>
        <v>616.36488530844053</v>
      </c>
      <c r="CD89" s="62">
        <f ca="1">AVERAGE(OFFSET($CC$3,0,0,'Données projet'!$E$12+1,1))-AVERAGE(OFFSET($H$3,0,0,'Données projet'!$E$12+1,1))</f>
        <v>112.34884104798977</v>
      </c>
      <c r="CE89" s="62">
        <f t="shared" si="94"/>
        <v>18.665658139749326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11.767543323991172</v>
      </c>
      <c r="CL89" s="23">
        <f>EXP(-LN(2)/25)*CL88+(1-EXP(-LN(2)/25))/(LN(2)/25)*Calculateur!CG89*Calculateur!CI89*VLOOKUP('Données projet'!$B$12,Paramètres!$A$1:$I$89,3,0)*0.475*44/12</f>
        <v>6.5789057930147017</v>
      </c>
      <c r="CM89" s="23">
        <f>EXP(-LN(2)/2)*CM88+(1-EXP(-LN(2)/2))/(LN(2)/2)*CG89*CJ89*VLOOKUP('Données projet'!$B$12,Paramètres!$A$1:$I$89,3,0)*0.475*44/12</f>
        <v>1.4822093394297173E-5</v>
      </c>
      <c r="CN89" s="24">
        <f t="shared" si="66"/>
        <v>18.346463939099269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-1.1368683772161603E-13</v>
      </c>
      <c r="CU89" s="18">
        <f>CT89*VLOOKUP('Données projet'!$B$13,Paramètres!$A$1:$I$89,3,0)*VLOOKUP('Données projet'!$B$13,Paramètres!$A$1:$I$89,5,0)</f>
        <v>-1.2414602679200469E-13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205.21073681197737</v>
      </c>
      <c r="CZ89" s="62">
        <f t="shared" si="96"/>
        <v>175.16446313750316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42.661069060049982</v>
      </c>
      <c r="DG89" s="23">
        <f>EXP(-LN(2)/25)*DG88+(1-EXP(-LN(2)/25))/(LN(2)/25)*Calculateur!DB89*Calculateur!DD89*VLOOKUP('Données projet'!$B$13,Paramètres!$A$1:$I$89,3,0)*0.475*44/12</f>
        <v>15.43147623016918</v>
      </c>
      <c r="DH89" s="23">
        <f>EXP(-LN(2)/2)*DH88+(1-EXP(-LN(2)/2))/(LN(2)/2)*DB89*DE89*VLOOKUP('Données projet'!$B$13,Paramètres!$A$1:$I$89,3,0)*0.475*44/12</f>
        <v>1.3243885034833375E-5</v>
      </c>
      <c r="DI89" s="24">
        <f t="shared" si="69"/>
        <v>58.092558534104199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2.2737367544323206E-13</v>
      </c>
      <c r="DP89" s="18">
        <f>DO89*VLOOKUP('Données projet'!$B$14,Paramètres!$A$1:$I$89,3,0)*VLOOKUP('Données projet'!$B$14,Paramètres!$A$1:$I$89,5,0)</f>
        <v>1.8444552551954985E-13</v>
      </c>
      <c r="DQ89" s="14">
        <f t="shared" si="97"/>
        <v>2.580317449479618E-12</v>
      </c>
      <c r="DR89" s="22">
        <f t="shared" si="70"/>
        <v>4.8152955147902165E-12</v>
      </c>
      <c r="DS89" s="62">
        <f t="shared" si="71"/>
        <v>293.33333333333815</v>
      </c>
      <c r="DT89" s="62">
        <f ca="1">AVERAGE(OFFSET($DS$3,0,0,'Données projet'!$E$14+1,1))-AVERAGE(OFFSET($H$3,0,0,'Données projet'!$E$14+1,1))</f>
        <v>223.63222290670075</v>
      </c>
      <c r="DU89" s="62">
        <f t="shared" si="98"/>
        <v>290.02663909417248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45.427807031131678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1.1631889849188759E-2</v>
      </c>
      <c r="ED89" s="24">
        <f t="shared" si="72"/>
        <v>45.439438920980869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363.72470239644252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192.24617268603629</v>
      </c>
      <c r="T90" s="62">
        <f t="shared" si="88"/>
        <v>192.48585280662832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51.547743024095439</v>
      </c>
      <c r="AA90" s="23">
        <f>EXP(-LN(2)/25)*AA89+(1-EXP(-LN(2)/25))/(LN(2)/25)*Calculateur!V90*Calculateur!X90*VLOOKUP('Données projet'!$B$9,Paramètres!$A$1:$I$89,3,0)*0.475*44/12</f>
        <v>14.995742124542362</v>
      </c>
      <c r="AB90" s="23">
        <f>EXP(-LN(2)/2)*AB89+(1-EXP(-LN(2)/2))/(LN(2)/2)*V90*Y90*VLOOKUP('Données projet'!$B$9,Paramètres!$A$1:$I$89,3,0)*0.475*44/12</f>
        <v>3.622417944089123E-3</v>
      </c>
      <c r="AC90" s="24">
        <f t="shared" si="57"/>
        <v>66.547107566581886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1.9999999998958629E-3</v>
      </c>
      <c r="AJ90" s="14">
        <f>AI90*VLOOKUP('Données projet'!$B$10,Paramètres!$A$1:$I$89,3,0)*VLOOKUP('Données projet'!$B$10,Paramètres!$A$1:$I$89,5,0)</f>
        <v>1.195999999937726E-3</v>
      </c>
      <c r="AK90" s="14">
        <f t="shared" si="89"/>
        <v>1.2062444695752218E-3</v>
      </c>
      <c r="AL90" s="22">
        <f t="shared" si="58"/>
        <v>4.1839091177350513E-3</v>
      </c>
      <c r="AM90" s="62">
        <f t="shared" si="59"/>
        <v>293.33751724245104</v>
      </c>
      <c r="AN90" s="62">
        <f ca="1">AVERAGE(OFFSET($AM$3,0,0,'Données projet'!$E$10+1,1))-AVERAGE(OFFSET($H$3,0,0,'Données projet'!$E$10+1,1))</f>
        <v>164.64952352018145</v>
      </c>
      <c r="AO90" s="62">
        <f t="shared" si="90"/>
        <v>280.08682720086921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25.778059230279492</v>
      </c>
      <c r="AV90" s="23">
        <f>EXP(-LN(2)/25)*AV89+(1-EXP(-LN(2)/25))/(LN(2)/25)*Calculateur!AQ90*Calculateur!AS90*VLOOKUP('Données projet'!$B$10,Paramètres!$A$1:$I$89,3,0)*0.475*44/12</f>
        <v>6.623201886414626</v>
      </c>
      <c r="AW90" s="23">
        <f>EXP(-LN(2)/2)*AW89+(1-EXP(-LN(2)/2))/(LN(2)/2)*AQ90*AT90*VLOOKUP('Données projet'!$B$10,Paramètres!$A$1:$I$89,3,0)*0.475*44/12</f>
        <v>1.4283121255445246E-6</v>
      </c>
      <c r="AX90" s="23">
        <f t="shared" si="60"/>
        <v>32.40126254500624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7.7333333333333387</v>
      </c>
      <c r="BD90" s="13">
        <f>IF('Données projet'!$A$88&gt;35,BD89+BC90-BL89,IF(A90&lt;'Données projet'!$A$88,$BA$205^A90,IF(A90='Données projet'!$A$88,'Données projet'!$B$88,BD89+BC90-BL89)))</f>
        <v>260.8</v>
      </c>
      <c r="BE90" s="14">
        <f>BD90*VLOOKUP('Données projet'!$B$11,Paramètres!$A$1:$I$89,3,0)*VLOOKUP('Données projet'!$B$11,Paramètres!$A$1:$I$89,5,0)</f>
        <v>219.69792000000004</v>
      </c>
      <c r="BF90" s="14">
        <f t="shared" si="91"/>
        <v>54.049224875637641</v>
      </c>
      <c r="BG90" s="22">
        <f t="shared" si="61"/>
        <v>476.77627732506897</v>
      </c>
      <c r="BH90" s="62">
        <f t="shared" si="62"/>
        <v>770.10961065840229</v>
      </c>
      <c r="BI90" s="62">
        <f ca="1">AVERAGE(OFFSET($BH$3,0,0,'Données projet'!$E$11+1,1))-AVERAGE(OFFSET($H$3,0,0,'Données projet'!$E$11+1,1))</f>
        <v>339.58585574836434</v>
      </c>
      <c r="BJ90" s="62">
        <f t="shared" si="92"/>
        <v>42.267525972379588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17.735417872867625</v>
      </c>
      <c r="BQ90" s="23">
        <f>EXP(-LN(2)/25)*BQ89+(1-EXP(-LN(2)/25))/(LN(2)/25)*Calculateur!BL90*Calculateur!BN90*VLOOKUP('Données projet'!$B$11,Paramètres!$A$1:$I$89,3,0)*0.475*44/12</f>
        <v>11.412337209307882</v>
      </c>
      <c r="BR90" s="23">
        <f>EXP(-LN(2)/2)*BR89+(1-EXP(-LN(2)/2))/(LN(2)/2)*BL90*BO90*VLOOKUP('Données projet'!$B$11,Paramètres!$A$1:$I$89,3,0)*0.475*44/12</f>
        <v>8.2337180354358013E-4</v>
      </c>
      <c r="BS90" s="24">
        <f t="shared" si="63"/>
        <v>29.148578453979052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6.1609999999999996</v>
      </c>
      <c r="BY90" s="13">
        <f>IF('Données projet'!$A$114&gt;35,BY89+BX90-CG89,IF(A90&lt;'Données projet'!$A$114,$BV$205^A90,IF(A90='Données projet'!$A$114,'Données projet'!$B$114,BY89+BX90-CG89)))</f>
        <v>153.86699999999999</v>
      </c>
      <c r="BZ90" s="14">
        <f>BY90*VLOOKUP('Données projet'!$B$12,Paramètres!$A$1:$I$89,3,0)*VLOOKUP('Données projet'!$B$12,Paramètres!$A$1:$I$89,5,0)</f>
        <v>153.62081280000001</v>
      </c>
      <c r="CA90" s="14">
        <f t="shared" si="93"/>
        <v>39.400282584424616</v>
      </c>
      <c r="CB90" s="22">
        <f t="shared" si="64"/>
        <v>336.17840779453951</v>
      </c>
      <c r="CC90" s="62">
        <f t="shared" si="65"/>
        <v>629.51174112787282</v>
      </c>
      <c r="CD90" s="62">
        <f ca="1">AVERAGE(OFFSET($CC$3,0,0,'Données projet'!$E$12+1,1))-AVERAGE(OFFSET($H$3,0,0,'Données projet'!$E$12+1,1))</f>
        <v>112.34884104798977</v>
      </c>
      <c r="CE90" s="62">
        <f t="shared" si="94"/>
        <v>18.665658139749326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11.536788976900414</v>
      </c>
      <c r="CL90" s="23">
        <f>EXP(-LN(2)/25)*CL89+(1-EXP(-LN(2)/25))/(LN(2)/25)*Calculateur!CG90*Calculateur!CI90*VLOOKUP('Données projet'!$B$12,Paramètres!$A$1:$I$89,3,0)*0.475*44/12</f>
        <v>6.3990052681350953</v>
      </c>
      <c r="CM90" s="23">
        <f>EXP(-LN(2)/2)*CM89+(1-EXP(-LN(2)/2))/(LN(2)/2)*CG90*CJ90*VLOOKUP('Données projet'!$B$12,Paramètres!$A$1:$I$89,3,0)*0.475*44/12</f>
        <v>1.0480802750487863E-5</v>
      </c>
      <c r="CN90" s="24">
        <f t="shared" si="66"/>
        <v>17.93580472583826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-1.1368683772161603E-13</v>
      </c>
      <c r="CU90" s="18">
        <f>CT90*VLOOKUP('Données projet'!$B$13,Paramètres!$A$1:$I$89,3,0)*VLOOKUP('Données projet'!$B$13,Paramètres!$A$1:$I$89,5,0)</f>
        <v>-1.2414602679200469E-13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205.21073681197737</v>
      </c>
      <c r="CZ90" s="62">
        <f t="shared" si="96"/>
        <v>175.16446313750316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41.824511516465201</v>
      </c>
      <c r="DG90" s="23">
        <f>EXP(-LN(2)/25)*DG89+(1-EXP(-LN(2)/25))/(LN(2)/25)*Calculateur!DB90*Calculateur!DD90*VLOOKUP('Données projet'!$B$13,Paramètres!$A$1:$I$89,3,0)*0.475*44/12</f>
        <v>15.009501701149137</v>
      </c>
      <c r="DH90" s="23">
        <f>EXP(-LN(2)/2)*DH89+(1-EXP(-LN(2)/2))/(LN(2)/2)*DB90*DE90*VLOOKUP('Données projet'!$B$13,Paramètres!$A$1:$I$89,3,0)*0.475*44/12</f>
        <v>9.3648409173857149E-6</v>
      </c>
      <c r="DI90" s="24">
        <f t="shared" si="69"/>
        <v>56.834022582455262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2.2737367544323206E-13</v>
      </c>
      <c r="DP90" s="18">
        <f>DO90*VLOOKUP('Données projet'!$B$14,Paramètres!$A$1:$I$89,3,0)*VLOOKUP('Données projet'!$B$14,Paramètres!$A$1:$I$89,5,0)</f>
        <v>1.8444552551954985E-13</v>
      </c>
      <c r="DQ90" s="14">
        <f t="shared" si="97"/>
        <v>2.580317449479618E-12</v>
      </c>
      <c r="DR90" s="22">
        <f t="shared" si="70"/>
        <v>4.8152955147902165E-12</v>
      </c>
      <c r="DS90" s="62">
        <f t="shared" si="71"/>
        <v>293.33333333333815</v>
      </c>
      <c r="DT90" s="62">
        <f ca="1">AVERAGE(OFFSET($DS$3,0,0,'Données projet'!$E$14+1,1))-AVERAGE(OFFSET($H$3,0,0,'Données projet'!$E$14+1,1))</f>
        <v>223.63222290670075</v>
      </c>
      <c r="DU90" s="62">
        <f t="shared" si="98"/>
        <v>290.02663909417248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44.536995443477515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8.2249881903763387E-3</v>
      </c>
      <c r="ED90" s="24">
        <f t="shared" si="72"/>
        <v>44.545220431667893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364.92254427319637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192.24617268603629</v>
      </c>
      <c r="T91" s="62">
        <f t="shared" si="88"/>
        <v>192.48585280662832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50.53692322441163</v>
      </c>
      <c r="AA91" s="23">
        <f>EXP(-LN(2)/25)*AA90+(1-EXP(-LN(2)/25))/(LN(2)/25)*Calculateur!V91*Calculateur!X91*VLOOKUP('Données projet'!$B$9,Paramètres!$A$1:$I$89,3,0)*0.475*44/12</f>
        <v>14.585682767554946</v>
      </c>
      <c r="AB91" s="23">
        <f>EXP(-LN(2)/2)*AB90+(1-EXP(-LN(2)/2))/(LN(2)/2)*V91*Y91*VLOOKUP('Données projet'!$B$9,Paramètres!$A$1:$I$89,3,0)*0.475*44/12</f>
        <v>2.5614362925572508E-3</v>
      </c>
      <c r="AC91" s="24">
        <f t="shared" si="57"/>
        <v>65.125167428259132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1.9999999998958629E-3</v>
      </c>
      <c r="AJ91" s="14">
        <f>AI91*VLOOKUP('Données projet'!$B$10,Paramètres!$A$1:$I$89,3,0)*VLOOKUP('Données projet'!$B$10,Paramètres!$A$1:$I$89,5,0)</f>
        <v>1.195999999937726E-3</v>
      </c>
      <c r="AK91" s="14">
        <f t="shared" si="89"/>
        <v>1.2062444695752218E-3</v>
      </c>
      <c r="AL91" s="22">
        <f t="shared" si="58"/>
        <v>4.1839091177350513E-3</v>
      </c>
      <c r="AM91" s="62">
        <f t="shared" si="59"/>
        <v>293.33751724245104</v>
      </c>
      <c r="AN91" s="62">
        <f ca="1">AVERAGE(OFFSET($AM$3,0,0,'Données projet'!$E$10+1,1))-AVERAGE(OFFSET($H$3,0,0,'Données projet'!$E$10+1,1))</f>
        <v>164.64952352018145</v>
      </c>
      <c r="AO91" s="62">
        <f t="shared" si="90"/>
        <v>280.08682720086921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25.27256721183732</v>
      </c>
      <c r="AV91" s="23">
        <f>EXP(-LN(2)/25)*AV90+(1-EXP(-LN(2)/25))/(LN(2)/25)*Calculateur!AQ91*Calculateur!AS91*VLOOKUP('Données projet'!$B$10,Paramètres!$A$1:$I$89,3,0)*0.475*44/12</f>
        <v>6.4420900825315686</v>
      </c>
      <c r="AW91" s="23">
        <f>EXP(-LN(2)/2)*AW90+(1-EXP(-LN(2)/2))/(LN(2)/2)*AQ91*AT91*VLOOKUP('Données projet'!$B$10,Paramètres!$A$1:$I$89,3,0)*0.475*44/12</f>
        <v>1.0099691896235048E-6</v>
      </c>
      <c r="AX91" s="23">
        <f t="shared" si="60"/>
        <v>31.714658304338077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7.7333333333333387</v>
      </c>
      <c r="BD91" s="13">
        <f>IF('Données projet'!$A$88&gt;35,BD90+BC91-BL90,IF(A91&lt;'Données projet'!$A$88,$BA$205^A91,IF(A91='Données projet'!$A$88,'Données projet'!$B$88,BD90+BC91-BL90)))</f>
        <v>268.53333333333336</v>
      </c>
      <c r="BE91" s="14">
        <f>BD91*VLOOKUP('Données projet'!$B$11,Paramètres!$A$1:$I$89,3,0)*VLOOKUP('Données projet'!$B$11,Paramètres!$A$1:$I$89,5,0)</f>
        <v>226.21248000000003</v>
      </c>
      <c r="BF91" s="14">
        <f t="shared" si="91"/>
        <v>55.46294141472962</v>
      </c>
      <c r="BG91" s="22">
        <f t="shared" si="61"/>
        <v>490.58469229732083</v>
      </c>
      <c r="BH91" s="62">
        <f t="shared" si="62"/>
        <v>783.91802563065414</v>
      </c>
      <c r="BI91" s="62">
        <f ca="1">AVERAGE(OFFSET($BH$3,0,0,'Données projet'!$E$11+1,1))-AVERAGE(OFFSET($H$3,0,0,'Données projet'!$E$11+1,1))</f>
        <v>339.58585574836434</v>
      </c>
      <c r="BJ91" s="62">
        <f t="shared" si="92"/>
        <v>42.267525972379588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17.387637145917452</v>
      </c>
      <c r="BQ91" s="23">
        <f>EXP(-LN(2)/25)*BQ90+(1-EXP(-LN(2)/25))/(LN(2)/25)*Calculateur!BL91*Calculateur!BN91*VLOOKUP('Données projet'!$B$11,Paramètres!$A$1:$I$89,3,0)*0.475*44/12</f>
        <v>11.100266248170627</v>
      </c>
      <c r="BR91" s="23">
        <f>EXP(-LN(2)/2)*BR90+(1-EXP(-LN(2)/2))/(LN(2)/2)*BL91*BO91*VLOOKUP('Données projet'!$B$11,Paramètres!$A$1:$I$89,3,0)*0.475*44/12</f>
        <v>5.822117857234633E-4</v>
      </c>
      <c r="BS91" s="24">
        <f t="shared" si="63"/>
        <v>28.488485605873802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6.1609999999999996</v>
      </c>
      <c r="BY91" s="13">
        <f>IF('Données projet'!$A$114&gt;35,BY90+BX91-CG90,IF(A91&lt;'Données projet'!$A$114,$BV$205^A91,IF(A91='Données projet'!$A$114,'Données projet'!$B$114,BY90+BX91-CG90)))</f>
        <v>160.02799999999999</v>
      </c>
      <c r="BZ91" s="14">
        <f>BY91*VLOOKUP('Données projet'!$B$12,Paramètres!$A$1:$I$89,3,0)*VLOOKUP('Données projet'!$B$12,Paramètres!$A$1:$I$89,5,0)</f>
        <v>159.77195520000001</v>
      </c>
      <c r="CA91" s="14">
        <f t="shared" si="93"/>
        <v>40.791074996547422</v>
      </c>
      <c r="CB91" s="22">
        <f t="shared" si="64"/>
        <v>349.31394425898679</v>
      </c>
      <c r="CC91" s="62">
        <f t="shared" si="65"/>
        <v>642.64727759232005</v>
      </c>
      <c r="CD91" s="62">
        <f ca="1">AVERAGE(OFFSET($CC$3,0,0,'Données projet'!$E$12+1,1))-AVERAGE(OFFSET($H$3,0,0,'Données projet'!$E$12+1,1))</f>
        <v>112.34884104798977</v>
      </c>
      <c r="CE91" s="62">
        <f t="shared" si="94"/>
        <v>18.665658139749326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11.310559581809851</v>
      </c>
      <c r="CL91" s="23">
        <f>EXP(-LN(2)/25)*CL90+(1-EXP(-LN(2)/25))/(LN(2)/25)*Calculateur!CG91*Calculateur!CI91*VLOOKUP('Données projet'!$B$12,Paramètres!$A$1:$I$89,3,0)*0.475*44/12</f>
        <v>6.2240241325688794</v>
      </c>
      <c r="CM91" s="23">
        <f>EXP(-LN(2)/2)*CM90+(1-EXP(-LN(2)/2))/(LN(2)/2)*CG91*CJ91*VLOOKUP('Données projet'!$B$12,Paramètres!$A$1:$I$89,3,0)*0.475*44/12</f>
        <v>7.4110466971485867E-6</v>
      </c>
      <c r="CN91" s="24">
        <f t="shared" si="66"/>
        <v>17.534591125425425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-1.1368683772161603E-13</v>
      </c>
      <c r="CU91" s="18">
        <f>CT91*VLOOKUP('Données projet'!$B$13,Paramètres!$A$1:$I$89,3,0)*VLOOKUP('Données projet'!$B$13,Paramètres!$A$1:$I$89,5,0)</f>
        <v>-1.2414602679200469E-13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205.21073681197737</v>
      </c>
      <c r="CZ91" s="62">
        <f t="shared" si="96"/>
        <v>175.16446313750316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41.004358356060393</v>
      </c>
      <c r="DG91" s="23">
        <f>EXP(-LN(2)/25)*DG90+(1-EXP(-LN(2)/25))/(LN(2)/25)*Calculateur!DB91*Calculateur!DD91*VLOOKUP('Données projet'!$B$13,Paramètres!$A$1:$I$89,3,0)*0.475*44/12</f>
        <v>14.599066087815824</v>
      </c>
      <c r="DH91" s="23">
        <f>EXP(-LN(2)/2)*DH90+(1-EXP(-LN(2)/2))/(LN(2)/2)*DB91*DE91*VLOOKUP('Données projet'!$B$13,Paramètres!$A$1:$I$89,3,0)*0.475*44/12</f>
        <v>6.6219425174166877E-6</v>
      </c>
      <c r="DI91" s="24">
        <f t="shared" si="69"/>
        <v>55.603431065818739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2.2737367544323206E-13</v>
      </c>
      <c r="DP91" s="18">
        <f>DO91*VLOOKUP('Données projet'!$B$14,Paramètres!$A$1:$I$89,3,0)*VLOOKUP('Données projet'!$B$14,Paramètres!$A$1:$I$89,5,0)</f>
        <v>1.8444552551954985E-13</v>
      </c>
      <c r="DQ91" s="14">
        <f t="shared" si="97"/>
        <v>2.580317449479618E-12</v>
      </c>
      <c r="DR91" s="22">
        <f t="shared" si="70"/>
        <v>4.8152955147902165E-12</v>
      </c>
      <c r="DS91" s="62">
        <f t="shared" si="71"/>
        <v>293.33333333333815</v>
      </c>
      <c r="DT91" s="62">
        <f ca="1">AVERAGE(OFFSET($DS$3,0,0,'Données projet'!$E$14+1,1))-AVERAGE(OFFSET($H$3,0,0,'Données projet'!$E$14+1,1))</f>
        <v>223.63222290670075</v>
      </c>
      <c r="DU91" s="62">
        <f t="shared" si="98"/>
        <v>290.02663909417248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43.663652127715835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5.8159449245943793E-3</v>
      </c>
      <c r="ED91" s="24">
        <f t="shared" si="72"/>
        <v>43.669468072640427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366.12005978779001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192.24617268603629</v>
      </c>
      <c r="T92" s="62">
        <f t="shared" si="88"/>
        <v>192.48585280662832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49.54592498446042</v>
      </c>
      <c r="AA92" s="23">
        <f>EXP(-LN(2)/25)*AA91+(1-EXP(-LN(2)/25))/(LN(2)/25)*Calculateur!V92*Calculateur!X92*VLOOKUP('Données projet'!$B$9,Paramètres!$A$1:$I$89,3,0)*0.475*44/12</f>
        <v>14.186836505248435</v>
      </c>
      <c r="AB92" s="23">
        <f>EXP(-LN(2)/2)*AB91+(1-EXP(-LN(2)/2))/(LN(2)/2)*V92*Y92*VLOOKUP('Données projet'!$B$9,Paramètres!$A$1:$I$89,3,0)*0.475*44/12</f>
        <v>1.8112089720445615E-3</v>
      </c>
      <c r="AC92" s="24">
        <f t="shared" si="57"/>
        <v>63.7345726986809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1.9999999998958629E-3</v>
      </c>
      <c r="AJ92" s="14">
        <f>AI92*VLOOKUP('Données projet'!$B$10,Paramètres!$A$1:$I$89,3,0)*VLOOKUP('Données projet'!$B$10,Paramètres!$A$1:$I$89,5,0)</f>
        <v>1.195999999937726E-3</v>
      </c>
      <c r="AK92" s="14">
        <f t="shared" si="89"/>
        <v>1.2062444695752218E-3</v>
      </c>
      <c r="AL92" s="22">
        <f t="shared" si="58"/>
        <v>4.1839091177350513E-3</v>
      </c>
      <c r="AM92" s="62">
        <f t="shared" si="59"/>
        <v>293.33751724245104</v>
      </c>
      <c r="AN92" s="62">
        <f ca="1">AVERAGE(OFFSET($AM$3,0,0,'Données projet'!$E$10+1,1))-AVERAGE(OFFSET($H$3,0,0,'Données projet'!$E$10+1,1))</f>
        <v>164.64952352018145</v>
      </c>
      <c r="AO92" s="62">
        <f t="shared" si="90"/>
        <v>280.08682720086921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24.776987583557109</v>
      </c>
      <c r="AV92" s="23">
        <f>EXP(-LN(2)/25)*AV91+(1-EXP(-LN(2)/25))/(LN(2)/25)*Calculateur!AQ92*Calculateur!AS92*VLOOKUP('Données projet'!$B$10,Paramètres!$A$1:$I$89,3,0)*0.475*44/12</f>
        <v>6.2659307904499491</v>
      </c>
      <c r="AW92" s="23">
        <f>EXP(-LN(2)/2)*AW91+(1-EXP(-LN(2)/2))/(LN(2)/2)*AQ92*AT92*VLOOKUP('Données projet'!$B$10,Paramètres!$A$1:$I$89,3,0)*0.475*44/12</f>
        <v>7.1415606277226232E-7</v>
      </c>
      <c r="AX92" s="23">
        <f t="shared" si="60"/>
        <v>31.042919088163121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7.7333333333333387</v>
      </c>
      <c r="BD92" s="13">
        <f>IF('Données projet'!$A$88&gt;35,BD91+BC92-BL91,IF(A92&lt;'Données projet'!$A$88,$BA$205^A92,IF(A92='Données projet'!$A$88,'Données projet'!$B$88,BD91+BC92-BL91)))</f>
        <v>276.26666666666671</v>
      </c>
      <c r="BE92" s="14">
        <f>BD92*VLOOKUP('Données projet'!$B$11,Paramètres!$A$1:$I$89,3,0)*VLOOKUP('Données projet'!$B$11,Paramètres!$A$1:$I$89,5,0)</f>
        <v>232.72704000000004</v>
      </c>
      <c r="BF92" s="14">
        <f t="shared" si="91"/>
        <v>56.871926227931162</v>
      </c>
      <c r="BG92" s="22">
        <f t="shared" si="61"/>
        <v>504.38486618031351</v>
      </c>
      <c r="BH92" s="62">
        <f t="shared" si="62"/>
        <v>797.71819951364682</v>
      </c>
      <c r="BI92" s="62">
        <f ca="1">AVERAGE(OFFSET($BH$3,0,0,'Données projet'!$E$11+1,1))-AVERAGE(OFFSET($H$3,0,0,'Données projet'!$E$11+1,1))</f>
        <v>339.58585574836434</v>
      </c>
      <c r="BJ92" s="62">
        <f t="shared" si="92"/>
        <v>42.267525972379588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17.046676186897471</v>
      </c>
      <c r="BQ92" s="23">
        <f>EXP(-LN(2)/25)*BQ91+(1-EXP(-LN(2)/25))/(LN(2)/25)*Calculateur!BL92*Calculateur!BN92*VLOOKUP('Données projet'!$B$11,Paramètres!$A$1:$I$89,3,0)*0.475*44/12</f>
        <v>10.796728883876769</v>
      </c>
      <c r="BR92" s="23">
        <f>EXP(-LN(2)/2)*BR91+(1-EXP(-LN(2)/2))/(LN(2)/2)*BL92*BO92*VLOOKUP('Données projet'!$B$11,Paramètres!$A$1:$I$89,3,0)*0.475*44/12</f>
        <v>4.1168590177179007E-4</v>
      </c>
      <c r="BS92" s="24">
        <f t="shared" si="63"/>
        <v>27.843816756676009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6.1609999999999996</v>
      </c>
      <c r="BY92" s="13">
        <f>IF('Données projet'!$A$114&gt;35,BY91+BX92-CG91,IF(A92&lt;'Données projet'!$A$114,$BV$205^A92,IF(A92='Données projet'!$A$114,'Données projet'!$B$114,BY91+BX92-CG91)))</f>
        <v>166.18899999999999</v>
      </c>
      <c r="BZ92" s="14">
        <f>BY92*VLOOKUP('Données projet'!$B$12,Paramètres!$A$1:$I$89,3,0)*VLOOKUP('Données projet'!$B$12,Paramètres!$A$1:$I$89,5,0)</f>
        <v>165.92309760000001</v>
      </c>
      <c r="CA92" s="14">
        <f t="shared" si="93"/>
        <v>42.175647111866233</v>
      </c>
      <c r="CB92" s="22">
        <f t="shared" si="64"/>
        <v>362.43864703983371</v>
      </c>
      <c r="CC92" s="62">
        <f t="shared" si="65"/>
        <v>655.77198037316703</v>
      </c>
      <c r="CD92" s="62">
        <f ca="1">AVERAGE(OFFSET($CC$3,0,0,'Données projet'!$E$12+1,1))-AVERAGE(OFFSET($H$3,0,0,'Données projet'!$E$12+1,1))</f>
        <v>112.34884104798977</v>
      </c>
      <c r="CE92" s="62">
        <f t="shared" si="94"/>
        <v>18.665658139749326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11.088766407170709</v>
      </c>
      <c r="CL92" s="23">
        <f>EXP(-LN(2)/25)*CL91+(1-EXP(-LN(2)/25))/(LN(2)/25)*Calculateur!CG92*Calculateur!CI92*VLOOKUP('Données projet'!$B$12,Paramètres!$A$1:$I$89,3,0)*0.475*44/12</f>
        <v>6.0538278653565794</v>
      </c>
      <c r="CM92" s="23">
        <f>EXP(-LN(2)/2)*CM91+(1-EXP(-LN(2)/2))/(LN(2)/2)*CG92*CJ92*VLOOKUP('Données projet'!$B$12,Paramètres!$A$1:$I$89,3,0)*0.475*44/12</f>
        <v>5.2404013752439314E-6</v>
      </c>
      <c r="CN92" s="24">
        <f t="shared" si="66"/>
        <v>17.142599512928665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-1.1368683772161603E-13</v>
      </c>
      <c r="CU92" s="18">
        <f>CT92*VLOOKUP('Données projet'!$B$13,Paramètres!$A$1:$I$89,3,0)*VLOOKUP('Données projet'!$B$13,Paramètres!$A$1:$I$89,5,0)</f>
        <v>-1.2414602679200469E-13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205.21073681197737</v>
      </c>
      <c r="CZ92" s="62">
        <f t="shared" si="96"/>
        <v>175.16446313750316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40.200287898887098</v>
      </c>
      <c r="DG92" s="23">
        <f>EXP(-LN(2)/25)*DG91+(1-EXP(-LN(2)/25))/(LN(2)/25)*Calculateur!DB92*Calculateur!DD92*VLOOKUP('Données projet'!$B$13,Paramètres!$A$1:$I$89,3,0)*0.475*44/12</f>
        <v>14.199853857912982</v>
      </c>
      <c r="DH92" s="23">
        <f>EXP(-LN(2)/2)*DH91+(1-EXP(-LN(2)/2))/(LN(2)/2)*DB92*DE92*VLOOKUP('Données projet'!$B$13,Paramètres!$A$1:$I$89,3,0)*0.475*44/12</f>
        <v>4.6824204586928574E-6</v>
      </c>
      <c r="DI92" s="24">
        <f t="shared" si="69"/>
        <v>54.400146439220542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2.2737367544323206E-13</v>
      </c>
      <c r="DP92" s="18">
        <f>DO92*VLOOKUP('Données projet'!$B$14,Paramètres!$A$1:$I$89,3,0)*VLOOKUP('Données projet'!$B$14,Paramètres!$A$1:$I$89,5,0)</f>
        <v>1.8444552551954985E-13</v>
      </c>
      <c r="DQ92" s="14">
        <f t="shared" si="97"/>
        <v>2.580317449479618E-12</v>
      </c>
      <c r="DR92" s="22">
        <f t="shared" si="70"/>
        <v>4.8152955147902165E-12</v>
      </c>
      <c r="DS92" s="62">
        <f t="shared" si="71"/>
        <v>293.33333333333815</v>
      </c>
      <c r="DT92" s="62">
        <f ca="1">AVERAGE(OFFSET($DS$3,0,0,'Données projet'!$E$14+1,1))-AVERAGE(OFFSET($H$3,0,0,'Données projet'!$E$14+1,1))</f>
        <v>223.63222290670075</v>
      </c>
      <c r="DU92" s="62">
        <f t="shared" si="98"/>
        <v>290.02663909417248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42.807434541689418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4.1124940951881694E-3</v>
      </c>
      <c r="ED92" s="24">
        <f t="shared" si="72"/>
        <v>42.811547035784606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367.31725303154894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192.24617268603629</v>
      </c>
      <c r="T93" s="62">
        <f t="shared" si="88"/>
        <v>192.48585280662832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48.574359615545411</v>
      </c>
      <c r="AA93" s="23">
        <f>EXP(-LN(2)/25)*AA92+(1-EXP(-LN(2)/25))/(LN(2)/25)*Calculateur!V93*Calculateur!X93*VLOOKUP('Données projet'!$B$9,Paramètres!$A$1:$I$89,3,0)*0.475*44/12</f>
        <v>13.798896714959108</v>
      </c>
      <c r="AB93" s="23">
        <f>EXP(-LN(2)/2)*AB92+(1-EXP(-LN(2)/2))/(LN(2)/2)*V93*Y93*VLOOKUP('Données projet'!$B$9,Paramètres!$A$1:$I$89,3,0)*0.475*44/12</f>
        <v>1.2807181462786254E-3</v>
      </c>
      <c r="AC93" s="24">
        <f t="shared" si="57"/>
        <v>62.374537048650794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1.9999999998958629E-3</v>
      </c>
      <c r="AJ93" s="14">
        <f>AI93*VLOOKUP('Données projet'!$B$10,Paramètres!$A$1:$I$89,3,0)*VLOOKUP('Données projet'!$B$10,Paramètres!$A$1:$I$89,5,0)</f>
        <v>1.195999999937726E-3</v>
      </c>
      <c r="AK93" s="14">
        <f t="shared" si="89"/>
        <v>1.2062444695752218E-3</v>
      </c>
      <c r="AL93" s="22">
        <f t="shared" si="58"/>
        <v>4.1839091177350513E-3</v>
      </c>
      <c r="AM93" s="62">
        <f t="shared" si="59"/>
        <v>293.33751724245104</v>
      </c>
      <c r="AN93" s="62">
        <f ca="1">AVERAGE(OFFSET($AM$3,0,0,'Données projet'!$E$10+1,1))-AVERAGE(OFFSET($H$3,0,0,'Données projet'!$E$10+1,1))</f>
        <v>164.64952352018145</v>
      </c>
      <c r="AO93" s="62">
        <f t="shared" si="90"/>
        <v>280.08682720086921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24.291125969513747</v>
      </c>
      <c r="AV93" s="23">
        <f>EXP(-LN(2)/25)*AV92+(1-EXP(-LN(2)/25))/(LN(2)/25)*Calculateur!AQ93*Calculateur!AS93*VLOOKUP('Données projet'!$B$10,Paramètres!$A$1:$I$89,3,0)*0.475*44/12</f>
        <v>6.094588583474116</v>
      </c>
      <c r="AW93" s="23">
        <f>EXP(-LN(2)/2)*AW92+(1-EXP(-LN(2)/2))/(LN(2)/2)*AQ93*AT93*VLOOKUP('Données projet'!$B$10,Paramètres!$A$1:$I$89,3,0)*0.475*44/12</f>
        <v>5.0498459481175239E-7</v>
      </c>
      <c r="AX93" s="23">
        <f t="shared" si="60"/>
        <v>30.385715057972458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284</v>
      </c>
      <c r="BB93" s="13">
        <f>VLOOKUP(A93,'Données projet'!$A$87:$I$107,9,0)</f>
        <v>7.7333333333333387</v>
      </c>
      <c r="BC93" s="13">
        <f t="array" ref="BC93">INDEX(BB:BB,MIN(IF(ISNUMBER(BB93:BB289),ROW(BB93:BB289),"")))</f>
        <v>7.7333333333333387</v>
      </c>
      <c r="BD93" s="13">
        <f>IF('Données projet'!$A$88&gt;35,BD92+BC93-BL92,IF(A93&lt;'Données projet'!$A$88,$BA$205^A93,IF(A93='Données projet'!$A$88,'Données projet'!$B$88,BD92+BC93-BL92)))</f>
        <v>284.00000000000006</v>
      </c>
      <c r="BE93" s="14">
        <f>BD93*VLOOKUP('Données projet'!$B$11,Paramètres!$A$1:$I$89,3,0)*VLOOKUP('Données projet'!$B$11,Paramètres!$A$1:$I$89,5,0)</f>
        <v>239.24160000000006</v>
      </c>
      <c r="BF93" s="14">
        <f t="shared" si="91"/>
        <v>58.276326982845887</v>
      </c>
      <c r="BG93" s="22">
        <f t="shared" si="61"/>
        <v>518.17705616179001</v>
      </c>
      <c r="BH93" s="62">
        <f t="shared" si="62"/>
        <v>811.51038949512326</v>
      </c>
      <c r="BI93" s="62">
        <f ca="1">AVERAGE(OFFSET($BH$3,0,0,'Données projet'!$E$11+1,1))-AVERAGE(OFFSET($H$3,0,0,'Données projet'!$E$11+1,1))</f>
        <v>339.58585574836434</v>
      </c>
      <c r="BJ93" s="62">
        <f t="shared" si="92"/>
        <v>42.267525972379588</v>
      </c>
      <c r="BK93" s="16">
        <f>IF(ISNA(VLOOKUP(A93,'Données projet'!$A$87:$I$107,3,0)),0,VLOOKUP(A93,'Données projet'!$A$87:$I$107,3,0))</f>
        <v>11</v>
      </c>
      <c r="BL93" s="16">
        <f>IF(ISNA(VLOOKUP(A93,'Données projet'!$A$87:$I$107,4,0)),0,VLOOKUP(A93,'Données projet'!$A$87:$I$107,4,0))</f>
        <v>31.24</v>
      </c>
      <c r="BM93" s="17">
        <f>IF(ISNA(VLOOKUP(A93,'Données projet'!$A$87:$I$107,5,0)),0%,VLOOKUP(A93,'Données projet'!$A$87:$I$107,5,0)*VLOOKUP('Données projet'!$B$11,Paramètres!$A$1:$I$89,7,0))</f>
        <v>0.25800000000000001</v>
      </c>
      <c r="BN93" s="17">
        <f>IF(ISNA(VLOOKUP(A93,'Données projet'!$A$87:$I$107,6,0)),0%,VLOOKUP(A93,'Données projet'!$A$87:$I$107,6,0)*VLOOKUP('Données projet'!$B$11,Paramètres!$A$1:$I$89,7,0))</f>
        <v>8.6000000000000007E-2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24.218187641069978</v>
      </c>
      <c r="BQ93" s="23">
        <f>EXP(-LN(2)/25)*BQ92+(1-EXP(-LN(2)/25))/(LN(2)/25)*Calculateur!BL93*Calculateur!BN93*VLOOKUP('Données projet'!$B$11,Paramètres!$A$1:$I$89,3,0)*0.475*44/12</f>
        <v>12.99356951005775</v>
      </c>
      <c r="BR93" s="23">
        <f>EXP(-LN(2)/2)*BR92+(1-EXP(-LN(2)/2))/(LN(2)/2)*BL93*BO93*VLOOKUP('Données projet'!$B$11,Paramètres!$A$1:$I$89,3,0)*0.475*44/12</f>
        <v>2.9110589286173165E-4</v>
      </c>
      <c r="BS93" s="24">
        <f t="shared" si="63"/>
        <v>37.212048257020591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172.35</v>
      </c>
      <c r="BW93" s="13">
        <f>VLOOKUP(A93,'Données projet'!$A$113:$I$133,9,0)</f>
        <v>6.1609999999999996</v>
      </c>
      <c r="BX93" s="13">
        <f t="array" ref="BX93">INDEX(BW:BW,MIN(IF(ISNUMBER(BW93:BW289),ROW(BW93:BW289),"")))</f>
        <v>6.1609999999999996</v>
      </c>
      <c r="BY93" s="13">
        <f>IF('Données projet'!$A$114&gt;35,BY92+BX93-CG92,IF(A93&lt;'Données projet'!$A$114,$BV$205^A93,IF(A93='Données projet'!$A$114,'Données projet'!$B$114,BY92+BX93-CG92)))</f>
        <v>172.35</v>
      </c>
      <c r="BZ93" s="14">
        <f>BY93*VLOOKUP('Données projet'!$B$12,Paramètres!$A$1:$I$89,3,0)*VLOOKUP('Données projet'!$B$12,Paramètres!$A$1:$I$89,5,0)</f>
        <v>172.07424</v>
      </c>
      <c r="CA93" s="14">
        <f t="shared" si="93"/>
        <v>43.554255937792014</v>
      </c>
      <c r="CB93" s="22">
        <f t="shared" si="64"/>
        <v>375.55296375832108</v>
      </c>
      <c r="CC93" s="62">
        <f t="shared" si="65"/>
        <v>668.88629709165434</v>
      </c>
      <c r="CD93" s="62">
        <f ca="1">AVERAGE(OFFSET($CC$3,0,0,'Données projet'!$E$12+1,1))-AVERAGE(OFFSET($H$3,0,0,'Données projet'!$E$12+1,1))</f>
        <v>112.34884104798977</v>
      </c>
      <c r="CE93" s="62">
        <f t="shared" si="94"/>
        <v>18.665658139749326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32.229999999999997</v>
      </c>
      <c r="CH93" s="17">
        <f>IF(ISNA(VLOOKUP(A93,'Données projet'!$A$113:$I$133,5,0)),0%,VLOOKUP(A93,'Données projet'!$A$113:$I$133,5,0)*VLOOKUP('Données projet'!$B$12,Paramètres!$A$1:$I$89,7,0))</f>
        <v>0.25800000000000001</v>
      </c>
      <c r="CI93" s="17">
        <f>IF(ISNA(VLOOKUP(A93,'Données projet'!$A$113:$I$133,6,0)),0%,VLOOKUP(A93,'Données projet'!$A$113:$I$133,6,0)*VLOOKUP('Données projet'!$B$12,Paramètres!$A$1:$I$89,7,0))</f>
        <v>8.6000000000000007E-2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20.048976747846091</v>
      </c>
      <c r="CL93" s="23">
        <f>EXP(-LN(2)/25)*CL92+(1-EXP(-LN(2)/25))/(LN(2)/25)*Calculateur!CG93*Calculateur!CI93*VLOOKUP('Données projet'!$B$12,Paramètres!$A$1:$I$89,3,0)*0.475*44/12</f>
        <v>8.935458412206156</v>
      </c>
      <c r="CM93" s="23">
        <f>EXP(-LN(2)/2)*CM92+(1-EXP(-LN(2)/2))/(LN(2)/2)*CG93*CJ93*VLOOKUP('Données projet'!$B$12,Paramètres!$A$1:$I$89,3,0)*0.475*44/12</f>
        <v>3.7055233485742933E-6</v>
      </c>
      <c r="CN93" s="24">
        <f t="shared" si="66"/>
        <v>28.984438865575594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-1.1368683772161603E-13</v>
      </c>
      <c r="CU93" s="18">
        <f>CT93*VLOOKUP('Données projet'!$B$13,Paramètres!$A$1:$I$89,3,0)*VLOOKUP('Données projet'!$B$13,Paramètres!$A$1:$I$89,5,0)</f>
        <v>-1.2414602679200469E-13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205.21073681197737</v>
      </c>
      <c r="CZ93" s="62">
        <f t="shared" si="96"/>
        <v>175.16446313750316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39.411984772944415</v>
      </c>
      <c r="DG93" s="23">
        <f>EXP(-LN(2)/25)*DG92+(1-EXP(-LN(2)/25))/(LN(2)/25)*Calculateur!DB93*Calculateur!DD93*VLOOKUP('Données projet'!$B$13,Paramètres!$A$1:$I$89,3,0)*0.475*44/12</f>
        <v>13.811558107430491</v>
      </c>
      <c r="DH93" s="23">
        <f>EXP(-LN(2)/2)*DH92+(1-EXP(-LN(2)/2))/(LN(2)/2)*DB93*DE93*VLOOKUP('Données projet'!$B$13,Paramètres!$A$1:$I$89,3,0)*0.475*44/12</f>
        <v>3.3109712587083439E-6</v>
      </c>
      <c r="DI93" s="24">
        <f t="shared" si="69"/>
        <v>53.223546191346166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2.2737367544323206E-13</v>
      </c>
      <c r="DP93" s="18">
        <f>DO93*VLOOKUP('Données projet'!$B$14,Paramètres!$A$1:$I$89,3,0)*VLOOKUP('Données projet'!$B$14,Paramètres!$A$1:$I$89,5,0)</f>
        <v>1.8444552551954985E-13</v>
      </c>
      <c r="DQ93" s="14">
        <f t="shared" si="97"/>
        <v>2.580317449479618E-12</v>
      </c>
      <c r="DR93" s="22">
        <f t="shared" si="70"/>
        <v>4.8152955147902165E-12</v>
      </c>
      <c r="DS93" s="62">
        <f t="shared" si="71"/>
        <v>293.33333333333815</v>
      </c>
      <c r="DT93" s="62">
        <f ca="1">AVERAGE(OFFSET($DS$3,0,0,'Données projet'!$E$14+1,1))-AVERAGE(OFFSET($H$3,0,0,'Données projet'!$E$14+1,1))</f>
        <v>223.63222290670075</v>
      </c>
      <c r="DU93" s="62">
        <f t="shared" si="98"/>
        <v>290.02663909417248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41.968006860283815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2.9079724622971897E-3</v>
      </c>
      <c r="ED93" s="24">
        <f t="shared" si="72"/>
        <v>41.970914832746111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368.51412799964498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192.24617268603629</v>
      </c>
      <c r="T94" s="62">
        <f t="shared" si="88"/>
        <v>192.48585280662832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47.621846050918464</v>
      </c>
      <c r="AA94" s="23">
        <f>EXP(-LN(2)/25)*AA93+(1-EXP(-LN(2)/25))/(LN(2)/25)*Calculateur!V94*Calculateur!X94*VLOOKUP('Données projet'!$B$9,Paramètres!$A$1:$I$89,3,0)*0.475*44/12</f>
        <v>13.421565158636112</v>
      </c>
      <c r="AB94" s="23">
        <f>EXP(-LN(2)/2)*AB93+(1-EXP(-LN(2)/2))/(LN(2)/2)*V94*Y94*VLOOKUP('Données projet'!$B$9,Paramètres!$A$1:$I$89,3,0)*0.475*44/12</f>
        <v>9.0560448602228076E-4</v>
      </c>
      <c r="AC94" s="24">
        <f t="shared" si="57"/>
        <v>61.044316814040599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1.9999999998958629E-3</v>
      </c>
      <c r="AJ94" s="14">
        <f>AI94*VLOOKUP('Données projet'!$B$10,Paramètres!$A$1:$I$89,3,0)*VLOOKUP('Données projet'!$B$10,Paramètres!$A$1:$I$89,5,0)</f>
        <v>1.195999999937726E-3</v>
      </c>
      <c r="AK94" s="14">
        <f t="shared" si="89"/>
        <v>1.2062444695752218E-3</v>
      </c>
      <c r="AL94" s="22">
        <f t="shared" si="58"/>
        <v>4.1839091177350513E-3</v>
      </c>
      <c r="AM94" s="62">
        <f t="shared" si="59"/>
        <v>293.33751724245104</v>
      </c>
      <c r="AN94" s="62">
        <f ca="1">AVERAGE(OFFSET($AM$3,0,0,'Données projet'!$E$10+1,1))-AVERAGE(OFFSET($H$3,0,0,'Données projet'!$E$10+1,1))</f>
        <v>164.64952352018145</v>
      </c>
      <c r="AO94" s="62">
        <f t="shared" si="90"/>
        <v>280.08682720086921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23.814791805375453</v>
      </c>
      <c r="AV94" s="23">
        <f>EXP(-LN(2)/25)*AV93+(1-EXP(-LN(2)/25))/(LN(2)/25)*Calculateur!AQ94*Calculateur!AS94*VLOOKUP('Données projet'!$B$10,Paramètres!$A$1:$I$89,3,0)*0.475*44/12</f>
        <v>5.9279317381585317</v>
      </c>
      <c r="AW94" s="23">
        <f>EXP(-LN(2)/2)*AW93+(1-EXP(-LN(2)/2))/(LN(2)/2)*AQ94*AT94*VLOOKUP('Données projet'!$B$10,Paramètres!$A$1:$I$89,3,0)*0.475*44/12</f>
        <v>3.5707803138613116E-7</v>
      </c>
      <c r="AX94" s="23">
        <f t="shared" si="60"/>
        <v>29.742723900612017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7.5650000000000048</v>
      </c>
      <c r="BD94" s="13">
        <f>IF('Données projet'!$A$88&gt;35,BD93+BC94-BL93,IF(A94&lt;'Données projet'!$A$88,$BA$205^A94,IF(A94='Données projet'!$A$88,'Données projet'!$B$88,BD93+BC94-BL93)))</f>
        <v>260.32500000000005</v>
      </c>
      <c r="BE94" s="14">
        <f>BD94*VLOOKUP('Données projet'!$B$11,Paramètres!$A$1:$I$89,3,0)*VLOOKUP('Données projet'!$B$11,Paramètres!$A$1:$I$89,5,0)</f>
        <v>219.29778000000007</v>
      </c>
      <c r="BF94" s="14">
        <f t="shared" si="91"/>
        <v>53.962233286560462</v>
      </c>
      <c r="BG94" s="22">
        <f t="shared" si="61"/>
        <v>475.92785647409295</v>
      </c>
      <c r="BH94" s="62">
        <f t="shared" si="62"/>
        <v>769.26118980742626</v>
      </c>
      <c r="BI94" s="62">
        <f ca="1">AVERAGE(OFFSET($BH$3,0,0,'Données projet'!$E$11+1,1))-AVERAGE(OFFSET($H$3,0,0,'Données projet'!$E$11+1,1))</f>
        <v>339.58585574836434</v>
      </c>
      <c r="BJ94" s="62">
        <f t="shared" si="92"/>
        <v>42.267525972379588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23.743283753064478</v>
      </c>
      <c r="BQ94" s="23">
        <f>EXP(-LN(2)/25)*BQ93+(1-EXP(-LN(2)/25))/(LN(2)/25)*Calculateur!BL94*Calculateur!BN94*VLOOKUP('Données projet'!$B$11,Paramètres!$A$1:$I$89,3,0)*0.475*44/12</f>
        <v>12.638259668503098</v>
      </c>
      <c r="BR94" s="23">
        <f>EXP(-LN(2)/2)*BR93+(1-EXP(-LN(2)/2))/(LN(2)/2)*BL94*BO94*VLOOKUP('Données projet'!$B$11,Paramètres!$A$1:$I$89,3,0)*0.475*44/12</f>
        <v>2.0584295088589503E-4</v>
      </c>
      <c r="BS94" s="24">
        <f t="shared" si="63"/>
        <v>36.381749264518461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4.2259999999999991</v>
      </c>
      <c r="BY94" s="13">
        <f>IF('Données projet'!$A$114&gt;35,BY93+BX94-CG93,IF(A94&lt;'Données projet'!$A$114,$BV$205^A94,IF(A94='Données projet'!$A$114,'Données projet'!$B$114,BY93+BX94-CG93)))</f>
        <v>144.346</v>
      </c>
      <c r="BZ94" s="14">
        <f>BY94*VLOOKUP('Données projet'!$B$12,Paramètres!$A$1:$I$89,3,0)*VLOOKUP('Données projet'!$B$12,Paramètres!$A$1:$I$89,5,0)</f>
        <v>144.11504640000001</v>
      </c>
      <c r="CA94" s="14">
        <f t="shared" si="93"/>
        <v>37.238109549755947</v>
      </c>
      <c r="CB94" s="22">
        <f t="shared" si="64"/>
        <v>315.85674661249158</v>
      </c>
      <c r="CC94" s="62">
        <f t="shared" si="65"/>
        <v>609.19007994582489</v>
      </c>
      <c r="CD94" s="62">
        <f ca="1">AVERAGE(OFFSET($CC$3,0,0,'Données projet'!$E$12+1,1))-AVERAGE(OFFSET($H$3,0,0,'Données projet'!$E$12+1,1))</f>
        <v>112.34884104798977</v>
      </c>
      <c r="CE94" s="62">
        <f t="shared" si="94"/>
        <v>18.665658139749326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19.655828542489164</v>
      </c>
      <c r="CL94" s="23">
        <f>EXP(-LN(2)/25)*CL93+(1-EXP(-LN(2)/25))/(LN(2)/25)*Calculateur!CG94*Calculateur!CI94*VLOOKUP('Données projet'!$B$12,Paramètres!$A$1:$I$89,3,0)*0.475*44/12</f>
        <v>8.6911178320290432</v>
      </c>
      <c r="CM94" s="23">
        <f>EXP(-LN(2)/2)*CM93+(1-EXP(-LN(2)/2))/(LN(2)/2)*CG94*CJ94*VLOOKUP('Données projet'!$B$12,Paramètres!$A$1:$I$89,3,0)*0.475*44/12</f>
        <v>2.6202006876219657E-6</v>
      </c>
      <c r="CN94" s="24">
        <f t="shared" si="66"/>
        <v>28.346948994718897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-1.1368683772161603E-13</v>
      </c>
      <c r="CU94" s="18">
        <f>CT94*VLOOKUP('Données projet'!$B$13,Paramètres!$A$1:$I$89,3,0)*VLOOKUP('Données projet'!$B$13,Paramètres!$A$1:$I$89,5,0)</f>
        <v>-1.2414602679200469E-13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205.21073681197737</v>
      </c>
      <c r="CZ94" s="62">
        <f t="shared" si="96"/>
        <v>175.16446313750316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38.639139790484037</v>
      </c>
      <c r="DG94" s="23">
        <f>EXP(-LN(2)/25)*DG93+(1-EXP(-LN(2)/25))/(LN(2)/25)*Calculateur!DB94*Calculateur!DD94*VLOOKUP('Données projet'!$B$13,Paramètres!$A$1:$I$89,3,0)*0.475*44/12</f>
        <v>13.43388032466453</v>
      </c>
      <c r="DH94" s="23">
        <f>EXP(-LN(2)/2)*DH93+(1-EXP(-LN(2)/2))/(LN(2)/2)*DB94*DE94*VLOOKUP('Données projet'!$B$13,Paramètres!$A$1:$I$89,3,0)*0.475*44/12</f>
        <v>2.3412102293464287E-6</v>
      </c>
      <c r="DI94" s="24">
        <f t="shared" si="69"/>
        <v>52.073022456358792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2.2737367544323206E-13</v>
      </c>
      <c r="DP94" s="18">
        <f>DO94*VLOOKUP('Données projet'!$B$14,Paramètres!$A$1:$I$89,3,0)*VLOOKUP('Données projet'!$B$14,Paramètres!$A$1:$I$89,5,0)</f>
        <v>1.8444552551954985E-13</v>
      </c>
      <c r="DQ94" s="14">
        <f t="shared" si="97"/>
        <v>2.580317449479618E-12</v>
      </c>
      <c r="DR94" s="22">
        <f t="shared" si="70"/>
        <v>4.8152955147902165E-12</v>
      </c>
      <c r="DS94" s="62">
        <f t="shared" si="71"/>
        <v>293.33333333333815</v>
      </c>
      <c r="DT94" s="62">
        <f ca="1">AVERAGE(OFFSET($DS$3,0,0,'Données projet'!$E$14+1,1))-AVERAGE(OFFSET($H$3,0,0,'Données projet'!$E$14+1,1))</f>
        <v>223.63222290670075</v>
      </c>
      <c r="DU94" s="62">
        <f t="shared" si="98"/>
        <v>290.02663909417248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41.145039843710244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2.0562470475940847E-3</v>
      </c>
      <c r="ED94" s="24">
        <f t="shared" si="72"/>
        <v>41.147096090757834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369.71068859438765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192.24617268603629</v>
      </c>
      <c r="T95" s="62">
        <f t="shared" si="88"/>
        <v>192.48585280662832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46.688010696317946</v>
      </c>
      <c r="AA95" s="23">
        <f>EXP(-LN(2)/25)*AA94+(1-EXP(-LN(2)/25))/(LN(2)/25)*Calculateur!V95*Calculateur!X95*VLOOKUP('Données projet'!$B$9,Paramètres!$A$1:$I$89,3,0)*0.475*44/12</f>
        <v>13.054551753563771</v>
      </c>
      <c r="AB95" s="23">
        <f>EXP(-LN(2)/2)*AB94+(1-EXP(-LN(2)/2))/(LN(2)/2)*V95*Y95*VLOOKUP('Données projet'!$B$9,Paramètres!$A$1:$I$89,3,0)*0.475*44/12</f>
        <v>6.4035907313931271E-4</v>
      </c>
      <c r="AC95" s="24">
        <f t="shared" si="57"/>
        <v>59.743202808954855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1.9999999998958629E-3</v>
      </c>
      <c r="AJ95" s="14">
        <f>AI95*VLOOKUP('Données projet'!$B$10,Paramètres!$A$1:$I$89,3,0)*VLOOKUP('Données projet'!$B$10,Paramètres!$A$1:$I$89,5,0)</f>
        <v>1.195999999937726E-3</v>
      </c>
      <c r="AK95" s="14">
        <f t="shared" si="89"/>
        <v>1.2062444695752218E-3</v>
      </c>
      <c r="AL95" s="22">
        <f t="shared" si="58"/>
        <v>4.1839091177350513E-3</v>
      </c>
      <c r="AM95" s="62">
        <f t="shared" si="59"/>
        <v>293.33751724245104</v>
      </c>
      <c r="AN95" s="62">
        <f ca="1">AVERAGE(OFFSET($AM$3,0,0,'Données projet'!$E$10+1,1))-AVERAGE(OFFSET($H$3,0,0,'Données projet'!$E$10+1,1))</f>
        <v>164.64952352018145</v>
      </c>
      <c r="AO95" s="62">
        <f t="shared" si="90"/>
        <v>280.08682720086921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23.34779826366076</v>
      </c>
      <c r="AV95" s="23">
        <f>EXP(-LN(2)/25)*AV94+(1-EXP(-LN(2)/25))/(LN(2)/25)*Calculateur!AQ95*Calculateur!AS95*VLOOKUP('Données projet'!$B$10,Paramètres!$A$1:$I$89,3,0)*0.475*44/12</f>
        <v>5.7658321330422053</v>
      </c>
      <c r="AW95" s="23">
        <f>EXP(-LN(2)/2)*AW94+(1-EXP(-LN(2)/2))/(LN(2)/2)*AQ95*AT95*VLOOKUP('Données projet'!$B$10,Paramètres!$A$1:$I$89,3,0)*0.475*44/12</f>
        <v>2.5249229740587619E-7</v>
      </c>
      <c r="AX95" s="23">
        <f t="shared" si="60"/>
        <v>29.113630649195265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7.5650000000000048</v>
      </c>
      <c r="BD95" s="13">
        <f>IF('Données projet'!$A$88&gt;35,BD94+BC95-BL94,IF(A95&lt;'Données projet'!$A$88,$BA$205^A95,IF(A95='Données projet'!$A$88,'Données projet'!$B$88,BD94+BC95-BL94)))</f>
        <v>267.89000000000004</v>
      </c>
      <c r="BE95" s="14">
        <f>BD95*VLOOKUP('Données projet'!$B$11,Paramètres!$A$1:$I$89,3,0)*VLOOKUP('Données projet'!$B$11,Paramètres!$A$1:$I$89,5,0)</f>
        <v>225.67053600000008</v>
      </c>
      <c r="BF95" s="14">
        <f t="shared" si="91"/>
        <v>55.345517363188328</v>
      </c>
      <c r="BG95" s="22">
        <f t="shared" si="61"/>
        <v>489.43629294088652</v>
      </c>
      <c r="BH95" s="62">
        <f t="shared" si="62"/>
        <v>782.76962627421983</v>
      </c>
      <c r="BI95" s="62">
        <f ca="1">AVERAGE(OFFSET($BH$3,0,0,'Données projet'!$E$11+1,1))-AVERAGE(OFFSET($H$3,0,0,'Données projet'!$E$11+1,1))</f>
        <v>339.58585574836434</v>
      </c>
      <c r="BJ95" s="62">
        <f t="shared" si="92"/>
        <v>42.267525972379588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23.277692440639996</v>
      </c>
      <c r="BQ95" s="23">
        <f>EXP(-LN(2)/25)*BQ94+(1-EXP(-LN(2)/25))/(LN(2)/25)*Calculateur!BL95*Calculateur!BN95*VLOOKUP('Données projet'!$B$11,Paramètres!$A$1:$I$89,3,0)*0.475*44/12</f>
        <v>12.29266579325069</v>
      </c>
      <c r="BR95" s="23">
        <f>EXP(-LN(2)/2)*BR94+(1-EXP(-LN(2)/2))/(LN(2)/2)*BL95*BO95*VLOOKUP('Données projet'!$B$11,Paramètres!$A$1:$I$89,3,0)*0.475*44/12</f>
        <v>1.4555294643086583E-4</v>
      </c>
      <c r="BS95" s="24">
        <f t="shared" si="63"/>
        <v>35.570503786837115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4.2259999999999991</v>
      </c>
      <c r="BY95" s="13">
        <f>IF('Données projet'!$A$114&gt;35,BY94+BX95-CG94,IF(A95&lt;'Données projet'!$A$114,$BV$205^A95,IF(A95='Données projet'!$A$114,'Données projet'!$B$114,BY94+BX95-CG94)))</f>
        <v>148.572</v>
      </c>
      <c r="BZ95" s="14">
        <f>BY95*VLOOKUP('Données projet'!$B$12,Paramètres!$A$1:$I$89,3,0)*VLOOKUP('Données projet'!$B$12,Paramètres!$A$1:$I$89,5,0)</f>
        <v>148.33428480000001</v>
      </c>
      <c r="CA95" s="14">
        <f t="shared" si="93"/>
        <v>38.199800198180419</v>
      </c>
      <c r="CB95" s="22">
        <f t="shared" si="64"/>
        <v>324.88019803849755</v>
      </c>
      <c r="CC95" s="62">
        <f t="shared" si="65"/>
        <v>618.21353137183087</v>
      </c>
      <c r="CD95" s="62">
        <f ca="1">AVERAGE(OFFSET($CC$3,0,0,'Données projet'!$E$12+1,1))-AVERAGE(OFFSET($H$3,0,0,'Données projet'!$E$12+1,1))</f>
        <v>112.34884104798977</v>
      </c>
      <c r="CE95" s="62">
        <f t="shared" si="94"/>
        <v>18.665658139749326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19.27038973364256</v>
      </c>
      <c r="CL95" s="23">
        <f>EXP(-LN(2)/25)*CL94+(1-EXP(-LN(2)/25))/(LN(2)/25)*Calculateur!CG95*Calculateur!CI95*VLOOKUP('Données projet'!$B$12,Paramètres!$A$1:$I$89,3,0)*0.475*44/12</f>
        <v>8.4534587578661853</v>
      </c>
      <c r="CM95" s="23">
        <f>EXP(-LN(2)/2)*CM94+(1-EXP(-LN(2)/2))/(LN(2)/2)*CG95*CJ95*VLOOKUP('Données projet'!$B$12,Paramètres!$A$1:$I$89,3,0)*0.475*44/12</f>
        <v>1.8527616742871467E-6</v>
      </c>
      <c r="CN95" s="24">
        <f t="shared" si="66"/>
        <v>27.723850344270421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-1.1368683772161603E-13</v>
      </c>
      <c r="CU95" s="18">
        <f>CT95*VLOOKUP('Données projet'!$B$13,Paramètres!$A$1:$I$89,3,0)*VLOOKUP('Données projet'!$B$13,Paramètres!$A$1:$I$89,5,0)</f>
        <v>-1.2414602679200469E-13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205.21073681197737</v>
      </c>
      <c r="CZ95" s="62">
        <f t="shared" si="96"/>
        <v>175.16446313750316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37.881449826740813</v>
      </c>
      <c r="DG95" s="23">
        <f>EXP(-LN(2)/25)*DG94+(1-EXP(-LN(2)/25))/(LN(2)/25)*Calculateur!DB95*Calculateur!DD95*VLOOKUP('Données projet'!$B$13,Paramètres!$A$1:$I$89,3,0)*0.475*44/12</f>
        <v>13.066530160729515</v>
      </c>
      <c r="DH95" s="23">
        <f>EXP(-LN(2)/2)*DH94+(1-EXP(-LN(2)/2))/(LN(2)/2)*DB95*DE95*VLOOKUP('Données projet'!$B$13,Paramètres!$A$1:$I$89,3,0)*0.475*44/12</f>
        <v>1.6554856293541719E-6</v>
      </c>
      <c r="DI95" s="24">
        <f t="shared" si="69"/>
        <v>50.947981642955952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2.2737367544323206E-13</v>
      </c>
      <c r="DP95" s="18">
        <f>DO95*VLOOKUP('Données projet'!$B$14,Paramètres!$A$1:$I$89,3,0)*VLOOKUP('Données projet'!$B$14,Paramètres!$A$1:$I$89,5,0)</f>
        <v>1.8444552551954985E-13</v>
      </c>
      <c r="DQ95" s="14">
        <f t="shared" si="97"/>
        <v>2.580317449479618E-12</v>
      </c>
      <c r="DR95" s="22">
        <f t="shared" si="70"/>
        <v>4.8152955147902165E-12</v>
      </c>
      <c r="DS95" s="62">
        <f t="shared" si="71"/>
        <v>293.33333333333815</v>
      </c>
      <c r="DT95" s="62">
        <f ca="1">AVERAGE(OFFSET($DS$3,0,0,'Données projet'!$E$14+1,1))-AVERAGE(OFFSET($H$3,0,0,'Données projet'!$E$14+1,1))</f>
        <v>223.63222290670075</v>
      </c>
      <c r="DU95" s="62">
        <f t="shared" si="98"/>
        <v>290.02663909417248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40.338210708371363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1.4539862311485948E-3</v>
      </c>
      <c r="ED95" s="24">
        <f t="shared" si="72"/>
        <v>40.339664694602511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370.90693862836775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192.24617268603629</v>
      </c>
      <c r="T96" s="62">
        <f t="shared" si="88"/>
        <v>192.48585280662832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45.772487283437819</v>
      </c>
      <c r="AA96" s="23">
        <f>EXP(-LN(2)/25)*AA95+(1-EXP(-LN(2)/25))/(LN(2)/25)*Calculateur!V96*Calculateur!X96*VLOOKUP('Données projet'!$B$9,Paramètres!$A$1:$I$89,3,0)*0.475*44/12</f>
        <v>12.69757434935353</v>
      </c>
      <c r="AB96" s="23">
        <f>EXP(-LN(2)/2)*AB95+(1-EXP(-LN(2)/2))/(LN(2)/2)*V96*Y96*VLOOKUP('Données projet'!$B$9,Paramètres!$A$1:$I$89,3,0)*0.475*44/12</f>
        <v>4.5280224301114038E-4</v>
      </c>
      <c r="AC96" s="24">
        <f t="shared" si="57"/>
        <v>58.47051443503436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1.9999999998958629E-3</v>
      </c>
      <c r="AJ96" s="14">
        <f>AI96*VLOOKUP('Données projet'!$B$10,Paramètres!$A$1:$I$89,3,0)*VLOOKUP('Données projet'!$B$10,Paramètres!$A$1:$I$89,5,0)</f>
        <v>1.195999999937726E-3</v>
      </c>
      <c r="AK96" s="14">
        <f t="shared" si="89"/>
        <v>1.2062444695752218E-3</v>
      </c>
      <c r="AL96" s="22">
        <f t="shared" si="58"/>
        <v>4.1839091177350513E-3</v>
      </c>
      <c r="AM96" s="62">
        <f t="shared" si="59"/>
        <v>293.33751724245104</v>
      </c>
      <c r="AN96" s="62">
        <f ca="1">AVERAGE(OFFSET($AM$3,0,0,'Données projet'!$E$10+1,1))-AVERAGE(OFFSET($H$3,0,0,'Données projet'!$E$10+1,1))</f>
        <v>164.64952352018145</v>
      </c>
      <c r="AO96" s="62">
        <f t="shared" si="90"/>
        <v>280.08682720086921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22.889962180461154</v>
      </c>
      <c r="AV96" s="23">
        <f>EXP(-LN(2)/25)*AV95+(1-EXP(-LN(2)/25))/(LN(2)/25)*Calculateur!AQ96*Calculateur!AS96*VLOOKUP('Données projet'!$B$10,Paramètres!$A$1:$I$89,3,0)*0.475*44/12</f>
        <v>5.6081651501522325</v>
      </c>
      <c r="AW96" s="23">
        <f>EXP(-LN(2)/2)*AW95+(1-EXP(-LN(2)/2))/(LN(2)/2)*AQ96*AT96*VLOOKUP('Données projet'!$B$10,Paramètres!$A$1:$I$89,3,0)*0.475*44/12</f>
        <v>1.7853901569306558E-7</v>
      </c>
      <c r="AX96" s="23">
        <f t="shared" si="60"/>
        <v>28.4981275091524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7.5650000000000048</v>
      </c>
      <c r="BD96" s="13">
        <f>IF('Données projet'!$A$88&gt;35,BD95+BC96-BL95,IF(A96&lt;'Données projet'!$A$88,$BA$205^A96,IF(A96='Données projet'!$A$88,'Données projet'!$B$88,BD95+BC96-BL95)))</f>
        <v>275.45500000000004</v>
      </c>
      <c r="BE96" s="14">
        <f>BD96*VLOOKUP('Données projet'!$B$11,Paramètres!$A$1:$I$89,3,0)*VLOOKUP('Données projet'!$B$11,Paramètres!$A$1:$I$89,5,0)</f>
        <v>232.04329200000006</v>
      </c>
      <c r="BF96" s="14">
        <f t="shared" si="91"/>
        <v>56.724261352473427</v>
      </c>
      <c r="BG96" s="22">
        <f t="shared" si="61"/>
        <v>502.93682208889135</v>
      </c>
      <c r="BH96" s="62">
        <f t="shared" si="62"/>
        <v>796.27015542222466</v>
      </c>
      <c r="BI96" s="62">
        <f ca="1">AVERAGE(OFFSET($BH$3,0,0,'Données projet'!$E$11+1,1))-AVERAGE(OFFSET($H$3,0,0,'Données projet'!$E$11+1,1))</f>
        <v>339.58585574836434</v>
      </c>
      <c r="BJ96" s="62">
        <f t="shared" si="92"/>
        <v>42.267525972379588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22.821231089869499</v>
      </c>
      <c r="BQ96" s="23">
        <f>EXP(-LN(2)/25)*BQ95+(1-EXP(-LN(2)/25))/(LN(2)/25)*Calculateur!BL96*Calculateur!BN96*VLOOKUP('Données projet'!$B$11,Paramètres!$A$1:$I$89,3,0)*0.475*44/12</f>
        <v>11.956522200691051</v>
      </c>
      <c r="BR96" s="23">
        <f>EXP(-LN(2)/2)*BR95+(1-EXP(-LN(2)/2))/(LN(2)/2)*BL96*BO96*VLOOKUP('Données projet'!$B$11,Paramètres!$A$1:$I$89,3,0)*0.475*44/12</f>
        <v>1.0292147544294752E-4</v>
      </c>
      <c r="BS96" s="24">
        <f t="shared" si="63"/>
        <v>34.777856212035999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4.2259999999999991</v>
      </c>
      <c r="BY96" s="13">
        <f>IF('Données projet'!$A$114&gt;35,BY95+BX96-CG95,IF(A96&lt;'Données projet'!$A$114,$BV$205^A96,IF(A96='Données projet'!$A$114,'Données projet'!$B$114,BY95+BX96-CG95)))</f>
        <v>152.798</v>
      </c>
      <c r="BZ96" s="14">
        <f>BY96*VLOOKUP('Données projet'!$B$12,Paramètres!$A$1:$I$89,3,0)*VLOOKUP('Données projet'!$B$12,Paramètres!$A$1:$I$89,5,0)</f>
        <v>152.55352320000003</v>
      </c>
      <c r="CA96" s="14">
        <f t="shared" si="93"/>
        <v>39.158311601381527</v>
      </c>
      <c r="CB96" s="22">
        <f t="shared" si="64"/>
        <v>333.89811227907285</v>
      </c>
      <c r="CC96" s="62">
        <f t="shared" si="65"/>
        <v>627.23144561240611</v>
      </c>
      <c r="CD96" s="62">
        <f ca="1">AVERAGE(OFFSET($CC$3,0,0,'Données projet'!$E$12+1,1))-AVERAGE(OFFSET($H$3,0,0,'Données projet'!$E$12+1,1))</f>
        <v>112.34884104798977</v>
      </c>
      <c r="CE96" s="62">
        <f t="shared" si="94"/>
        <v>18.665658139749326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18.892509144742977</v>
      </c>
      <c r="CL96" s="23">
        <f>EXP(-LN(2)/25)*CL95+(1-EXP(-LN(2)/25))/(LN(2)/25)*Calculateur!CG96*Calculateur!CI96*VLOOKUP('Données projet'!$B$12,Paramètres!$A$1:$I$89,3,0)*0.475*44/12</f>
        <v>8.2222984835842592</v>
      </c>
      <c r="CM96" s="23">
        <f>EXP(-LN(2)/2)*CM95+(1-EXP(-LN(2)/2))/(LN(2)/2)*CG96*CJ96*VLOOKUP('Données projet'!$B$12,Paramètres!$A$1:$I$89,3,0)*0.475*44/12</f>
        <v>1.3101003438109828E-6</v>
      </c>
      <c r="CN96" s="24">
        <f t="shared" si="66"/>
        <v>27.114808938427579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-1.1368683772161603E-13</v>
      </c>
      <c r="CU96" s="18">
        <f>CT96*VLOOKUP('Données projet'!$B$13,Paramètres!$A$1:$I$89,3,0)*VLOOKUP('Données projet'!$B$13,Paramètres!$A$1:$I$89,5,0)</f>
        <v>-1.2414602679200469E-13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205.21073681197737</v>
      </c>
      <c r="CZ96" s="62">
        <f t="shared" si="96"/>
        <v>175.16446313750316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37.138617701041348</v>
      </c>
      <c r="DG96" s="23">
        <f>EXP(-LN(2)/25)*DG95+(1-EXP(-LN(2)/25))/(LN(2)/25)*Calculateur!DB96*Calculateur!DD96*VLOOKUP('Données projet'!$B$13,Paramètres!$A$1:$I$89,3,0)*0.475*44/12</f>
        <v>12.70922520634541</v>
      </c>
      <c r="DH96" s="23">
        <f>EXP(-LN(2)/2)*DH95+(1-EXP(-LN(2)/2))/(LN(2)/2)*DB96*DE96*VLOOKUP('Données projet'!$B$13,Paramètres!$A$1:$I$89,3,0)*0.475*44/12</f>
        <v>1.1706051146732144E-6</v>
      </c>
      <c r="DI96" s="24">
        <f t="shared" si="69"/>
        <v>49.847844077991873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2.2737367544323206E-13</v>
      </c>
      <c r="DP96" s="18">
        <f>DO96*VLOOKUP('Données projet'!$B$14,Paramètres!$A$1:$I$89,3,0)*VLOOKUP('Données projet'!$B$14,Paramètres!$A$1:$I$89,5,0)</f>
        <v>1.8444552551954985E-13</v>
      </c>
      <c r="DQ96" s="14">
        <f t="shared" si="97"/>
        <v>2.580317449479618E-12</v>
      </c>
      <c r="DR96" s="22">
        <f t="shared" si="70"/>
        <v>4.8152955147902165E-12</v>
      </c>
      <c r="DS96" s="62">
        <f t="shared" si="71"/>
        <v>293.33333333333815</v>
      </c>
      <c r="DT96" s="62">
        <f ca="1">AVERAGE(OFFSET($DS$3,0,0,'Données projet'!$E$14+1,1))-AVERAGE(OFFSET($H$3,0,0,'Données projet'!$E$14+1,1))</f>
        <v>223.63222290670075</v>
      </c>
      <c r="DU96" s="62">
        <f t="shared" si="98"/>
        <v>290.02663909417248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39.547203000259302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1.0281235237970423E-3</v>
      </c>
      <c r="ED96" s="24">
        <f t="shared" si="72"/>
        <v>39.548231123783097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372.10288182746245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192.24617268603629</v>
      </c>
      <c r="T97" s="62">
        <f t="shared" si="88"/>
        <v>192.48585280662832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44.874916726270129</v>
      </c>
      <c r="AA97" s="23">
        <f>EXP(-LN(2)/25)*AA96+(1-EXP(-LN(2)/25))/(LN(2)/25)*Calculateur!V97*Calculateur!X97*VLOOKUP('Données projet'!$B$9,Paramètres!$A$1:$I$89,3,0)*0.475*44/12</f>
        <v>12.350358511034043</v>
      </c>
      <c r="AB97" s="23">
        <f>EXP(-LN(2)/2)*AB96+(1-EXP(-LN(2)/2))/(LN(2)/2)*V97*Y97*VLOOKUP('Données projet'!$B$9,Paramètres!$A$1:$I$89,3,0)*0.475*44/12</f>
        <v>3.2017953656965635E-4</v>
      </c>
      <c r="AC97" s="24">
        <f t="shared" si="57"/>
        <v>57.225595416840747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1.9999999998958629E-3</v>
      </c>
      <c r="AJ97" s="14">
        <f>AI97*VLOOKUP('Données projet'!$B$10,Paramètres!$A$1:$I$89,3,0)*VLOOKUP('Données projet'!$B$10,Paramètres!$A$1:$I$89,5,0)</f>
        <v>1.195999999937726E-3</v>
      </c>
      <c r="AK97" s="14">
        <f t="shared" si="89"/>
        <v>1.2062444695752218E-3</v>
      </c>
      <c r="AL97" s="22">
        <f t="shared" si="58"/>
        <v>4.1839091177350513E-3</v>
      </c>
      <c r="AM97" s="62">
        <f t="shared" si="59"/>
        <v>293.33751724245104</v>
      </c>
      <c r="AN97" s="62">
        <f ca="1">AVERAGE(OFFSET($AM$3,0,0,'Données projet'!$E$10+1,1))-AVERAGE(OFFSET($H$3,0,0,'Données projet'!$E$10+1,1))</f>
        <v>164.64952352018145</v>
      </c>
      <c r="AO97" s="62">
        <f t="shared" si="90"/>
        <v>280.08682720086921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22.441103983600659</v>
      </c>
      <c r="AV97" s="23">
        <f>EXP(-LN(2)/25)*AV96+(1-EXP(-LN(2)/25))/(LN(2)/25)*Calculateur!AQ97*Calculateur!AS97*VLOOKUP('Données projet'!$B$10,Paramètres!$A$1:$I$89,3,0)*0.475*44/12</f>
        <v>5.4548095792007318</v>
      </c>
      <c r="AW97" s="23">
        <f>EXP(-LN(2)/2)*AW96+(1-EXP(-LN(2)/2))/(LN(2)/2)*AQ97*AT97*VLOOKUP('Données projet'!$B$10,Paramètres!$A$1:$I$89,3,0)*0.475*44/12</f>
        <v>1.262461487029381E-7</v>
      </c>
      <c r="AX97" s="23">
        <f t="shared" si="60"/>
        <v>27.895913689047539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7.5650000000000048</v>
      </c>
      <c r="BD97" s="13">
        <f>IF('Données projet'!$A$88&gt;35,BD96+BC97-BL96,IF(A97&lt;'Données projet'!$A$88,$BA$205^A97,IF(A97='Données projet'!$A$88,'Données projet'!$B$88,BD96+BC97-BL96)))</f>
        <v>283.02000000000004</v>
      </c>
      <c r="BE97" s="14">
        <f>BD97*VLOOKUP('Données projet'!$B$11,Paramètres!$A$1:$I$89,3,0)*VLOOKUP('Données projet'!$B$11,Paramètres!$A$1:$I$89,5,0)</f>
        <v>238.41604800000007</v>
      </c>
      <c r="BF97" s="14">
        <f t="shared" si="91"/>
        <v>58.098604268535333</v>
      </c>
      <c r="BG97" s="22">
        <f t="shared" si="61"/>
        <v>516.42968603436577</v>
      </c>
      <c r="BH97" s="62">
        <f t="shared" si="62"/>
        <v>809.76301936769914</v>
      </c>
      <c r="BI97" s="62">
        <f ca="1">AVERAGE(OFFSET($BH$3,0,0,'Données projet'!$E$11+1,1))-AVERAGE(OFFSET($H$3,0,0,'Données projet'!$E$11+1,1))</f>
        <v>339.58585574836434</v>
      </c>
      <c r="BJ97" s="62">
        <f t="shared" si="92"/>
        <v>42.267525972379588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22.373720667773679</v>
      </c>
      <c r="BQ97" s="23">
        <f>EXP(-LN(2)/25)*BQ96+(1-EXP(-LN(2)/25))/(LN(2)/25)*Calculateur!BL97*Calculateur!BN97*VLOOKUP('Données projet'!$B$11,Paramètres!$A$1:$I$89,3,0)*0.475*44/12</f>
        <v>11.629570472346979</v>
      </c>
      <c r="BR97" s="23">
        <f>EXP(-LN(2)/2)*BR96+(1-EXP(-LN(2)/2))/(LN(2)/2)*BL97*BO97*VLOOKUP('Données projet'!$B$11,Paramètres!$A$1:$I$89,3,0)*0.475*44/12</f>
        <v>7.2776473215432913E-5</v>
      </c>
      <c r="BS97" s="24">
        <f t="shared" si="63"/>
        <v>34.003363916593877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4.2259999999999991</v>
      </c>
      <c r="BY97" s="13">
        <f>IF('Données projet'!$A$114&gt;35,BY96+BX97-CG96,IF(A97&lt;'Données projet'!$A$114,$BV$205^A97,IF(A97='Données projet'!$A$114,'Données projet'!$B$114,BY96+BX97-CG96)))</f>
        <v>157.024</v>
      </c>
      <c r="BZ97" s="14">
        <f>BY97*VLOOKUP('Données projet'!$B$12,Paramètres!$A$1:$I$89,3,0)*VLOOKUP('Données projet'!$B$12,Paramètres!$A$1:$I$89,5,0)</f>
        <v>156.77276160000002</v>
      </c>
      <c r="CA97" s="14">
        <f t="shared" si="93"/>
        <v>40.113741791608028</v>
      </c>
      <c r="CB97" s="22">
        <f t="shared" si="64"/>
        <v>342.91066007371734</v>
      </c>
      <c r="CC97" s="62">
        <f t="shared" si="65"/>
        <v>636.24399340705065</v>
      </c>
      <c r="CD97" s="62">
        <f ca="1">AVERAGE(OFFSET($CC$3,0,0,'Données projet'!$E$12+1,1))-AVERAGE(OFFSET($H$3,0,0,'Données projet'!$E$12+1,1))</f>
        <v>112.34884104798977</v>
      </c>
      <c r="CE97" s="62">
        <f t="shared" si="94"/>
        <v>18.665658139749326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18.522038563707316</v>
      </c>
      <c r="CL97" s="23">
        <f>EXP(-LN(2)/25)*CL96+(1-EXP(-LN(2)/25))/(LN(2)/25)*Calculateur!CG97*Calculateur!CI97*VLOOKUP('Données projet'!$B$12,Paramètres!$A$1:$I$89,3,0)*0.475*44/12</f>
        <v>7.9974592991587627</v>
      </c>
      <c r="CM97" s="23">
        <f>EXP(-LN(2)/2)*CM96+(1-EXP(-LN(2)/2))/(LN(2)/2)*CG97*CJ97*VLOOKUP('Données projet'!$B$12,Paramètres!$A$1:$I$89,3,0)*0.475*44/12</f>
        <v>9.2638083714357334E-7</v>
      </c>
      <c r="CN97" s="24">
        <f t="shared" si="66"/>
        <v>26.519498789246917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-1.1368683772161603E-13</v>
      </c>
      <c r="CU97" s="18">
        <f>CT97*VLOOKUP('Données projet'!$B$13,Paramètres!$A$1:$I$89,3,0)*VLOOKUP('Données projet'!$B$13,Paramètres!$A$1:$I$89,5,0)</f>
        <v>-1.2414602679200469E-13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205.21073681197737</v>
      </c>
      <c r="CZ97" s="62">
        <f t="shared" si="96"/>
        <v>175.16446313750316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36.410352060243994</v>
      </c>
      <c r="DG97" s="23">
        <f>EXP(-LN(2)/25)*DG96+(1-EXP(-LN(2)/25))/(LN(2)/25)*Calculateur!DB97*Calculateur!DD97*VLOOKUP('Données projet'!$B$13,Paramètres!$A$1:$I$89,3,0)*0.475*44/12</f>
        <v>12.361690774728789</v>
      </c>
      <c r="DH97" s="23">
        <f>EXP(-LN(2)/2)*DH96+(1-EXP(-LN(2)/2))/(LN(2)/2)*DB97*DE97*VLOOKUP('Données projet'!$B$13,Paramètres!$A$1:$I$89,3,0)*0.475*44/12</f>
        <v>8.2774281467708597E-7</v>
      </c>
      <c r="DI97" s="24">
        <f t="shared" si="69"/>
        <v>48.772043662715596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2.2737367544323206E-13</v>
      </c>
      <c r="DP97" s="18">
        <f>DO97*VLOOKUP('Données projet'!$B$14,Paramètres!$A$1:$I$89,3,0)*VLOOKUP('Données projet'!$B$14,Paramètres!$A$1:$I$89,5,0)</f>
        <v>1.8444552551954985E-13</v>
      </c>
      <c r="DQ97" s="14">
        <f t="shared" si="97"/>
        <v>2.580317449479618E-12</v>
      </c>
      <c r="DR97" s="22">
        <f t="shared" si="70"/>
        <v>4.8152955147902165E-12</v>
      </c>
      <c r="DS97" s="62">
        <f t="shared" si="71"/>
        <v>293.33333333333815</v>
      </c>
      <c r="DT97" s="62">
        <f ca="1">AVERAGE(OFFSET($DS$3,0,0,'Données projet'!$E$14+1,1))-AVERAGE(OFFSET($H$3,0,0,'Données projet'!$E$14+1,1))</f>
        <v>223.63222290670075</v>
      </c>
      <c r="DU97" s="62">
        <f t="shared" si="98"/>
        <v>290.02663909417248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38.771706470836257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7.2699311557429742E-4</v>
      </c>
      <c r="ED97" s="24">
        <f t="shared" si="72"/>
        <v>38.772433463951835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373.29852183370838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192.24617268603629</v>
      </c>
      <c r="T98" s="62">
        <f t="shared" si="88"/>
        <v>192.48585280662832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43.994946980264515</v>
      </c>
      <c r="AA98" s="23">
        <f>EXP(-LN(2)/25)*AA97+(1-EXP(-LN(2)/25))/(LN(2)/25)*Calculateur!V98*Calculateur!X98*VLOOKUP('Données projet'!$B$9,Paramètres!$A$1:$I$89,3,0)*0.475*44/12</f>
        <v>12.012637308072691</v>
      </c>
      <c r="AB98" s="23">
        <f>EXP(-LN(2)/2)*AB97+(1-EXP(-LN(2)/2))/(LN(2)/2)*V98*Y98*VLOOKUP('Données projet'!$B$9,Paramètres!$A$1:$I$89,3,0)*0.475*44/12</f>
        <v>2.2640112150557019E-4</v>
      </c>
      <c r="AC98" s="24">
        <f t="shared" si="57"/>
        <v>56.007810689458715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1.9999999998958629E-3</v>
      </c>
      <c r="AJ98" s="14">
        <f>AI98*VLOOKUP('Données projet'!$B$10,Paramètres!$A$1:$I$89,3,0)*VLOOKUP('Données projet'!$B$10,Paramètres!$A$1:$I$89,5,0)</f>
        <v>1.195999999937726E-3</v>
      </c>
      <c r="AK98" s="14">
        <f t="shared" si="89"/>
        <v>1.2062444695752218E-3</v>
      </c>
      <c r="AL98" s="22">
        <f t="shared" si="58"/>
        <v>4.1839091177350513E-3</v>
      </c>
      <c r="AM98" s="62">
        <f t="shared" si="59"/>
        <v>293.33751724245104</v>
      </c>
      <c r="AN98" s="62">
        <f ca="1">AVERAGE(OFFSET($AM$3,0,0,'Données projet'!$E$10+1,1))-AVERAGE(OFFSET($H$3,0,0,'Données projet'!$E$10+1,1))</f>
        <v>164.64952352018145</v>
      </c>
      <c r="AO98" s="62">
        <f t="shared" si="90"/>
        <v>280.08682720086921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22.00104762220413</v>
      </c>
      <c r="AV98" s="23">
        <f>EXP(-LN(2)/25)*AV97+(1-EXP(-LN(2)/25))/(LN(2)/25)*Calculateur!AQ98*Calculateur!AS98*VLOOKUP('Données projet'!$B$10,Paramètres!$A$1:$I$89,3,0)*0.475*44/12</f>
        <v>5.3056475244015191</v>
      </c>
      <c r="AW98" s="23">
        <f>EXP(-LN(2)/2)*AW97+(1-EXP(-LN(2)/2))/(LN(2)/2)*AQ98*AT98*VLOOKUP('Données projet'!$B$10,Paramètres!$A$1:$I$89,3,0)*0.475*44/12</f>
        <v>8.9269507846532791E-8</v>
      </c>
      <c r="AX98" s="23">
        <f t="shared" si="60"/>
        <v>27.306695235875157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7.5650000000000048</v>
      </c>
      <c r="BD98" s="13">
        <f>IF('Données projet'!$A$88&gt;35,BD97+BC98-BL97,IF(A98&lt;'Données projet'!$A$88,$BA$205^A98,IF(A98='Données projet'!$A$88,'Données projet'!$B$88,BD97+BC98-BL97)))</f>
        <v>290.58500000000004</v>
      </c>
      <c r="BE98" s="14">
        <f>BD98*VLOOKUP('Données projet'!$B$11,Paramètres!$A$1:$I$89,3,0)*VLOOKUP('Données projet'!$B$11,Paramètres!$A$1:$I$89,5,0)</f>
        <v>244.78880400000006</v>
      </c>
      <c r="BF98" s="14">
        <f t="shared" si="91"/>
        <v>59.468677270800008</v>
      </c>
      <c r="BG98" s="22">
        <f t="shared" si="61"/>
        <v>529.91511321331006</v>
      </c>
      <c r="BH98" s="62">
        <f t="shared" si="62"/>
        <v>823.24844654664344</v>
      </c>
      <c r="BI98" s="62">
        <f ca="1">AVERAGE(OFFSET($BH$3,0,0,'Données projet'!$E$11+1,1))-AVERAGE(OFFSET($H$3,0,0,'Données projet'!$E$11+1,1))</f>
        <v>339.58585574836434</v>
      </c>
      <c r="BJ98" s="62">
        <f t="shared" si="92"/>
        <v>42.267525972379588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21.934985652100753</v>
      </c>
      <c r="BQ98" s="23">
        <f>EXP(-LN(2)/25)*BQ97+(1-EXP(-LN(2)/25))/(LN(2)/25)*Calculateur!BL98*Calculateur!BN98*VLOOKUP('Données projet'!$B$11,Paramètres!$A$1:$I$89,3,0)*0.475*44/12</f>
        <v>11.311559256208119</v>
      </c>
      <c r="BR98" s="23">
        <f>EXP(-LN(2)/2)*BR97+(1-EXP(-LN(2)/2))/(LN(2)/2)*BL98*BO98*VLOOKUP('Données projet'!$B$11,Paramètres!$A$1:$I$89,3,0)*0.475*44/12</f>
        <v>5.1460737721473758E-5</v>
      </c>
      <c r="BS98" s="24">
        <f t="shared" si="63"/>
        <v>33.246596369046593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4.2259999999999991</v>
      </c>
      <c r="BY98" s="13">
        <f>IF('Données projet'!$A$114&gt;35,BY97+BX98-CG97,IF(A98&lt;'Données projet'!$A$114,$BV$205^A98,IF(A98='Données projet'!$A$114,'Données projet'!$B$114,BY97+BX98-CG97)))</f>
        <v>161.25</v>
      </c>
      <c r="BZ98" s="14">
        <f>BY98*VLOOKUP('Données projet'!$B$12,Paramètres!$A$1:$I$89,3,0)*VLOOKUP('Données projet'!$B$12,Paramètres!$A$1:$I$89,5,0)</f>
        <v>160.99200000000002</v>
      </c>
      <c r="CA98" s="14">
        <f t="shared" si="93"/>
        <v>41.066183224007858</v>
      </c>
      <c r="CB98" s="22">
        <f t="shared" si="64"/>
        <v>351.91800244848037</v>
      </c>
      <c r="CC98" s="62">
        <f t="shared" si="65"/>
        <v>645.25133578181362</v>
      </c>
      <c r="CD98" s="62">
        <f ca="1">AVERAGE(OFFSET($CC$3,0,0,'Données projet'!$E$12+1,1))-AVERAGE(OFFSET($H$3,0,0,'Données projet'!$E$12+1,1))</f>
        <v>112.34884104798977</v>
      </c>
      <c r="CE98" s="62">
        <f t="shared" si="94"/>
        <v>18.665658139749326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18.15883268480102</v>
      </c>
      <c r="CL98" s="23">
        <f>EXP(-LN(2)/25)*CL97+(1-EXP(-LN(2)/25))/(LN(2)/25)*Calculateur!CG98*Calculateur!CI98*VLOOKUP('Données projet'!$B$12,Paramètres!$A$1:$I$89,3,0)*0.475*44/12</f>
        <v>7.7787683540551606</v>
      </c>
      <c r="CM98" s="23">
        <f>EXP(-LN(2)/2)*CM97+(1-EXP(-LN(2)/2))/(LN(2)/2)*CG98*CJ98*VLOOKUP('Données projet'!$B$12,Paramètres!$A$1:$I$89,3,0)*0.475*44/12</f>
        <v>6.5505017190549142E-7</v>
      </c>
      <c r="CN98" s="24">
        <f t="shared" si="66"/>
        <v>25.937601693906352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-1.1368683772161603E-13</v>
      </c>
      <c r="CU98" s="18">
        <f>CT98*VLOOKUP('Données projet'!$B$13,Paramètres!$A$1:$I$89,3,0)*VLOOKUP('Données projet'!$B$13,Paramètres!$A$1:$I$89,5,0)</f>
        <v>-1.2414602679200469E-13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205.21073681197737</v>
      </c>
      <c r="CZ98" s="62">
        <f t="shared" si="96"/>
        <v>175.16446313750316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35.696367264464499</v>
      </c>
      <c r="DG98" s="23">
        <f>EXP(-LN(2)/25)*DG97+(1-EXP(-LN(2)/25))/(LN(2)/25)*Calculateur!DB98*Calculateur!DD98*VLOOKUP('Données projet'!$B$13,Paramètres!$A$1:$I$89,3,0)*0.475*44/12</f>
        <v>12.023659690420766</v>
      </c>
      <c r="DH98" s="23">
        <f>EXP(-LN(2)/2)*DH97+(1-EXP(-LN(2)/2))/(LN(2)/2)*DB98*DE98*VLOOKUP('Données projet'!$B$13,Paramètres!$A$1:$I$89,3,0)*0.475*44/12</f>
        <v>5.8530255733660718E-7</v>
      </c>
      <c r="DI98" s="24">
        <f t="shared" si="69"/>
        <v>47.720027540187822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2.2737367544323206E-13</v>
      </c>
      <c r="DP98" s="18">
        <f>DO98*VLOOKUP('Données projet'!$B$14,Paramètres!$A$1:$I$89,3,0)*VLOOKUP('Données projet'!$B$14,Paramètres!$A$1:$I$89,5,0)</f>
        <v>1.8444552551954985E-13</v>
      </c>
      <c r="DQ98" s="14">
        <f t="shared" si="97"/>
        <v>2.580317449479618E-12</v>
      </c>
      <c r="DR98" s="22">
        <f t="shared" si="70"/>
        <v>4.8152955147902165E-12</v>
      </c>
      <c r="DS98" s="62">
        <f t="shared" si="71"/>
        <v>293.33333333333815</v>
      </c>
      <c r="DT98" s="62">
        <f ca="1">AVERAGE(OFFSET($DS$3,0,0,'Données projet'!$E$14+1,1))-AVERAGE(OFFSET($H$3,0,0,'Données projet'!$E$14+1,1))</f>
        <v>223.63222290670075</v>
      </c>
      <c r="DU98" s="62">
        <f t="shared" si="98"/>
        <v>290.02663909417248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38.01141695534902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5.1406176189852117E-4</v>
      </c>
      <c r="ED98" s="24">
        <f t="shared" si="72"/>
        <v>38.011931017110918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374.49386220805047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192.24617268603629</v>
      </c>
      <c r="T99" s="62">
        <f t="shared" si="88"/>
        <v>192.48585280662832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43.13223290424952</v>
      </c>
      <c r="AA99" s="23">
        <f>EXP(-LN(2)/25)*AA98+(1-EXP(-LN(2)/25))/(LN(2)/25)*Calculateur!V99*Calculateur!X99*VLOOKUP('Données projet'!$B$9,Paramètres!$A$1:$I$89,3,0)*0.475*44/12</f>
        <v>11.684151109166303</v>
      </c>
      <c r="AB99" s="23">
        <f>EXP(-LN(2)/2)*AB98+(1-EXP(-LN(2)/2))/(LN(2)/2)*V99*Y99*VLOOKUP('Données projet'!$B$9,Paramètres!$A$1:$I$89,3,0)*0.475*44/12</f>
        <v>1.6008976828482818E-4</v>
      </c>
      <c r="AC99" s="24">
        <f t="shared" si="57"/>
        <v>54.816544103184107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1.9999999998958629E-3</v>
      </c>
      <c r="AJ99" s="14">
        <f>AI99*VLOOKUP('Données projet'!$B$10,Paramètres!$A$1:$I$89,3,0)*VLOOKUP('Données projet'!$B$10,Paramètres!$A$1:$I$89,5,0)</f>
        <v>1.195999999937726E-3</v>
      </c>
      <c r="AK99" s="14">
        <f t="shared" si="89"/>
        <v>1.2062444695752218E-3</v>
      </c>
      <c r="AL99" s="22">
        <f t="shared" si="58"/>
        <v>4.1839091177350513E-3</v>
      </c>
      <c r="AM99" s="62">
        <f t="shared" si="59"/>
        <v>293.33751724245104</v>
      </c>
      <c r="AN99" s="62">
        <f ca="1">AVERAGE(OFFSET($AM$3,0,0,'Données projet'!$E$10+1,1))-AVERAGE(OFFSET($H$3,0,0,'Données projet'!$E$10+1,1))</f>
        <v>164.64952352018145</v>
      </c>
      <c r="AO99" s="62">
        <f t="shared" si="90"/>
        <v>280.08682720086921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21.56962049764671</v>
      </c>
      <c r="AV99" s="23">
        <f>EXP(-LN(2)/25)*AV98+(1-EXP(-LN(2)/25))/(LN(2)/25)*Calculateur!AQ99*Calculateur!AS99*VLOOKUP('Données projet'!$B$10,Paramètres!$A$1:$I$89,3,0)*0.475*44/12</f>
        <v>5.1605643138348825</v>
      </c>
      <c r="AW99" s="23">
        <f>EXP(-LN(2)/2)*AW98+(1-EXP(-LN(2)/2))/(LN(2)/2)*AQ99*AT99*VLOOKUP('Données projet'!$B$10,Paramètres!$A$1:$I$89,3,0)*0.475*44/12</f>
        <v>6.3123074351469048E-8</v>
      </c>
      <c r="AX99" s="23">
        <f t="shared" si="60"/>
        <v>26.730184874604667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7.5650000000000048</v>
      </c>
      <c r="BD99" s="13">
        <f>IF('Données projet'!$A$88&gt;35,BD98+BC99-BL98,IF(A99&lt;'Données projet'!$A$88,$BA$205^A99,IF(A99='Données projet'!$A$88,'Données projet'!$B$88,BD98+BC99-BL98)))</f>
        <v>298.15000000000003</v>
      </c>
      <c r="BE99" s="14">
        <f>BD99*VLOOKUP('Données projet'!$B$11,Paramètres!$A$1:$I$89,3,0)*VLOOKUP('Données projet'!$B$11,Paramètres!$A$1:$I$89,5,0)</f>
        <v>251.16156000000007</v>
      </c>
      <c r="BF99" s="14">
        <f t="shared" si="91"/>
        <v>60.834604300588289</v>
      </c>
      <c r="BG99" s="22">
        <f t="shared" si="61"/>
        <v>543.3933194901914</v>
      </c>
      <c r="BH99" s="62">
        <f t="shared" si="62"/>
        <v>836.72665282352477</v>
      </c>
      <c r="BI99" s="62">
        <f ca="1">AVERAGE(OFFSET($BH$3,0,0,'Données projet'!$E$11+1,1))-AVERAGE(OFFSET($H$3,0,0,'Données projet'!$E$11+1,1))</f>
        <v>339.58585574836434</v>
      </c>
      <c r="BJ99" s="62">
        <f t="shared" si="92"/>
        <v>42.267525972379588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21.504853962483235</v>
      </c>
      <c r="BQ99" s="23">
        <f>EXP(-LN(2)/25)*BQ98+(1-EXP(-LN(2)/25))/(LN(2)/25)*Calculateur!BL99*Calculateur!BN99*VLOOKUP('Données projet'!$B$11,Paramètres!$A$1:$I$89,3,0)*0.475*44/12</f>
        <v>11.002244073498058</v>
      </c>
      <c r="BR99" s="23">
        <f>EXP(-LN(2)/2)*BR98+(1-EXP(-LN(2)/2))/(LN(2)/2)*BL99*BO99*VLOOKUP('Données projet'!$B$11,Paramètres!$A$1:$I$89,3,0)*0.475*44/12</f>
        <v>3.6388236607716456E-5</v>
      </c>
      <c r="BS99" s="24">
        <f t="shared" si="63"/>
        <v>32.507134424217902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4.2259999999999991</v>
      </c>
      <c r="BY99" s="13">
        <f>IF('Données projet'!$A$114&gt;35,BY98+BX99-CG98,IF(A99&lt;'Données projet'!$A$114,$BV$205^A99,IF(A99='Données projet'!$A$114,'Données projet'!$B$114,BY98+BX99-CG98)))</f>
        <v>165.476</v>
      </c>
      <c r="BZ99" s="14">
        <f>BY99*VLOOKUP('Données projet'!$B$12,Paramètres!$A$1:$I$89,3,0)*VLOOKUP('Données projet'!$B$12,Paramètres!$A$1:$I$89,5,0)</f>
        <v>165.21123840000001</v>
      </c>
      <c r="CA99" s="14">
        <f t="shared" si="93"/>
        <v>42.015723231647911</v>
      </c>
      <c r="CB99" s="22">
        <f t="shared" si="64"/>
        <v>360.92029150845343</v>
      </c>
      <c r="CC99" s="62">
        <f t="shared" si="65"/>
        <v>654.25362484178675</v>
      </c>
      <c r="CD99" s="62">
        <f ca="1">AVERAGE(OFFSET($CC$3,0,0,'Données projet'!$E$12+1,1))-AVERAGE(OFFSET($H$3,0,0,'Données projet'!$E$12+1,1))</f>
        <v>112.34884104798977</v>
      </c>
      <c r="CE99" s="62">
        <f t="shared" si="94"/>
        <v>18.665658139749326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17.802749051646366</v>
      </c>
      <c r="CL99" s="23">
        <f>EXP(-LN(2)/25)*CL98+(1-EXP(-LN(2)/25))/(LN(2)/25)*Calculateur!CG99*Calculateur!CI99*VLOOKUP('Données projet'!$B$12,Paramètres!$A$1:$I$89,3,0)*0.475*44/12</f>
        <v>7.5660575243458732</v>
      </c>
      <c r="CM99" s="23">
        <f>EXP(-LN(2)/2)*CM98+(1-EXP(-LN(2)/2))/(LN(2)/2)*CG99*CJ99*VLOOKUP('Données projet'!$B$12,Paramètres!$A$1:$I$89,3,0)*0.475*44/12</f>
        <v>4.6319041857178667E-7</v>
      </c>
      <c r="CN99" s="24">
        <f t="shared" si="66"/>
        <v>25.368807039182656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-1.1368683772161603E-13</v>
      </c>
      <c r="CU99" s="18">
        <f>CT99*VLOOKUP('Données projet'!$B$13,Paramètres!$A$1:$I$89,3,0)*VLOOKUP('Données projet'!$B$13,Paramètres!$A$1:$I$89,5,0)</f>
        <v>-1.2414602679200469E-13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205.21073681197737</v>
      </c>
      <c r="CZ99" s="62">
        <f t="shared" si="96"/>
        <v>175.16446313750316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34.996383275042511</v>
      </c>
      <c r="DG99" s="23">
        <f>EXP(-LN(2)/25)*DG98+(1-EXP(-LN(2)/25))/(LN(2)/25)*Calculateur!DB99*Calculateur!DD99*VLOOKUP('Données projet'!$B$13,Paramètres!$A$1:$I$89,3,0)*0.475*44/12</f>
        <v>11.694872083889427</v>
      </c>
      <c r="DH99" s="23">
        <f>EXP(-LN(2)/2)*DH98+(1-EXP(-LN(2)/2))/(LN(2)/2)*DB99*DE99*VLOOKUP('Données projet'!$B$13,Paramètres!$A$1:$I$89,3,0)*0.475*44/12</f>
        <v>4.1387140733854298E-7</v>
      </c>
      <c r="DI99" s="24">
        <f t="shared" si="69"/>
        <v>46.691255772803345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2.2737367544323206E-13</v>
      </c>
      <c r="DP99" s="18">
        <f>DO99*VLOOKUP('Données projet'!$B$14,Paramètres!$A$1:$I$89,3,0)*VLOOKUP('Données projet'!$B$14,Paramètres!$A$1:$I$89,5,0)</f>
        <v>1.8444552551954985E-13</v>
      </c>
      <c r="DQ99" s="14">
        <f t="shared" si="97"/>
        <v>2.580317449479618E-12</v>
      </c>
      <c r="DR99" s="22">
        <f t="shared" si="70"/>
        <v>4.8152955147902165E-12</v>
      </c>
      <c r="DS99" s="62">
        <f t="shared" si="71"/>
        <v>293.33333333333815</v>
      </c>
      <c r="DT99" s="62">
        <f ca="1">AVERAGE(OFFSET($DS$3,0,0,'Données projet'!$E$14+1,1))-AVERAGE(OFFSET($H$3,0,0,'Données projet'!$E$14+1,1))</f>
        <v>223.63222290670075</v>
      </c>
      <c r="DU99" s="62">
        <f t="shared" si="98"/>
        <v>290.02663909417248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37.26603625352967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3.6349655778714871E-4</v>
      </c>
      <c r="ED99" s="24">
        <f t="shared" si="72"/>
        <v>37.266399750087459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375.68890643297289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192.24617268603629</v>
      </c>
      <c r="T100" s="62">
        <f t="shared" si="88"/>
        <v>192.48585280662832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42.286436125061556</v>
      </c>
      <c r="AA100" s="23">
        <f>EXP(-LN(2)/25)*AA99+(1-EXP(-LN(2)/25))/(LN(2)/25)*Calculateur!V100*Calculateur!X100*VLOOKUP('Données projet'!$B$9,Paramètres!$A$1:$I$89,3,0)*0.475*44/12</f>
        <v>11.364647382643348</v>
      </c>
      <c r="AB100" s="23">
        <f>EXP(-LN(2)/2)*AB99+(1-EXP(-LN(2)/2))/(LN(2)/2)*V100*Y100*VLOOKUP('Données projet'!$B$9,Paramètres!$A$1:$I$89,3,0)*0.475*44/12</f>
        <v>1.1320056075278509E-4</v>
      </c>
      <c r="AC100" s="24">
        <f t="shared" si="57"/>
        <v>53.651196708265658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1.9999999998958629E-3</v>
      </c>
      <c r="AJ100" s="14">
        <f>AI100*VLOOKUP('Données projet'!$B$10,Paramètres!$A$1:$I$89,3,0)*VLOOKUP('Données projet'!$B$10,Paramètres!$A$1:$I$89,5,0)</f>
        <v>1.195999999937726E-3</v>
      </c>
      <c r="AK100" s="14">
        <f t="shared" si="89"/>
        <v>1.2062444695752218E-3</v>
      </c>
      <c r="AL100" s="22">
        <f t="shared" si="58"/>
        <v>4.1839091177350513E-3</v>
      </c>
      <c r="AM100" s="62">
        <f t="shared" si="59"/>
        <v>293.33751724245104</v>
      </c>
      <c r="AN100" s="62">
        <f ca="1">AVERAGE(OFFSET($AM$3,0,0,'Données projet'!$E$10+1,1))-AVERAGE(OFFSET($H$3,0,0,'Données projet'!$E$10+1,1))</f>
        <v>164.64952352018145</v>
      </c>
      <c r="AO100" s="62">
        <f t="shared" si="90"/>
        <v>280.08682720086921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21.1466533958573</v>
      </c>
      <c r="AV100" s="23">
        <f>EXP(-LN(2)/25)*AV99+(1-EXP(-LN(2)/25))/(LN(2)/25)*Calculateur!AQ100*Calculateur!AS100*VLOOKUP('Données projet'!$B$10,Paramètres!$A$1:$I$89,3,0)*0.475*44/12</f>
        <v>5.0194484112907851</v>
      </c>
      <c r="AW100" s="23">
        <f>EXP(-LN(2)/2)*AW99+(1-EXP(-LN(2)/2))/(LN(2)/2)*AQ100*AT100*VLOOKUP('Données projet'!$B$10,Paramètres!$A$1:$I$89,3,0)*0.475*44/12</f>
        <v>4.4634753923266395E-8</v>
      </c>
      <c r="AX100" s="23">
        <f t="shared" si="60"/>
        <v>26.166101851782837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7.5650000000000048</v>
      </c>
      <c r="BD100" s="13">
        <f>IF('Données projet'!$A$88&gt;35,BD99+BC100-BL99,IF(A100&lt;'Données projet'!$A$88,$BA$205^A100,IF(A100='Données projet'!$A$88,'Données projet'!$B$88,BD99+BC100-BL99)))</f>
        <v>305.71500000000003</v>
      </c>
      <c r="BE100" s="14">
        <f>BD100*VLOOKUP('Données projet'!$B$11,Paramètres!$A$1:$I$89,3,0)*VLOOKUP('Données projet'!$B$11,Paramètres!$A$1:$I$89,5,0)</f>
        <v>257.53431600000005</v>
      </c>
      <c r="BF100" s="14">
        <f t="shared" si="91"/>
        <v>62.196502651276433</v>
      </c>
      <c r="BG100" s="22">
        <f t="shared" si="61"/>
        <v>556.86450915097316</v>
      </c>
      <c r="BH100" s="62">
        <f t="shared" si="62"/>
        <v>850.19784248430642</v>
      </c>
      <c r="BI100" s="62">
        <f ca="1">AVERAGE(OFFSET($BH$3,0,0,'Données projet'!$E$11+1,1))-AVERAGE(OFFSET($H$3,0,0,'Données projet'!$E$11+1,1))</f>
        <v>339.58585574836434</v>
      </c>
      <c r="BJ100" s="62">
        <f t="shared" si="92"/>
        <v>42.267525972379588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21.083156892944693</v>
      </c>
      <c r="BQ100" s="23">
        <f>EXP(-LN(2)/25)*BQ99+(1-EXP(-LN(2)/25))/(LN(2)/25)*Calculateur!BL100*Calculateur!BN100*VLOOKUP('Données projet'!$B$11,Paramètres!$A$1:$I$89,3,0)*0.475*44/12</f>
        <v>10.701387130725385</v>
      </c>
      <c r="BR100" s="23">
        <f>EXP(-LN(2)/2)*BR99+(1-EXP(-LN(2)/2))/(LN(2)/2)*BL100*BO100*VLOOKUP('Données projet'!$B$11,Paramètres!$A$1:$I$89,3,0)*0.475*44/12</f>
        <v>2.5730368860736879E-5</v>
      </c>
      <c r="BS100" s="24">
        <f t="shared" si="63"/>
        <v>31.784569754038941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4.2259999999999991</v>
      </c>
      <c r="BY100" s="13">
        <f>IF('Données projet'!$A$114&gt;35,BY99+BX100-CG99,IF(A100&lt;'Données projet'!$A$114,$BV$205^A100,IF(A100='Données projet'!$A$114,'Données projet'!$B$114,BY99+BX100-CG99)))</f>
        <v>169.702</v>
      </c>
      <c r="BZ100" s="14">
        <f>BY100*VLOOKUP('Données projet'!$B$12,Paramètres!$A$1:$I$89,3,0)*VLOOKUP('Données projet'!$B$12,Paramètres!$A$1:$I$89,5,0)</f>
        <v>169.43047680000001</v>
      </c>
      <c r="CA100" s="14">
        <f t="shared" si="93"/>
        <v>42.962444432743709</v>
      </c>
      <c r="CB100" s="22">
        <f t="shared" si="64"/>
        <v>369.91767114702867</v>
      </c>
      <c r="CC100" s="62">
        <f t="shared" si="65"/>
        <v>663.25100448036198</v>
      </c>
      <c r="CD100" s="62">
        <f ca="1">AVERAGE(OFFSET($CC$3,0,0,'Données projet'!$E$12+1,1))-AVERAGE(OFFSET($H$3,0,0,'Données projet'!$E$12+1,1))</f>
        <v>112.34884104798977</v>
      </c>
      <c r="CE100" s="62">
        <f t="shared" si="94"/>
        <v>18.665658139749326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17.453648001348302</v>
      </c>
      <c r="CL100" s="23">
        <f>EXP(-LN(2)/25)*CL99+(1-EXP(-LN(2)/25))/(LN(2)/25)*Calculateur!CG100*Calculateur!CI100*VLOOKUP('Données projet'!$B$12,Paramètres!$A$1:$I$89,3,0)*0.475*44/12</f>
        <v>7.3591632834609628</v>
      </c>
      <c r="CM100" s="23">
        <f>EXP(-LN(2)/2)*CM99+(1-EXP(-LN(2)/2))/(LN(2)/2)*CG100*CJ100*VLOOKUP('Données projet'!$B$12,Paramètres!$A$1:$I$89,3,0)*0.475*44/12</f>
        <v>3.2752508595274571E-7</v>
      </c>
      <c r="CN100" s="24">
        <f t="shared" si="66"/>
        <v>24.81281161233435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-1.1368683772161603E-13</v>
      </c>
      <c r="CU100" s="18">
        <f>CT100*VLOOKUP('Données projet'!$B$13,Paramètres!$A$1:$I$89,3,0)*VLOOKUP('Données projet'!$B$13,Paramètres!$A$1:$I$89,5,0)</f>
        <v>-1.2414602679200469E-13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205.21073681197737</v>
      </c>
      <c r="CZ100" s="62">
        <f t="shared" si="96"/>
        <v>175.16446313750316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34.310125544705016</v>
      </c>
      <c r="DG100" s="23">
        <f>EXP(-LN(2)/25)*DG99+(1-EXP(-LN(2)/25))/(LN(2)/25)*Calculateur!DB100*Calculateur!DD100*VLOOKUP('Données projet'!$B$13,Paramètres!$A$1:$I$89,3,0)*0.475*44/12</f>
        <v>11.375075191748877</v>
      </c>
      <c r="DH100" s="23">
        <f>EXP(-LN(2)/2)*DH99+(1-EXP(-LN(2)/2))/(LN(2)/2)*DB100*DE100*VLOOKUP('Données projet'!$B$13,Paramètres!$A$1:$I$89,3,0)*0.475*44/12</f>
        <v>2.9265127866830359E-7</v>
      </c>
      <c r="DI100" s="24">
        <f t="shared" si="69"/>
        <v>45.685201029105173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2.2737367544323206E-13</v>
      </c>
      <c r="DP100" s="18">
        <f>DO100*VLOOKUP('Données projet'!$B$14,Paramètres!$A$1:$I$89,3,0)*VLOOKUP('Données projet'!$B$14,Paramètres!$A$1:$I$89,5,0)</f>
        <v>1.8444552551954985E-13</v>
      </c>
      <c r="DQ100" s="14">
        <f t="shared" si="97"/>
        <v>2.580317449479618E-12</v>
      </c>
      <c r="DR100" s="22">
        <f t="shared" si="70"/>
        <v>4.8152955147902165E-12</v>
      </c>
      <c r="DS100" s="62">
        <f t="shared" si="71"/>
        <v>293.33333333333815</v>
      </c>
      <c r="DT100" s="62">
        <f ca="1">AVERAGE(OFFSET($DS$3,0,0,'Données projet'!$E$14+1,1))-AVERAGE(OFFSET($H$3,0,0,'Données projet'!$E$14+1,1))</f>
        <v>223.63222290670075</v>
      </c>
      <c r="DU100" s="62">
        <f t="shared" si="98"/>
        <v>290.02663909417248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36.535272012635666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2.5703088094926059E-4</v>
      </c>
      <c r="ED100" s="24">
        <f t="shared" si="72"/>
        <v>36.535529043516618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376.88365791501889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192.24617268603629</v>
      </c>
      <c r="T101" s="62">
        <f t="shared" si="88"/>
        <v>192.48585280662832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41.457224904828372</v>
      </c>
      <c r="AA101" s="23">
        <f>EXP(-LN(2)/25)*AA100+(1-EXP(-LN(2)/25))/(LN(2)/25)*Calculateur!V101*Calculateur!X101*VLOOKUP('Données projet'!$B$9,Paramètres!$A$1:$I$89,3,0)*0.475*44/12</f>
        <v>11.053880502324134</v>
      </c>
      <c r="AB101" s="23">
        <f>EXP(-LN(2)/2)*AB100+(1-EXP(-LN(2)/2))/(LN(2)/2)*V101*Y101*VLOOKUP('Données projet'!$B$9,Paramètres!$A$1:$I$89,3,0)*0.475*44/12</f>
        <v>8.0044884142414088E-5</v>
      </c>
      <c r="AC101" s="24">
        <f t="shared" si="57"/>
        <v>52.511185452036649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1.9999999998958629E-3</v>
      </c>
      <c r="AJ101" s="14">
        <f>AI101*VLOOKUP('Données projet'!$B$10,Paramètres!$A$1:$I$89,3,0)*VLOOKUP('Données projet'!$B$10,Paramètres!$A$1:$I$89,5,0)</f>
        <v>1.195999999937726E-3</v>
      </c>
      <c r="AK101" s="14">
        <f t="shared" si="89"/>
        <v>1.2062444695752218E-3</v>
      </c>
      <c r="AL101" s="22">
        <f t="shared" si="58"/>
        <v>4.1839091177350513E-3</v>
      </c>
      <c r="AM101" s="62">
        <f t="shared" si="59"/>
        <v>293.33751724245104</v>
      </c>
      <c r="AN101" s="62">
        <f ca="1">AVERAGE(OFFSET($AM$3,0,0,'Données projet'!$E$10+1,1))-AVERAGE(OFFSET($H$3,0,0,'Données projet'!$E$10+1,1))</f>
        <v>164.64952352018145</v>
      </c>
      <c r="AO101" s="62">
        <f t="shared" si="90"/>
        <v>280.08682720086921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20.731980420949519</v>
      </c>
      <c r="AV101" s="23">
        <f>EXP(-LN(2)/25)*AV100+(1-EXP(-LN(2)/25))/(LN(2)/25)*Calculateur!AQ101*Calculateur!AS101*VLOOKUP('Données projet'!$B$10,Paramètres!$A$1:$I$89,3,0)*0.475*44/12</f>
        <v>4.8821913305227191</v>
      </c>
      <c r="AW101" s="23">
        <f>EXP(-LN(2)/2)*AW100+(1-EXP(-LN(2)/2))/(LN(2)/2)*AQ101*AT101*VLOOKUP('Données projet'!$B$10,Paramètres!$A$1:$I$89,3,0)*0.475*44/12</f>
        <v>3.1561537175734524E-8</v>
      </c>
      <c r="AX101" s="23">
        <f t="shared" si="60"/>
        <v>25.614171783033775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>
        <f>VLOOKUP(A101,'Données projet'!$A$87:$I$107,2,0)</f>
        <v>313.28000000000003</v>
      </c>
      <c r="BB101" s="13">
        <f>VLOOKUP(A101,'Données projet'!$A$87:$I$107,9,0)</f>
        <v>7.5650000000000048</v>
      </c>
      <c r="BC101" s="13">
        <f t="array" ref="BC101">INDEX(BB:BB,MIN(IF(ISNUMBER(BB101:BB297),ROW(BB101:BB297),"")))</f>
        <v>7.5650000000000048</v>
      </c>
      <c r="BD101" s="13">
        <f>IF('Données projet'!$A$88&gt;35,BD100+BC101-BL100,IF(A101&lt;'Données projet'!$A$88,$BA$205^A101,IF(A101='Données projet'!$A$88,'Données projet'!$B$88,BD100+BC101-BL100)))</f>
        <v>313.28000000000003</v>
      </c>
      <c r="BE101" s="14">
        <f>BD101*VLOOKUP('Données projet'!$B$11,Paramètres!$A$1:$I$89,3,0)*VLOOKUP('Données projet'!$B$11,Paramètres!$A$1:$I$89,5,0)</f>
        <v>263.90707200000003</v>
      </c>
      <c r="BF101" s="14">
        <f t="shared" si="91"/>
        <v>63.554483480433468</v>
      </c>
      <c r="BG101" s="22">
        <f t="shared" si="61"/>
        <v>570.32887579508827</v>
      </c>
      <c r="BH101" s="62">
        <f t="shared" si="62"/>
        <v>863.66220912842164</v>
      </c>
      <c r="BI101" s="62">
        <f ca="1">AVERAGE(OFFSET($BH$3,0,0,'Données projet'!$E$11+1,1))-AVERAGE(OFFSET($H$3,0,0,'Données projet'!$E$11+1,1))</f>
        <v>339.58585574836434</v>
      </c>
      <c r="BJ101" s="62">
        <f t="shared" si="92"/>
        <v>42.267525972379588</v>
      </c>
      <c r="BK101" s="16">
        <f>IF(ISNA(VLOOKUP(A101,'Données projet'!$A$87:$I$107,3,0)),0,VLOOKUP(A101,'Données projet'!$A$87:$I$107,3,0))</f>
        <v>12</v>
      </c>
      <c r="BL101" s="16">
        <f>IF(ISNA(VLOOKUP(A101,'Données projet'!$A$87:$I$107,4,0)),0,VLOOKUP(A101,'Données projet'!$A$87:$I$107,4,0))</f>
        <v>38.72</v>
      </c>
      <c r="BM101" s="17">
        <f>IF(ISNA(VLOOKUP(A101,'Données projet'!$A$87:$I$107,5,0)),0%,VLOOKUP(A101,'Données projet'!$A$87:$I$107,5,0)*VLOOKUP('Données projet'!$B$11,Paramètres!$A$1:$I$89,7,0))</f>
        <v>0.34400000000000003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33.073657705901901</v>
      </c>
      <c r="BQ101" s="23">
        <f>EXP(-LN(2)/25)*BQ100+(1-EXP(-LN(2)/25))/(LN(2)/25)*Calculateur!BL101*Calculateur!BN101*VLOOKUP('Données projet'!$B$11,Paramètres!$A$1:$I$89,3,0)*0.475*44/12</f>
        <v>10.408757136874208</v>
      </c>
      <c r="BR101" s="23">
        <f>EXP(-LN(2)/2)*BR100+(1-EXP(-LN(2)/2))/(LN(2)/2)*BL101*BO101*VLOOKUP('Données projet'!$B$11,Paramètres!$A$1:$I$89,3,0)*0.475*44/12</f>
        <v>1.8194118303858228E-5</v>
      </c>
      <c r="BS101" s="24">
        <f t="shared" si="63"/>
        <v>43.482433036894413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4.2259999999999991</v>
      </c>
      <c r="BY101" s="13">
        <f>IF('Données projet'!$A$114&gt;35,BY100+BX101-CG100,IF(A101&lt;'Données projet'!$A$114,$BV$205^A101,IF(A101='Données projet'!$A$114,'Données projet'!$B$114,BY100+BX101-CG100)))</f>
        <v>173.928</v>
      </c>
      <c r="BZ101" s="14">
        <f>BY101*VLOOKUP('Données projet'!$B$12,Paramètres!$A$1:$I$89,3,0)*VLOOKUP('Données projet'!$B$12,Paramètres!$A$1:$I$89,5,0)</f>
        <v>173.6497152</v>
      </c>
      <c r="CA101" s="14">
        <f t="shared" si="93"/>
        <v>43.906425096182765</v>
      </c>
      <c r="CB101" s="22">
        <f t="shared" si="64"/>
        <v>378.91027768251826</v>
      </c>
      <c r="CC101" s="62">
        <f t="shared" si="65"/>
        <v>672.24361101585157</v>
      </c>
      <c r="CD101" s="62">
        <f ca="1">AVERAGE(OFFSET($CC$3,0,0,'Données projet'!$E$12+1,1))-AVERAGE(OFFSET($H$3,0,0,'Données projet'!$E$12+1,1))</f>
        <v>112.34884104798977</v>
      </c>
      <c r="CE101" s="62">
        <f t="shared" si="94"/>
        <v>18.665658139749326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17.111392609715971</v>
      </c>
      <c r="CL101" s="23">
        <f>EXP(-LN(2)/25)*CL100+(1-EXP(-LN(2)/25))/(LN(2)/25)*Calculateur!CG101*Calculateur!CI101*VLOOKUP('Données projet'!$B$12,Paramètres!$A$1:$I$89,3,0)*0.475*44/12</f>
        <v>7.1579265764731455</v>
      </c>
      <c r="CM101" s="23">
        <f>EXP(-LN(2)/2)*CM100+(1-EXP(-LN(2)/2))/(LN(2)/2)*CG101*CJ101*VLOOKUP('Données projet'!$B$12,Paramètres!$A$1:$I$89,3,0)*0.475*44/12</f>
        <v>2.3159520928589333E-7</v>
      </c>
      <c r="CN101" s="24">
        <f t="shared" si="66"/>
        <v>24.269319417784324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-1.1368683772161603E-13</v>
      </c>
      <c r="CU101" s="18">
        <f>CT101*VLOOKUP('Données projet'!$B$13,Paramètres!$A$1:$I$89,3,0)*VLOOKUP('Données projet'!$B$13,Paramètres!$A$1:$I$89,5,0)</f>
        <v>-1.2414602679200469E-13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205.21073681197737</v>
      </c>
      <c r="CZ101" s="62">
        <f t="shared" si="96"/>
        <v>175.16446313750316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33.637324909883553</v>
      </c>
      <c r="DG101" s="23">
        <f>EXP(-LN(2)/25)*DG100+(1-EXP(-LN(2)/25))/(LN(2)/25)*Calculateur!DB101*Calculateur!DD101*VLOOKUP('Données projet'!$B$13,Paramètres!$A$1:$I$89,3,0)*0.475*44/12</f>
        <v>11.064023162441298</v>
      </c>
      <c r="DH101" s="23">
        <f>EXP(-LN(2)/2)*DH100+(1-EXP(-LN(2)/2))/(LN(2)/2)*DB101*DE101*VLOOKUP('Données projet'!$B$13,Paramètres!$A$1:$I$89,3,0)*0.475*44/12</f>
        <v>2.0693570366927149E-7</v>
      </c>
      <c r="DI101" s="24">
        <f t="shared" si="69"/>
        <v>44.70134827926055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2.2737367544323206E-13</v>
      </c>
      <c r="DP101" s="18">
        <f>DO101*VLOOKUP('Données projet'!$B$14,Paramètres!$A$1:$I$89,3,0)*VLOOKUP('Données projet'!$B$14,Paramètres!$A$1:$I$89,5,0)</f>
        <v>1.8444552551954985E-13</v>
      </c>
      <c r="DQ101" s="14">
        <f t="shared" si="97"/>
        <v>2.580317449479618E-12</v>
      </c>
      <c r="DR101" s="22">
        <f t="shared" si="70"/>
        <v>4.8152955147902165E-12</v>
      </c>
      <c r="DS101" s="62">
        <f t="shared" si="71"/>
        <v>293.33333333333815</v>
      </c>
      <c r="DT101" s="62">
        <f ca="1">AVERAGE(OFFSET($DS$3,0,0,'Données projet'!$E$14+1,1))-AVERAGE(OFFSET($H$3,0,0,'Données projet'!$E$14+1,1))</f>
        <v>223.63222290670075</v>
      </c>
      <c r="DU101" s="62">
        <f t="shared" si="98"/>
        <v>290.02663909417248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35.818837612783412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1.8174827889357435E-4</v>
      </c>
      <c r="ED101" s="24">
        <f t="shared" si="72"/>
        <v>35.819019361062303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378.07811998720388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192.24617268603629</v>
      </c>
      <c r="T102" s="62">
        <f t="shared" si="88"/>
        <v>192.48585280662832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40.644274010855057</v>
      </c>
      <c r="AA102" s="23">
        <f>EXP(-LN(2)/25)*AA101+(1-EXP(-LN(2)/25))/(LN(2)/25)*Calculateur!V102*Calculateur!X102*VLOOKUP('Données projet'!$B$9,Paramètres!$A$1:$I$89,3,0)*0.475*44/12</f>
        <v>10.751611558689769</v>
      </c>
      <c r="AB102" s="23">
        <f>EXP(-LN(2)/2)*AB101+(1-EXP(-LN(2)/2))/(LN(2)/2)*V102*Y102*VLOOKUP('Données projet'!$B$9,Paramètres!$A$1:$I$89,3,0)*0.475*44/12</f>
        <v>5.6600280376392547E-5</v>
      </c>
      <c r="AC102" s="24">
        <f t="shared" si="57"/>
        <v>51.395942169825197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1.9999999998958629E-3</v>
      </c>
      <c r="AJ102" s="14">
        <f>AI102*VLOOKUP('Données projet'!$B$10,Paramètres!$A$1:$I$89,3,0)*VLOOKUP('Données projet'!$B$10,Paramètres!$A$1:$I$89,5,0)</f>
        <v>1.195999999937726E-3</v>
      </c>
      <c r="AK102" s="14">
        <f t="shared" si="89"/>
        <v>1.2062444695752218E-3</v>
      </c>
      <c r="AL102" s="22">
        <f t="shared" si="58"/>
        <v>4.1839091177350513E-3</v>
      </c>
      <c r="AM102" s="62">
        <f t="shared" si="59"/>
        <v>293.33751724245104</v>
      </c>
      <c r="AN102" s="62">
        <f ca="1">AVERAGE(OFFSET($AM$3,0,0,'Données projet'!$E$10+1,1))-AVERAGE(OFFSET($H$3,0,0,'Données projet'!$E$10+1,1))</f>
        <v>164.64952352018145</v>
      </c>
      <c r="AO102" s="62">
        <f t="shared" si="90"/>
        <v>280.08682720086921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20.325438930154139</v>
      </c>
      <c r="AV102" s="23">
        <f>EXP(-LN(2)/25)*AV101+(1-EXP(-LN(2)/25))/(LN(2)/25)*Calculateur!AQ102*Calculateur!AS102*VLOOKUP('Données projet'!$B$10,Paramètres!$A$1:$I$89,3,0)*0.475*44/12</f>
        <v>4.7486875518462917</v>
      </c>
      <c r="AW102" s="23">
        <f>EXP(-LN(2)/2)*AW101+(1-EXP(-LN(2)/2))/(LN(2)/2)*AQ102*AT102*VLOOKUP('Données projet'!$B$10,Paramètres!$A$1:$I$89,3,0)*0.475*44/12</f>
        <v>2.2317376961633198E-8</v>
      </c>
      <c r="AX102" s="23">
        <f t="shared" si="60"/>
        <v>25.074126504317807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8.4624999999999986</v>
      </c>
      <c r="BD102" s="13">
        <f>IF('Données projet'!$A$88&gt;35,BD101+BC102-BL101,IF(A102&lt;'Données projet'!$A$88,$BA$205^A102,IF(A102='Données projet'!$A$88,'Données projet'!$B$88,BD101+BC102-BL101)))</f>
        <v>283.02250000000004</v>
      </c>
      <c r="BE102" s="14">
        <f>BD102*VLOOKUP('Données projet'!$B$11,Paramètres!$A$1:$I$89,3,0)*VLOOKUP('Données projet'!$B$11,Paramètres!$A$1:$I$89,5,0)</f>
        <v>238.41815400000007</v>
      </c>
      <c r="BF102" s="14">
        <f t="shared" si="91"/>
        <v>58.099057733841114</v>
      </c>
      <c r="BG102" s="22">
        <f t="shared" si="61"/>
        <v>516.43414376977341</v>
      </c>
      <c r="BH102" s="62">
        <f t="shared" si="62"/>
        <v>809.76747710310678</v>
      </c>
      <c r="BI102" s="62">
        <f ca="1">AVERAGE(OFFSET($BH$3,0,0,'Données projet'!$E$11+1,1))-AVERAGE(OFFSET($H$3,0,0,'Données projet'!$E$11+1,1))</f>
        <v>339.58585574836434</v>
      </c>
      <c r="BJ102" s="62">
        <f t="shared" si="92"/>
        <v>42.267525972379588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32.425103451228452</v>
      </c>
      <c r="BQ102" s="23">
        <f>EXP(-LN(2)/25)*BQ101+(1-EXP(-LN(2)/25))/(LN(2)/25)*Calculateur!BL102*Calculateur!BN102*VLOOKUP('Données projet'!$B$11,Paramètres!$A$1:$I$89,3,0)*0.475*44/12</f>
        <v>10.124129125593633</v>
      </c>
      <c r="BR102" s="23">
        <f>EXP(-LN(2)/2)*BR101+(1-EXP(-LN(2)/2))/(LN(2)/2)*BL102*BO102*VLOOKUP('Données projet'!$B$11,Paramètres!$A$1:$I$89,3,0)*0.475*44/12</f>
        <v>1.286518443036844E-5</v>
      </c>
      <c r="BS102" s="24">
        <f t="shared" si="63"/>
        <v>42.549245442006516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4.2259999999999991</v>
      </c>
      <c r="BY102" s="13">
        <f>IF('Données projet'!$A$114&gt;35,BY101+BX102-CG101,IF(A102&lt;'Données projet'!$A$114,$BV$205^A102,IF(A102='Données projet'!$A$114,'Données projet'!$B$114,BY101+BX102-CG101)))</f>
        <v>178.154</v>
      </c>
      <c r="BZ102" s="14">
        <f>BY102*VLOOKUP('Données projet'!$B$12,Paramètres!$A$1:$I$89,3,0)*VLOOKUP('Données projet'!$B$12,Paramètres!$A$1:$I$89,5,0)</f>
        <v>177.8689536</v>
      </c>
      <c r="CA102" s="14">
        <f t="shared" si="93"/>
        <v>44.84773947052313</v>
      </c>
      <c r="CB102" s="22">
        <f t="shared" si="64"/>
        <v>387.89824043116113</v>
      </c>
      <c r="CC102" s="62">
        <f t="shared" si="65"/>
        <v>681.23157376449444</v>
      </c>
      <c r="CD102" s="62">
        <f ca="1">AVERAGE(OFFSET($CC$3,0,0,'Données projet'!$E$12+1,1))-AVERAGE(OFFSET($H$3,0,0,'Données projet'!$E$12+1,1))</f>
        <v>112.34884104798977</v>
      </c>
      <c r="CE102" s="62">
        <f t="shared" si="94"/>
        <v>18.665658139749326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16.775848637558372</v>
      </c>
      <c r="CL102" s="23">
        <f>EXP(-LN(2)/25)*CL101+(1-EXP(-LN(2)/25))/(LN(2)/25)*Calculateur!CG102*Calculateur!CI102*VLOOKUP('Données projet'!$B$12,Paramètres!$A$1:$I$89,3,0)*0.475*44/12</f>
        <v>6.9621926978204884</v>
      </c>
      <c r="CM102" s="23">
        <f>EXP(-LN(2)/2)*CM101+(1-EXP(-LN(2)/2))/(LN(2)/2)*CG102*CJ102*VLOOKUP('Données projet'!$B$12,Paramètres!$A$1:$I$89,3,0)*0.475*44/12</f>
        <v>1.6376254297637285E-7</v>
      </c>
      <c r="CN102" s="24">
        <f t="shared" si="66"/>
        <v>23.738041499141403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-1.1368683772161603E-13</v>
      </c>
      <c r="CU102" s="18">
        <f>CT102*VLOOKUP('Données projet'!$B$13,Paramètres!$A$1:$I$89,3,0)*VLOOKUP('Données projet'!$B$13,Paramètres!$A$1:$I$89,5,0)</f>
        <v>-1.2414602679200469E-13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205.21073681197737</v>
      </c>
      <c r="CZ102" s="62">
        <f t="shared" si="96"/>
        <v>175.16446313750316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32.977717485143074</v>
      </c>
      <c r="DG102" s="23">
        <f>EXP(-LN(2)/25)*DG101+(1-EXP(-LN(2)/25))/(LN(2)/25)*Calculateur!DB102*Calculateur!DD102*VLOOKUP('Données projet'!$B$13,Paramètres!$A$1:$I$89,3,0)*0.475*44/12</f>
        <v>10.76147686723265</v>
      </c>
      <c r="DH102" s="23">
        <f>EXP(-LN(2)/2)*DH101+(1-EXP(-LN(2)/2))/(LN(2)/2)*DB102*DE102*VLOOKUP('Données projet'!$B$13,Paramètres!$A$1:$I$89,3,0)*0.475*44/12</f>
        <v>1.4632563933415179E-7</v>
      </c>
      <c r="DI102" s="24">
        <f t="shared" si="69"/>
        <v>43.739194498701366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2.2737367544323206E-13</v>
      </c>
      <c r="DP102" s="18">
        <f>DO102*VLOOKUP('Données projet'!$B$14,Paramètres!$A$1:$I$89,3,0)*VLOOKUP('Données projet'!$B$14,Paramètres!$A$1:$I$89,5,0)</f>
        <v>1.8444552551954985E-13</v>
      </c>
      <c r="DQ102" s="14">
        <f t="shared" si="97"/>
        <v>2.580317449479618E-12</v>
      </c>
      <c r="DR102" s="22">
        <f t="shared" si="70"/>
        <v>4.8152955147902165E-12</v>
      </c>
      <c r="DS102" s="62">
        <f t="shared" si="71"/>
        <v>293.33333333333815</v>
      </c>
      <c r="DT102" s="62">
        <f ca="1">AVERAGE(OFFSET($DS$3,0,0,'Données projet'!$E$14+1,1))-AVERAGE(OFFSET($H$3,0,0,'Données projet'!$E$14+1,1))</f>
        <v>223.63222290670075</v>
      </c>
      <c r="DU102" s="62">
        <f t="shared" si="98"/>
        <v>290.02663909417248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35.116452054530427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1.2851544047463029E-4</v>
      </c>
      <c r="ED102" s="24">
        <f t="shared" si="72"/>
        <v>35.1165805699709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379.27229591132925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192.24617268603629</v>
      </c>
      <c r="T103" s="62">
        <f t="shared" si="88"/>
        <v>192.48585280662832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39.847264588061471</v>
      </c>
      <c r="AA103" s="23">
        <f>EXP(-LN(2)/25)*AA102+(1-EXP(-LN(2)/25))/(LN(2)/25)*Calculateur!V103*Calculateur!X103*VLOOKUP('Données projet'!$B$9,Paramètres!$A$1:$I$89,3,0)*0.475*44/12</f>
        <v>10.457608175214718</v>
      </c>
      <c r="AB103" s="23">
        <f>EXP(-LN(2)/2)*AB102+(1-EXP(-LN(2)/2))/(LN(2)/2)*V103*Y103*VLOOKUP('Données projet'!$B$9,Paramètres!$A$1:$I$89,3,0)*0.475*44/12</f>
        <v>4.0022442071207044E-5</v>
      </c>
      <c r="AC103" s="24">
        <f t="shared" si="57"/>
        <v>50.304912785718258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1.9999999998958629E-3</v>
      </c>
      <c r="AJ103" s="14">
        <f>AI103*VLOOKUP('Données projet'!$B$10,Paramètres!$A$1:$I$89,3,0)*VLOOKUP('Données projet'!$B$10,Paramètres!$A$1:$I$89,5,0)</f>
        <v>1.195999999937726E-3</v>
      </c>
      <c r="AK103" s="14">
        <f t="shared" si="89"/>
        <v>1.2062444695752218E-3</v>
      </c>
      <c r="AL103" s="22">
        <f t="shared" si="58"/>
        <v>4.1839091177350513E-3</v>
      </c>
      <c r="AM103" s="62">
        <f t="shared" si="59"/>
        <v>293.33751724245104</v>
      </c>
      <c r="AN103" s="62">
        <f ca="1">AVERAGE(OFFSET($AM$3,0,0,'Données projet'!$E$10+1,1))-AVERAGE(OFFSET($H$3,0,0,'Données projet'!$E$10+1,1))</f>
        <v>164.64952352018145</v>
      </c>
      <c r="AO103" s="62">
        <f t="shared" si="90"/>
        <v>280.08682720086921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19.926869470027434</v>
      </c>
      <c r="AV103" s="23">
        <f>EXP(-LN(2)/25)*AV102+(1-EXP(-LN(2)/25))/(LN(2)/25)*Calculateur!AQ103*Calculateur!AS103*VLOOKUP('Données projet'!$B$10,Paramètres!$A$1:$I$89,3,0)*0.475*44/12</f>
        <v>4.6188344410184294</v>
      </c>
      <c r="AW103" s="23">
        <f>EXP(-LN(2)/2)*AW102+(1-EXP(-LN(2)/2))/(LN(2)/2)*AQ103*AT103*VLOOKUP('Données projet'!$B$10,Paramètres!$A$1:$I$89,3,0)*0.475*44/12</f>
        <v>1.5780768587867262E-8</v>
      </c>
      <c r="AX103" s="23">
        <f t="shared" si="60"/>
        <v>24.545703926826629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8.4624999999999986</v>
      </c>
      <c r="BD103" s="13">
        <f>IF('Données projet'!$A$88&gt;35,BD102+BC103-BL102,IF(A103&lt;'Données projet'!$A$88,$BA$205^A103,IF(A103='Données projet'!$A$88,'Données projet'!$B$88,BD102+BC103-BL102)))</f>
        <v>291.48500000000001</v>
      </c>
      <c r="BE103" s="14">
        <f>BD103*VLOOKUP('Données projet'!$B$11,Paramètres!$A$1:$I$89,3,0)*VLOOKUP('Données projet'!$B$11,Paramètres!$A$1:$I$89,5,0)</f>
        <v>245.54696400000003</v>
      </c>
      <c r="BF103" s="14">
        <f t="shared" si="91"/>
        <v>59.63139508496149</v>
      </c>
      <c r="BG103" s="22">
        <f t="shared" si="61"/>
        <v>531.51897540630796</v>
      </c>
      <c r="BH103" s="62">
        <f t="shared" si="62"/>
        <v>824.85230873964133</v>
      </c>
      <c r="BI103" s="62">
        <f ca="1">AVERAGE(OFFSET($BH$3,0,0,'Données projet'!$E$11+1,1))-AVERAGE(OFFSET($H$3,0,0,'Données projet'!$E$11+1,1))</f>
        <v>339.58585574836434</v>
      </c>
      <c r="BJ103" s="62">
        <f t="shared" si="92"/>
        <v>42.267525972379588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31.789266949910115</v>
      </c>
      <c r="BQ103" s="23">
        <f>EXP(-LN(2)/25)*BQ102+(1-EXP(-LN(2)/25))/(LN(2)/25)*Calculateur!BL103*Calculateur!BN103*VLOOKUP('Données projet'!$B$11,Paramètres!$A$1:$I$89,3,0)*0.475*44/12</f>
        <v>9.8472842822494631</v>
      </c>
      <c r="BR103" s="23">
        <f>EXP(-LN(2)/2)*BR102+(1-EXP(-LN(2)/2))/(LN(2)/2)*BL103*BO103*VLOOKUP('Données projet'!$B$11,Paramètres!$A$1:$I$89,3,0)*0.475*44/12</f>
        <v>9.0970591519291141E-6</v>
      </c>
      <c r="BS103" s="24">
        <f t="shared" si="63"/>
        <v>41.636560329218725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182.38</v>
      </c>
      <c r="BW103" s="13">
        <f>VLOOKUP(A103,'Données projet'!$A$113:$I$133,9,0)</f>
        <v>4.2259999999999991</v>
      </c>
      <c r="BX103" s="13">
        <f t="array" ref="BX103">INDEX(BW:BW,MIN(IF(ISNUMBER(BW103:BW299),ROW(BW103:BW299),"")))</f>
        <v>4.2259999999999991</v>
      </c>
      <c r="BY103" s="13">
        <f>IF('Données projet'!$A$114&gt;35,BY102+BX103-CG102,IF(A103&lt;'Données projet'!$A$114,$BV$205^A103,IF(A103='Données projet'!$A$114,'Données projet'!$B$114,BY102+BX103-CG102)))</f>
        <v>182.38</v>
      </c>
      <c r="BZ103" s="14">
        <f>BY103*VLOOKUP('Données projet'!$B$12,Paramètres!$A$1:$I$89,3,0)*VLOOKUP('Données projet'!$B$12,Paramètres!$A$1:$I$89,5,0)</f>
        <v>182.08819200000002</v>
      </c>
      <c r="CA103" s="14">
        <f t="shared" si="93"/>
        <v>45.786458080895287</v>
      </c>
      <c r="CB103" s="22">
        <f t="shared" si="64"/>
        <v>396.88168222422604</v>
      </c>
      <c r="CC103" s="62">
        <f t="shared" si="65"/>
        <v>690.21501555755935</v>
      </c>
      <c r="CD103" s="62">
        <f ca="1">AVERAGE(OFFSET($CC$3,0,0,'Données projet'!$E$12+1,1))-AVERAGE(OFFSET($H$3,0,0,'Données projet'!$E$12+1,1))</f>
        <v>112.34884104798977</v>
      </c>
      <c r="CE103" s="62">
        <f t="shared" si="94"/>
        <v>18.665658139749326</v>
      </c>
      <c r="CF103" s="16">
        <f>IF(ISNA(VLOOKUP(A103,'Données projet'!$A$113:$I$133,3,0)),0,VLOOKUP(A103,'Données projet'!$A$113:$I$133,3,0))</f>
        <v>9</v>
      </c>
      <c r="CG103" s="16">
        <f>IF(ISNA(VLOOKUP(A103,'Données projet'!$A$113:$I$133,4,0)),0,VLOOKUP(A103,'Données projet'!$A$113:$I$133,4,0))</f>
        <v>182.38</v>
      </c>
      <c r="CH103" s="17">
        <f>IF(ISNA(VLOOKUP(A103,'Données projet'!$A$113:$I$133,5,0)),0%,VLOOKUP(A103,'Données projet'!$A$113:$I$133,5,0)*VLOOKUP('Données projet'!$B$12,Paramètres!$A$1:$I$89,7,0))</f>
        <v>0.34400000000000003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85.691711813268967</v>
      </c>
      <c r="CL103" s="23">
        <f>EXP(-LN(2)/25)*CL102+(1-EXP(-LN(2)/25))/(LN(2)/25)*Calculateur!CG103*Calculateur!CI103*VLOOKUP('Données projet'!$B$12,Paramètres!$A$1:$I$89,3,0)*0.475*44/12</f>
        <v>6.7718111723727858</v>
      </c>
      <c r="CM103" s="23">
        <f>EXP(-LN(2)/2)*CM102+(1-EXP(-LN(2)/2))/(LN(2)/2)*CG103*CJ103*VLOOKUP('Données projet'!$B$12,Paramètres!$A$1:$I$89,3,0)*0.475*44/12</f>
        <v>1.1579760464294667E-7</v>
      </c>
      <c r="CN103" s="24">
        <f t="shared" si="66"/>
        <v>92.463523101439364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-1.1368683772161603E-13</v>
      </c>
      <c r="CU103" s="18">
        <f>CT103*VLOOKUP('Données projet'!$B$13,Paramètres!$A$1:$I$89,3,0)*VLOOKUP('Données projet'!$B$13,Paramètres!$A$1:$I$89,5,0)</f>
        <v>-1.2414602679200469E-13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205.21073681197737</v>
      </c>
      <c r="CZ103" s="62">
        <f t="shared" si="96"/>
        <v>175.16446313750316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32.331044559680947</v>
      </c>
      <c r="DG103" s="23">
        <f>EXP(-LN(2)/25)*DG102+(1-EXP(-LN(2)/25))/(LN(2)/25)*Calculateur!DB103*Calculateur!DD103*VLOOKUP('Données projet'!$B$13,Paramètres!$A$1:$I$89,3,0)*0.475*44/12</f>
        <v>10.4672037163767</v>
      </c>
      <c r="DH103" s="23">
        <f>EXP(-LN(2)/2)*DH102+(1-EXP(-LN(2)/2))/(LN(2)/2)*DB103*DE103*VLOOKUP('Données projet'!$B$13,Paramètres!$A$1:$I$89,3,0)*0.475*44/12</f>
        <v>1.0346785183463575E-7</v>
      </c>
      <c r="DI103" s="24">
        <f t="shared" si="69"/>
        <v>42.798248379525504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2.2737367544323206E-13</v>
      </c>
      <c r="DP103" s="18">
        <f>DO103*VLOOKUP('Données projet'!$B$14,Paramètres!$A$1:$I$89,3,0)*VLOOKUP('Données projet'!$B$14,Paramètres!$A$1:$I$89,5,0)</f>
        <v>1.8444552551954985E-13</v>
      </c>
      <c r="DQ103" s="14">
        <f t="shared" si="97"/>
        <v>2.580317449479618E-12</v>
      </c>
      <c r="DR103" s="22">
        <f t="shared" si="70"/>
        <v>4.8152955147902165E-12</v>
      </c>
      <c r="DS103" s="62">
        <f t="shared" si="71"/>
        <v>293.33333333333815</v>
      </c>
      <c r="DT103" s="62">
        <f ca="1">AVERAGE(OFFSET($DS$3,0,0,'Données projet'!$E$14+1,1))-AVERAGE(OFFSET($H$3,0,0,'Données projet'!$E$14+1,1))</f>
        <v>223.63222290670075</v>
      </c>
      <c r="DU103" s="62">
        <f t="shared" si="98"/>
        <v>290.02663909417248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34.427839848661897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9.0874139446787177E-5</v>
      </c>
      <c r="ED103" s="24">
        <f t="shared" si="72"/>
        <v>34.427930722801342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380.46618888020032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192.24617268603629</v>
      </c>
      <c r="T104" s="62">
        <f t="shared" si="88"/>
        <v>192.48585280662832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39.065884033921122</v>
      </c>
      <c r="AA104" s="23">
        <f>EXP(-LN(2)/25)*AA103+(1-EXP(-LN(2)/25))/(LN(2)/25)*Calculateur!V104*Calculateur!X104*VLOOKUP('Données projet'!$B$9,Paramètres!$A$1:$I$89,3,0)*0.475*44/12</f>
        <v>10.171644329721758</v>
      </c>
      <c r="AB104" s="23">
        <f>EXP(-LN(2)/2)*AB103+(1-EXP(-LN(2)/2))/(LN(2)/2)*V104*Y104*VLOOKUP('Données projet'!$B$9,Paramètres!$A$1:$I$89,3,0)*0.475*44/12</f>
        <v>2.8300140188196274E-5</v>
      </c>
      <c r="AC104" s="24">
        <f t="shared" si="57"/>
        <v>49.237556663783067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1.9999999998958629E-3</v>
      </c>
      <c r="AJ104" s="14">
        <f>AI104*VLOOKUP('Données projet'!$B$10,Paramètres!$A$1:$I$89,3,0)*VLOOKUP('Données projet'!$B$10,Paramètres!$A$1:$I$89,5,0)</f>
        <v>1.195999999937726E-3</v>
      </c>
      <c r="AK104" s="14">
        <f t="shared" si="89"/>
        <v>1.2062444695752218E-3</v>
      </c>
      <c r="AL104" s="22">
        <f t="shared" si="58"/>
        <v>4.1839091177350513E-3</v>
      </c>
      <c r="AM104" s="62">
        <f t="shared" si="59"/>
        <v>293.33751724245104</v>
      </c>
      <c r="AN104" s="62">
        <f ca="1">AVERAGE(OFFSET($AM$3,0,0,'Données projet'!$E$10+1,1))-AVERAGE(OFFSET($H$3,0,0,'Données projet'!$E$10+1,1))</f>
        <v>164.64952352018145</v>
      </c>
      <c r="AO104" s="62">
        <f t="shared" si="90"/>
        <v>280.08682720086921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19.536115713910444</v>
      </c>
      <c r="AV104" s="23">
        <f>EXP(-LN(2)/25)*AV103+(1-EXP(-LN(2)/25))/(LN(2)/25)*Calculateur!AQ104*Calculateur!AS104*VLOOKUP('Données projet'!$B$10,Paramètres!$A$1:$I$89,3,0)*0.475*44/12</f>
        <v>4.492532170334834</v>
      </c>
      <c r="AW104" s="23">
        <f>EXP(-LN(2)/2)*AW103+(1-EXP(-LN(2)/2))/(LN(2)/2)*AQ104*AT104*VLOOKUP('Données projet'!$B$10,Paramètres!$A$1:$I$89,3,0)*0.475*44/12</f>
        <v>1.1158688480816599E-8</v>
      </c>
      <c r="AX104" s="23">
        <f t="shared" si="60"/>
        <v>24.028647895403967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8.4624999999999986</v>
      </c>
      <c r="BD104" s="13">
        <f>IF('Données projet'!$A$88&gt;35,BD103+BC104-BL103,IF(A104&lt;'Données projet'!$A$88,$BA$205^A104,IF(A104='Données projet'!$A$88,'Données projet'!$B$88,BD103+BC104-BL103)))</f>
        <v>299.94749999999999</v>
      </c>
      <c r="BE104" s="14">
        <f>BD104*VLOOKUP('Données projet'!$B$11,Paramètres!$A$1:$I$89,3,0)*VLOOKUP('Données projet'!$B$11,Paramètres!$A$1:$I$89,5,0)</f>
        <v>252.67577400000002</v>
      </c>
      <c r="BF104" s="14">
        <f t="shared" si="91"/>
        <v>61.158562077133709</v>
      </c>
      <c r="BG104" s="22">
        <f t="shared" si="61"/>
        <v>546.59480200100791</v>
      </c>
      <c r="BH104" s="62">
        <f t="shared" si="62"/>
        <v>839.92813533434128</v>
      </c>
      <c r="BI104" s="62">
        <f ca="1">AVERAGE(OFFSET($BH$3,0,0,'Données projet'!$E$11+1,1))-AVERAGE(OFFSET($H$3,0,0,'Données projet'!$E$11+1,1))</f>
        <v>339.58585574836434</v>
      </c>
      <c r="BJ104" s="62">
        <f t="shared" si="92"/>
        <v>42.267525972379588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31.165898814560659</v>
      </c>
      <c r="BQ104" s="23">
        <f>EXP(-LN(2)/25)*BQ103+(1-EXP(-LN(2)/25))/(LN(2)/25)*Calculateur!BL104*Calculateur!BN104*VLOOKUP('Données projet'!$B$11,Paramètres!$A$1:$I$89,3,0)*0.475*44/12</f>
        <v>9.5780097757051781</v>
      </c>
      <c r="BR104" s="23">
        <f>EXP(-LN(2)/2)*BR103+(1-EXP(-LN(2)/2))/(LN(2)/2)*BL104*BO104*VLOOKUP('Données projet'!$B$11,Paramètres!$A$1:$I$89,3,0)*0.475*44/12</f>
        <v>6.4325922151842198E-6</v>
      </c>
      <c r="BS104" s="24">
        <f t="shared" si="63"/>
        <v>40.743915022858054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>
        <f>BY104*VLOOKUP('Données projet'!$B$12,Paramètres!$A$1:$I$89,3,0)*VLOOKUP('Données projet'!$B$12,Paramètres!$A$1:$I$89,5,0)</f>
        <v>0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112.34884104798977</v>
      </c>
      <c r="CE104" s="62">
        <f t="shared" si="94"/>
        <v>18.665658139749326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84.011349611394053</v>
      </c>
      <c r="CL104" s="23">
        <f>EXP(-LN(2)/25)*CL103+(1-EXP(-LN(2)/25))/(LN(2)/25)*Calculateur!CG104*Calculateur!CI104*VLOOKUP('Données projet'!$B$12,Paramètres!$A$1:$I$89,3,0)*0.475*44/12</f>
        <v>6.5866356397501793</v>
      </c>
      <c r="CM104" s="23">
        <f>EXP(-LN(2)/2)*CM103+(1-EXP(-LN(2)/2))/(LN(2)/2)*CG104*CJ104*VLOOKUP('Données projet'!$B$12,Paramètres!$A$1:$I$89,3,0)*0.475*44/12</f>
        <v>8.1881271488186427E-8</v>
      </c>
      <c r="CN104" s="24">
        <f t="shared" si="66"/>
        <v>90.597985333025505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-1.1368683772161603E-13</v>
      </c>
      <c r="CU104" s="18">
        <f>CT104*VLOOKUP('Données projet'!$B$13,Paramètres!$A$1:$I$89,3,0)*VLOOKUP('Données projet'!$B$13,Paramètres!$A$1:$I$89,5,0)</f>
        <v>-1.2414602679200469E-13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205.21073681197737</v>
      </c>
      <c r="CZ104" s="62">
        <f t="shared" si="96"/>
        <v>175.16446313750316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31.697052495855598</v>
      </c>
      <c r="DG104" s="23">
        <f>EXP(-LN(2)/25)*DG103+(1-EXP(-LN(2)/25))/(LN(2)/25)*Calculateur!DB104*Calculateur!DD104*VLOOKUP('Données projet'!$B$13,Paramètres!$A$1:$I$89,3,0)*0.475*44/12</f>
        <v>10.180977480306058</v>
      </c>
      <c r="DH104" s="23">
        <f>EXP(-LN(2)/2)*DH103+(1-EXP(-LN(2)/2))/(LN(2)/2)*DB104*DE104*VLOOKUP('Données projet'!$B$13,Paramètres!$A$1:$I$89,3,0)*0.475*44/12</f>
        <v>7.3162819667075897E-8</v>
      </c>
      <c r="DI104" s="24">
        <f t="shared" si="69"/>
        <v>41.878030049324472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2.2737367544323206E-13</v>
      </c>
      <c r="DP104" s="18">
        <f>DO104*VLOOKUP('Données projet'!$B$14,Paramètres!$A$1:$I$89,3,0)*VLOOKUP('Données projet'!$B$14,Paramètres!$A$1:$I$89,5,0)</f>
        <v>1.8444552551954985E-13</v>
      </c>
      <c r="DQ104" s="14">
        <f t="shared" si="97"/>
        <v>2.580317449479618E-12</v>
      </c>
      <c r="DR104" s="22">
        <f t="shared" si="70"/>
        <v>4.8152955147902165E-12</v>
      </c>
      <c r="DS104" s="62">
        <f t="shared" si="71"/>
        <v>293.33333333333815</v>
      </c>
      <c r="DT104" s="62">
        <f ca="1">AVERAGE(OFFSET($DS$3,0,0,'Données projet'!$E$14+1,1))-AVERAGE(OFFSET($H$3,0,0,'Données projet'!$E$14+1,1))</f>
        <v>223.63222290670075</v>
      </c>
      <c r="DU104" s="62">
        <f t="shared" si="98"/>
        <v>290.02663909417248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33.752730908138474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6.4257720237315146E-5</v>
      </c>
      <c r="ED104" s="24">
        <f t="shared" si="72"/>
        <v>33.752795165858714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381.6598020197543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192.24617268603629</v>
      </c>
      <c r="T105" s="62">
        <f t="shared" si="88"/>
        <v>192.48585280662832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38.299825875852385</v>
      </c>
      <c r="AA105" s="23">
        <f>EXP(-LN(2)/25)*AA104+(1-EXP(-LN(2)/25))/(LN(2)/25)*Calculateur!V105*Calculateur!X105*VLOOKUP('Données projet'!$B$9,Paramètres!$A$1:$I$89,3,0)*0.475*44/12</f>
        <v>9.893500180621988</v>
      </c>
      <c r="AB105" s="23">
        <f>EXP(-LN(2)/2)*AB104+(1-EXP(-LN(2)/2))/(LN(2)/2)*V105*Y105*VLOOKUP('Données projet'!$B$9,Paramètres!$A$1:$I$89,3,0)*0.475*44/12</f>
        <v>2.0011221035603522E-5</v>
      </c>
      <c r="AC105" s="24">
        <f t="shared" si="57"/>
        <v>48.193346067695408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1.9999999998958629E-3</v>
      </c>
      <c r="AJ105" s="14">
        <f>AI105*VLOOKUP('Données projet'!$B$10,Paramètres!$A$1:$I$89,3,0)*VLOOKUP('Données projet'!$B$10,Paramètres!$A$1:$I$89,5,0)</f>
        <v>1.195999999937726E-3</v>
      </c>
      <c r="AK105" s="14">
        <f t="shared" si="89"/>
        <v>1.2062444695752218E-3</v>
      </c>
      <c r="AL105" s="22">
        <f t="shared" si="58"/>
        <v>4.1839091177350513E-3</v>
      </c>
      <c r="AM105" s="62">
        <f t="shared" si="59"/>
        <v>293.33751724245104</v>
      </c>
      <c r="AN105" s="62">
        <f ca="1">AVERAGE(OFFSET($AM$3,0,0,'Données projet'!$E$10+1,1))-AVERAGE(OFFSET($H$3,0,0,'Données projet'!$E$10+1,1))</f>
        <v>164.64952352018145</v>
      </c>
      <c r="AO105" s="62">
        <f t="shared" si="90"/>
        <v>280.08682720086921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19.153024400614655</v>
      </c>
      <c r="AV105" s="23">
        <f>EXP(-LN(2)/25)*AV104+(1-EXP(-LN(2)/25))/(LN(2)/25)*Calculateur!AQ105*Calculateur!AS105*VLOOKUP('Données projet'!$B$10,Paramètres!$A$1:$I$89,3,0)*0.475*44/12</f>
        <v>4.3696836418850289</v>
      </c>
      <c r="AW105" s="23">
        <f>EXP(-LN(2)/2)*AW104+(1-EXP(-LN(2)/2))/(LN(2)/2)*AQ105*AT105*VLOOKUP('Données projet'!$B$10,Paramètres!$A$1:$I$89,3,0)*0.475*44/12</f>
        <v>7.890384293933631E-9</v>
      </c>
      <c r="AX105" s="23">
        <f t="shared" si="60"/>
        <v>23.522708050390069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8.4624999999999986</v>
      </c>
      <c r="BD105" s="13">
        <f>IF('Données projet'!$A$88&gt;35,BD104+BC105-BL104,IF(A105&lt;'Données projet'!$A$88,$BA$205^A105,IF(A105='Données projet'!$A$88,'Données projet'!$B$88,BD104+BC105-BL104)))</f>
        <v>308.40999999999997</v>
      </c>
      <c r="BE105" s="14">
        <f>BD105*VLOOKUP('Données projet'!$B$11,Paramètres!$A$1:$I$89,3,0)*VLOOKUP('Données projet'!$B$11,Paramètres!$A$1:$I$89,5,0)</f>
        <v>259.80458399999998</v>
      </c>
      <c r="BF105" s="14">
        <f t="shared" si="91"/>
        <v>62.68072133928154</v>
      </c>
      <c r="BG105" s="22">
        <f t="shared" si="61"/>
        <v>561.66190679924864</v>
      </c>
      <c r="BH105" s="62">
        <f t="shared" si="62"/>
        <v>854.99524013258201</v>
      </c>
      <c r="BI105" s="62">
        <f ca="1">AVERAGE(OFFSET($BH$3,0,0,'Données projet'!$E$11+1,1))-AVERAGE(OFFSET($H$3,0,0,'Données projet'!$E$11+1,1))</f>
        <v>339.58585574836434</v>
      </c>
      <c r="BJ105" s="62">
        <f t="shared" si="92"/>
        <v>42.267525972379588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30.554754548128386</v>
      </c>
      <c r="BQ105" s="23">
        <f>EXP(-LN(2)/25)*BQ104+(1-EXP(-LN(2)/25))/(LN(2)/25)*Calculateur!BL105*Calculateur!BN105*VLOOKUP('Données projet'!$B$11,Paramètres!$A$1:$I$89,3,0)*0.475*44/12</f>
        <v>9.3160985947028774</v>
      </c>
      <c r="BR105" s="23">
        <f>EXP(-LN(2)/2)*BR104+(1-EXP(-LN(2)/2))/(LN(2)/2)*BL105*BO105*VLOOKUP('Données projet'!$B$11,Paramètres!$A$1:$I$89,3,0)*0.475*44/12</f>
        <v>4.548529575964557E-6</v>
      </c>
      <c r="BS105" s="24">
        <f t="shared" si="63"/>
        <v>39.87085769136084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>
        <f>BY105*VLOOKUP('Données projet'!$B$12,Paramètres!$A$1:$I$89,3,0)*VLOOKUP('Données projet'!$B$12,Paramètres!$A$1:$I$89,5,0)</f>
        <v>0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112.34884104798977</v>
      </c>
      <c r="CE105" s="62">
        <f t="shared" si="94"/>
        <v>18.665658139749326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82.363938287378161</v>
      </c>
      <c r="CL105" s="23">
        <f>EXP(-LN(2)/25)*CL104+(1-EXP(-LN(2)/25))/(LN(2)/25)*Calculateur!CG105*Calculateur!CI105*VLOOKUP('Données projet'!$B$12,Paramètres!$A$1:$I$89,3,0)*0.475*44/12</f>
        <v>6.4065237418050964</v>
      </c>
      <c r="CM105" s="23">
        <f>EXP(-LN(2)/2)*CM104+(1-EXP(-LN(2)/2))/(LN(2)/2)*CG105*CJ105*VLOOKUP('Données projet'!$B$12,Paramètres!$A$1:$I$89,3,0)*0.475*44/12</f>
        <v>5.7898802321473333E-8</v>
      </c>
      <c r="CN105" s="24">
        <f t="shared" si="66"/>
        <v>88.770462087082066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-1.1368683772161603E-13</v>
      </c>
      <c r="CU105" s="18">
        <f>CT105*VLOOKUP('Données projet'!$B$13,Paramètres!$A$1:$I$89,3,0)*VLOOKUP('Données projet'!$B$13,Paramètres!$A$1:$I$89,5,0)</f>
        <v>-1.2414602679200469E-13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205.21073681197737</v>
      </c>
      <c r="CZ105" s="62">
        <f t="shared" si="96"/>
        <v>175.16446313750316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31.075492629704886</v>
      </c>
      <c r="DG105" s="23">
        <f>EXP(-LN(2)/25)*DG104+(1-EXP(-LN(2)/25))/(LN(2)/25)*Calculateur!DB105*Calculateur!DD105*VLOOKUP('Données projet'!$B$13,Paramètres!$A$1:$I$89,3,0)*0.475*44/12</f>
        <v>9.9025781157127533</v>
      </c>
      <c r="DH105" s="23">
        <f>EXP(-LN(2)/2)*DH104+(1-EXP(-LN(2)/2))/(LN(2)/2)*DB105*DE105*VLOOKUP('Données projet'!$B$13,Paramètres!$A$1:$I$89,3,0)*0.475*44/12</f>
        <v>5.1733925917317873E-8</v>
      </c>
      <c r="DI105" s="24">
        <f t="shared" si="69"/>
        <v>40.978070797151567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2.2737367544323206E-13</v>
      </c>
      <c r="DP105" s="18">
        <f>DO105*VLOOKUP('Données projet'!$B$14,Paramètres!$A$1:$I$89,3,0)*VLOOKUP('Données projet'!$B$14,Paramètres!$A$1:$I$89,5,0)</f>
        <v>1.8444552551954985E-13</v>
      </c>
      <c r="DQ105" s="14">
        <f t="shared" si="97"/>
        <v>2.580317449479618E-12</v>
      </c>
      <c r="DR105" s="22">
        <f t="shared" si="70"/>
        <v>4.8152955147902165E-12</v>
      </c>
      <c r="DS105" s="62">
        <f t="shared" si="71"/>
        <v>293.33333333333815</v>
      </c>
      <c r="DT105" s="62">
        <f ca="1">AVERAGE(OFFSET($DS$3,0,0,'Données projet'!$E$14+1,1))-AVERAGE(OFFSET($H$3,0,0,'Données projet'!$E$14+1,1))</f>
        <v>223.63222290670075</v>
      </c>
      <c r="DU105" s="62">
        <f t="shared" si="98"/>
        <v>290.02663909417248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33.090860442162921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4.5437069723393589E-5</v>
      </c>
      <c r="ED105" s="24">
        <f t="shared" si="72"/>
        <v>33.090905879232643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382.85313839110199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192.24617268603629</v>
      </c>
      <c r="T106" s="62">
        <f t="shared" si="88"/>
        <v>192.48585280662832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37.54878965101404</v>
      </c>
      <c r="AA106" s="23">
        <f>EXP(-LN(2)/25)*AA105+(1-EXP(-LN(2)/25))/(LN(2)/25)*Calculateur!V106*Calculateur!X106*VLOOKUP('Données projet'!$B$9,Paramètres!$A$1:$I$89,3,0)*0.475*44/12</f>
        <v>9.6229618979063165</v>
      </c>
      <c r="AB106" s="23">
        <f>EXP(-LN(2)/2)*AB105+(1-EXP(-LN(2)/2))/(LN(2)/2)*V106*Y106*VLOOKUP('Données projet'!$B$9,Paramètres!$A$1:$I$89,3,0)*0.475*44/12</f>
        <v>1.4150070094098137E-5</v>
      </c>
      <c r="AC106" s="24">
        <f t="shared" si="57"/>
        <v>47.171765698990448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1.9999999998958629E-3</v>
      </c>
      <c r="AJ106" s="14">
        <f>AI106*VLOOKUP('Données projet'!$B$10,Paramètres!$A$1:$I$89,3,0)*VLOOKUP('Données projet'!$B$10,Paramètres!$A$1:$I$89,5,0)</f>
        <v>1.195999999937726E-3</v>
      </c>
      <c r="AK106" s="14">
        <f t="shared" si="89"/>
        <v>1.2062444695752218E-3</v>
      </c>
      <c r="AL106" s="22">
        <f t="shared" si="58"/>
        <v>4.1839091177350513E-3</v>
      </c>
      <c r="AM106" s="62">
        <f t="shared" si="59"/>
        <v>293.33751724245104</v>
      </c>
      <c r="AN106" s="62">
        <f ca="1">AVERAGE(OFFSET($AM$3,0,0,'Données projet'!$E$10+1,1))-AVERAGE(OFFSET($H$3,0,0,'Données projet'!$E$10+1,1))</f>
        <v>164.64952352018145</v>
      </c>
      <c r="AO106" s="62">
        <f t="shared" si="90"/>
        <v>280.08682720086921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18.777445274309965</v>
      </c>
      <c r="AV106" s="23">
        <f>EXP(-LN(2)/25)*AV105+(1-EXP(-LN(2)/25))/(LN(2)/25)*Calculateur!AQ106*Calculateur!AS106*VLOOKUP('Données projet'!$B$10,Paramètres!$A$1:$I$89,3,0)*0.475*44/12</f>
        <v>4.2501944129060067</v>
      </c>
      <c r="AW106" s="23">
        <f>EXP(-LN(2)/2)*AW105+(1-EXP(-LN(2)/2))/(LN(2)/2)*AQ106*AT106*VLOOKUP('Données projet'!$B$10,Paramètres!$A$1:$I$89,3,0)*0.475*44/12</f>
        <v>5.5793442404082994E-9</v>
      </c>
      <c r="AX106" s="23">
        <f t="shared" si="60"/>
        <v>23.027639692795319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8.4624999999999986</v>
      </c>
      <c r="BD106" s="13">
        <f>IF('Données projet'!$A$88&gt;35,BD105+BC106-BL105,IF(A106&lt;'Données projet'!$A$88,$BA$205^A106,IF(A106='Données projet'!$A$88,'Données projet'!$B$88,BD105+BC106-BL105)))</f>
        <v>316.87249999999995</v>
      </c>
      <c r="BE106" s="14">
        <f>BD106*VLOOKUP('Données projet'!$B$11,Paramètres!$A$1:$I$89,3,0)*VLOOKUP('Données projet'!$B$11,Paramètres!$A$1:$I$89,5,0)</f>
        <v>266.93339399999996</v>
      </c>
      <c r="BF106" s="14">
        <f t="shared" si="91"/>
        <v>64.198026067604729</v>
      </c>
      <c r="BG106" s="22">
        <f t="shared" si="61"/>
        <v>576.72055661774482</v>
      </c>
      <c r="BH106" s="62">
        <f t="shared" si="62"/>
        <v>870.05388995107819</v>
      </c>
      <c r="BI106" s="62">
        <f ca="1">AVERAGE(OFFSET($BH$3,0,0,'Données projet'!$E$11+1,1))-AVERAGE(OFFSET($H$3,0,0,'Données projet'!$E$11+1,1))</f>
        <v>339.58585574836434</v>
      </c>
      <c r="BJ106" s="62">
        <f t="shared" si="92"/>
        <v>42.267525972379588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29.955594447999655</v>
      </c>
      <c r="BQ106" s="23">
        <f>EXP(-LN(2)/25)*BQ105+(1-EXP(-LN(2)/25))/(LN(2)/25)*Calculateur!BL106*Calculateur!BN106*VLOOKUP('Données projet'!$B$11,Paramètres!$A$1:$I$89,3,0)*0.475*44/12</f>
        <v>9.0613493887183942</v>
      </c>
      <c r="BR106" s="23">
        <f>EXP(-LN(2)/2)*BR105+(1-EXP(-LN(2)/2))/(LN(2)/2)*BL106*BO106*VLOOKUP('Données projet'!$B$11,Paramètres!$A$1:$I$89,3,0)*0.475*44/12</f>
        <v>3.2162961075921099E-6</v>
      </c>
      <c r="BS106" s="24">
        <f t="shared" si="63"/>
        <v>39.016947053014157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>
        <f>BY106*VLOOKUP('Données projet'!$B$12,Paramètres!$A$1:$I$89,3,0)*VLOOKUP('Données projet'!$B$12,Paramètres!$A$1:$I$89,5,0)</f>
        <v>0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112.34884104798977</v>
      </c>
      <c r="CE106" s="62">
        <f t="shared" si="94"/>
        <v>18.665658139749326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80.748831694604533</v>
      </c>
      <c r="CL106" s="23">
        <f>EXP(-LN(2)/25)*CL105+(1-EXP(-LN(2)/25))/(LN(2)/25)*Calculateur!CG106*Calculateur!CI106*VLOOKUP('Données projet'!$B$12,Paramètres!$A$1:$I$89,3,0)*0.475*44/12</f>
        <v>6.2313370131809949</v>
      </c>
      <c r="CM106" s="23">
        <f>EXP(-LN(2)/2)*CM105+(1-EXP(-LN(2)/2))/(LN(2)/2)*CG106*CJ106*VLOOKUP('Données projet'!$B$12,Paramètres!$A$1:$I$89,3,0)*0.475*44/12</f>
        <v>4.0940635744093214E-8</v>
      </c>
      <c r="CN106" s="24">
        <f t="shared" si="66"/>
        <v>86.980168748726157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-1.1368683772161603E-13</v>
      </c>
      <c r="CU106" s="18">
        <f>CT106*VLOOKUP('Données projet'!$B$13,Paramètres!$A$1:$I$89,3,0)*VLOOKUP('Données projet'!$B$13,Paramètres!$A$1:$I$89,5,0)</f>
        <v>-1.2414602679200469E-13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205.21073681197737</v>
      </c>
      <c r="CZ106" s="62">
        <f t="shared" si="96"/>
        <v>175.16446313750316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30.466121173415306</v>
      </c>
      <c r="DG106" s="23">
        <f>EXP(-LN(2)/25)*DG105+(1-EXP(-LN(2)/25))/(LN(2)/25)*Calculateur!DB106*Calculateur!DD106*VLOOKUP('Données projet'!$B$13,Paramètres!$A$1:$I$89,3,0)*0.475*44/12</f>
        <v>9.6317915963846374</v>
      </c>
      <c r="DH106" s="23">
        <f>EXP(-LN(2)/2)*DH105+(1-EXP(-LN(2)/2))/(LN(2)/2)*DB106*DE106*VLOOKUP('Données projet'!$B$13,Paramètres!$A$1:$I$89,3,0)*0.475*44/12</f>
        <v>3.6581409833537949E-8</v>
      </c>
      <c r="DI106" s="24">
        <f t="shared" si="69"/>
        <v>40.097912806381359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2.2737367544323206E-13</v>
      </c>
      <c r="DP106" s="18">
        <f>DO106*VLOOKUP('Données projet'!$B$14,Paramètres!$A$1:$I$89,3,0)*VLOOKUP('Données projet'!$B$14,Paramètres!$A$1:$I$89,5,0)</f>
        <v>1.8444552551954985E-13</v>
      </c>
      <c r="DQ106" s="14">
        <f t="shared" si="97"/>
        <v>2.580317449479618E-12</v>
      </c>
      <c r="DR106" s="22">
        <f t="shared" si="70"/>
        <v>4.8152955147902165E-12</v>
      </c>
      <c r="DS106" s="62">
        <f t="shared" si="71"/>
        <v>293.33333333333815</v>
      </c>
      <c r="DT106" s="62">
        <f ca="1">AVERAGE(OFFSET($DS$3,0,0,'Données projet'!$E$14+1,1))-AVERAGE(OFFSET($H$3,0,0,'Données projet'!$E$14+1,1))</f>
        <v>223.63222290670075</v>
      </c>
      <c r="DU106" s="62">
        <f t="shared" si="98"/>
        <v>290.02663909417248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32.441968852324024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3.2128860118657573E-5</v>
      </c>
      <c r="ED106" s="24">
        <f t="shared" si="72"/>
        <v>32.442000981184144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384.04620099248854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192.24617268603629</v>
      </c>
      <c r="T107" s="62">
        <f t="shared" si="88"/>
        <v>192.48585280662832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36.812480788457911</v>
      </c>
      <c r="AA107" s="23">
        <f>EXP(-LN(2)/25)*AA106+(1-EXP(-LN(2)/25))/(LN(2)/25)*Calculateur!V107*Calculateur!X107*VLOOKUP('Données projet'!$B$9,Paramètres!$A$1:$I$89,3,0)*0.475*44/12</f>
        <v>9.359821498758496</v>
      </c>
      <c r="AB107" s="23">
        <f>EXP(-LN(2)/2)*AB106+(1-EXP(-LN(2)/2))/(LN(2)/2)*V107*Y107*VLOOKUP('Données projet'!$B$9,Paramètres!$A$1:$I$89,3,0)*0.475*44/12</f>
        <v>1.0005610517801761E-5</v>
      </c>
      <c r="AC107" s="24">
        <f t="shared" si="57"/>
        <v>46.172312292826931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1.9999999998958629E-3</v>
      </c>
      <c r="AJ107" s="14">
        <f>AI107*VLOOKUP('Données projet'!$B$10,Paramètres!$A$1:$I$89,3,0)*VLOOKUP('Données projet'!$B$10,Paramètres!$A$1:$I$89,5,0)</f>
        <v>1.195999999937726E-3</v>
      </c>
      <c r="AK107" s="14">
        <f t="shared" si="89"/>
        <v>1.2062444695752218E-3</v>
      </c>
      <c r="AL107" s="22">
        <f t="shared" si="58"/>
        <v>4.1839091177350513E-3</v>
      </c>
      <c r="AM107" s="62">
        <f t="shared" si="59"/>
        <v>293.33751724245104</v>
      </c>
      <c r="AN107" s="62">
        <f ca="1">AVERAGE(OFFSET($AM$3,0,0,'Données projet'!$E$10+1,1))-AVERAGE(OFFSET($H$3,0,0,'Données projet'!$E$10+1,1))</f>
        <v>164.64952352018145</v>
      </c>
      <c r="AO107" s="62">
        <f t="shared" si="90"/>
        <v>280.08682720086921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18.409231025591463</v>
      </c>
      <c r="AV107" s="23">
        <f>EXP(-LN(2)/25)*AV106+(1-EXP(-LN(2)/25))/(LN(2)/25)*Calculateur!AQ107*Calculateur!AS107*VLOOKUP('Données projet'!$B$10,Paramètres!$A$1:$I$89,3,0)*0.475*44/12</f>
        <v>4.1339726231770815</v>
      </c>
      <c r="AW107" s="23">
        <f>EXP(-LN(2)/2)*AW106+(1-EXP(-LN(2)/2))/(LN(2)/2)*AQ107*AT107*VLOOKUP('Données projet'!$B$10,Paramètres!$A$1:$I$89,3,0)*0.475*44/12</f>
        <v>3.9451921469668155E-9</v>
      </c>
      <c r="AX107" s="23">
        <f t="shared" si="60"/>
        <v>22.543203652713739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8.4624999999999986</v>
      </c>
      <c r="BD107" s="13">
        <f>IF('Données projet'!$A$88&gt;35,BD106+BC107-BL106,IF(A107&lt;'Données projet'!$A$88,$BA$205^A107,IF(A107='Données projet'!$A$88,'Données projet'!$B$88,BD106+BC107-BL106)))</f>
        <v>325.33499999999992</v>
      </c>
      <c r="BE107" s="14">
        <f>BD107*VLOOKUP('Données projet'!$B$11,Paramètres!$A$1:$I$89,3,0)*VLOOKUP('Données projet'!$B$11,Paramètres!$A$1:$I$89,5,0)</f>
        <v>274.06220399999995</v>
      </c>
      <c r="BF107" s="14">
        <f t="shared" si="91"/>
        <v>65.710620809799352</v>
      </c>
      <c r="BG107" s="22">
        <f t="shared" si="61"/>
        <v>591.77100321040041</v>
      </c>
      <c r="BH107" s="62">
        <f t="shared" si="62"/>
        <v>885.10433654373378</v>
      </c>
      <c r="BI107" s="62">
        <f ca="1">AVERAGE(OFFSET($BH$3,0,0,'Données projet'!$E$11+1,1))-AVERAGE(OFFSET($H$3,0,0,'Données projet'!$E$11+1,1))</f>
        <v>339.58585574836434</v>
      </c>
      <c r="BJ107" s="62">
        <f t="shared" si="92"/>
        <v>42.267525972379588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29.368183511982874</v>
      </c>
      <c r="BQ107" s="23">
        <f>EXP(-LN(2)/25)*BQ106+(1-EXP(-LN(2)/25))/(LN(2)/25)*Calculateur!BL107*Calculateur!BN107*VLOOKUP('Données projet'!$B$11,Paramètres!$A$1:$I$89,3,0)*0.475*44/12</f>
        <v>8.813566313168236</v>
      </c>
      <c r="BR107" s="23">
        <f>EXP(-LN(2)/2)*BR106+(1-EXP(-LN(2)/2))/(LN(2)/2)*BL107*BO107*VLOOKUP('Données projet'!$B$11,Paramètres!$A$1:$I$89,3,0)*0.475*44/12</f>
        <v>2.2742647879822785E-6</v>
      </c>
      <c r="BS107" s="24">
        <f t="shared" si="63"/>
        <v>38.181752099415895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>
        <f>BY107*VLOOKUP('Données projet'!$B$12,Paramètres!$A$1:$I$89,3,0)*VLOOKUP('Données projet'!$B$12,Paramètres!$A$1:$I$89,5,0)</f>
        <v>0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112.34884104798977</v>
      </c>
      <c r="CE107" s="62">
        <f t="shared" si="94"/>
        <v>18.665658139749326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79.165396356997448</v>
      </c>
      <c r="CL107" s="23">
        <f>EXP(-LN(2)/25)*CL106+(1-EXP(-LN(2)/25))/(LN(2)/25)*Calculateur!CG107*Calculateur!CI107*VLOOKUP('Données projet'!$B$12,Paramètres!$A$1:$I$89,3,0)*0.475*44/12</f>
        <v>6.0609407748637887</v>
      </c>
      <c r="CM107" s="23">
        <f>EXP(-LN(2)/2)*CM106+(1-EXP(-LN(2)/2))/(LN(2)/2)*CG107*CJ107*VLOOKUP('Données projet'!$B$12,Paramètres!$A$1:$I$89,3,0)*0.475*44/12</f>
        <v>2.8949401160736667E-8</v>
      </c>
      <c r="CN107" s="24">
        <f t="shared" si="66"/>
        <v>85.226337160810644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-1.1368683772161603E-13</v>
      </c>
      <c r="CU107" s="18">
        <f>CT107*VLOOKUP('Données projet'!$B$13,Paramètres!$A$1:$I$89,3,0)*VLOOKUP('Données projet'!$B$13,Paramètres!$A$1:$I$89,5,0)</f>
        <v>-1.2414602679200469E-13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205.21073681197737</v>
      </c>
      <c r="CZ107" s="62">
        <f t="shared" si="96"/>
        <v>175.16446313750316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29.868699119703678</v>
      </c>
      <c r="DG107" s="23">
        <f>EXP(-LN(2)/25)*DG106+(1-EXP(-LN(2)/25))/(LN(2)/25)*Calculateur!DB107*Calculateur!DD107*VLOOKUP('Données projet'!$B$13,Paramètres!$A$1:$I$89,3,0)*0.475*44/12</f>
        <v>9.3684097486675935</v>
      </c>
      <c r="DH107" s="23">
        <f>EXP(-LN(2)/2)*DH106+(1-EXP(-LN(2)/2))/(LN(2)/2)*DB107*DE107*VLOOKUP('Données projet'!$B$13,Paramètres!$A$1:$I$89,3,0)*0.475*44/12</f>
        <v>2.5866962958658936E-8</v>
      </c>
      <c r="DI107" s="24">
        <f t="shared" si="69"/>
        <v>39.237108894238233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2.2737367544323206E-13</v>
      </c>
      <c r="DP107" s="18">
        <f>DO107*VLOOKUP('Données projet'!$B$14,Paramètres!$A$1:$I$89,3,0)*VLOOKUP('Données projet'!$B$14,Paramètres!$A$1:$I$89,5,0)</f>
        <v>1.8444552551954985E-13</v>
      </c>
      <c r="DQ107" s="14">
        <f t="shared" si="97"/>
        <v>2.580317449479618E-12</v>
      </c>
      <c r="DR107" s="22">
        <f t="shared" si="70"/>
        <v>4.8152955147902165E-12</v>
      </c>
      <c r="DS107" s="62">
        <f t="shared" si="71"/>
        <v>293.33333333333815</v>
      </c>
      <c r="DT107" s="62">
        <f ca="1">AVERAGE(OFFSET($DS$3,0,0,'Données projet'!$E$14+1,1))-AVERAGE(OFFSET($H$3,0,0,'Données projet'!$E$14+1,1))</f>
        <v>223.63222290670075</v>
      </c>
      <c r="DU107" s="62">
        <f t="shared" si="98"/>
        <v>290.02663909417248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31.805801630777083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2.2718534861696794E-5</v>
      </c>
      <c r="ED107" s="24">
        <f t="shared" si="72"/>
        <v>31.805824349311944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385.23899276117606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192.24617268603629</v>
      </c>
      <c r="T108" s="62">
        <f t="shared" si="88"/>
        <v>192.48585280662832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36.090610493592443</v>
      </c>
      <c r="AA108" s="23">
        <f>EXP(-LN(2)/25)*AA107+(1-EXP(-LN(2)/25))/(LN(2)/25)*Calculateur!V108*Calculateur!X108*VLOOKUP('Données projet'!$B$9,Paramètres!$A$1:$I$89,3,0)*0.475*44/12</f>
        <v>9.103876687663325</v>
      </c>
      <c r="AB108" s="23">
        <f>EXP(-LN(2)/2)*AB107+(1-EXP(-LN(2)/2))/(LN(2)/2)*V108*Y108*VLOOKUP('Données projet'!$B$9,Paramètres!$A$1:$I$89,3,0)*0.475*44/12</f>
        <v>7.0750350470490684E-6</v>
      </c>
      <c r="AC108" s="24">
        <f t="shared" si="57"/>
        <v>45.194494256290817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1.9999999998958629E-3</v>
      </c>
      <c r="AJ108" s="14">
        <f>AI108*VLOOKUP('Données projet'!$B$10,Paramètres!$A$1:$I$89,3,0)*VLOOKUP('Données projet'!$B$10,Paramètres!$A$1:$I$89,5,0)</f>
        <v>1.195999999937726E-3</v>
      </c>
      <c r="AK108" s="14">
        <f t="shared" si="89"/>
        <v>1.2062444695752218E-3</v>
      </c>
      <c r="AL108" s="22">
        <f t="shared" si="58"/>
        <v>4.1839091177350513E-3</v>
      </c>
      <c r="AM108" s="62">
        <f t="shared" si="59"/>
        <v>293.33751724245104</v>
      </c>
      <c r="AN108" s="62">
        <f ca="1">AVERAGE(OFFSET($AM$3,0,0,'Données projet'!$E$10+1,1))-AVERAGE(OFFSET($H$3,0,0,'Données projet'!$E$10+1,1))</f>
        <v>164.64952352018145</v>
      </c>
      <c r="AO108" s="62">
        <f t="shared" si="90"/>
        <v>280.08682720086921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18.048237233701816</v>
      </c>
      <c r="AV108" s="23">
        <f>EXP(-LN(2)/25)*AV107+(1-EXP(-LN(2)/25))/(LN(2)/25)*Calculateur!AQ108*Calculateur!AS108*VLOOKUP('Données projet'!$B$10,Paramètres!$A$1:$I$89,3,0)*0.475*44/12</f>
        <v>4.0209289244001321</v>
      </c>
      <c r="AW108" s="23">
        <f>EXP(-LN(2)/2)*AW107+(1-EXP(-LN(2)/2))/(LN(2)/2)*AQ108*AT108*VLOOKUP('Données projet'!$B$10,Paramètres!$A$1:$I$89,3,0)*0.475*44/12</f>
        <v>2.7896721202041497E-9</v>
      </c>
      <c r="AX108" s="23">
        <f t="shared" si="60"/>
        <v>22.069166160891619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8.4624999999999986</v>
      </c>
      <c r="BD108" s="13">
        <f>IF('Données projet'!$A$88&gt;35,BD107+BC108-BL107,IF(A108&lt;'Données projet'!$A$88,$BA$205^A108,IF(A108='Données projet'!$A$88,'Données projet'!$B$88,BD107+BC108-BL107)))</f>
        <v>333.7974999999999</v>
      </c>
      <c r="BE108" s="14">
        <f>BD108*VLOOKUP('Données projet'!$B$11,Paramètres!$A$1:$I$89,3,0)*VLOOKUP('Données projet'!$B$11,Paramètres!$A$1:$I$89,5,0)</f>
        <v>281.19101399999994</v>
      </c>
      <c r="BF108" s="14">
        <f t="shared" si="91"/>
        <v>67.218642165388147</v>
      </c>
      <c r="BG108" s="22">
        <f t="shared" si="61"/>
        <v>606.8134844880509</v>
      </c>
      <c r="BH108" s="62">
        <f t="shared" si="62"/>
        <v>900.14681782138427</v>
      </c>
      <c r="BI108" s="62">
        <f ca="1">AVERAGE(OFFSET($BH$3,0,0,'Données projet'!$E$11+1,1))-AVERAGE(OFFSET($H$3,0,0,'Données projet'!$E$11+1,1))</f>
        <v>339.58585574836434</v>
      </c>
      <c r="BJ108" s="62">
        <f t="shared" si="92"/>
        <v>42.267525972379588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28.792291346136089</v>
      </c>
      <c r="BQ108" s="23">
        <f>EXP(-LN(2)/25)*BQ107+(1-EXP(-LN(2)/25))/(LN(2)/25)*Calculateur!BL108*Calculateur!BN108*VLOOKUP('Données projet'!$B$11,Paramètres!$A$1:$I$89,3,0)*0.475*44/12</f>
        <v>8.5725588788493425</v>
      </c>
      <c r="BR108" s="23">
        <f>EXP(-LN(2)/2)*BR107+(1-EXP(-LN(2)/2))/(LN(2)/2)*BL108*BO108*VLOOKUP('Données projet'!$B$11,Paramètres!$A$1:$I$89,3,0)*0.475*44/12</f>
        <v>1.6081480537960549E-6</v>
      </c>
      <c r="BS108" s="24">
        <f t="shared" si="63"/>
        <v>37.364851833133486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>
        <f>BY108*VLOOKUP('Données projet'!$B$12,Paramètres!$A$1:$I$89,3,0)*VLOOKUP('Données projet'!$B$12,Paramètres!$A$1:$I$89,5,0)</f>
        <v>0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112.34884104798977</v>
      </c>
      <c r="CE108" s="62">
        <f t="shared" si="94"/>
        <v>18.665658139749326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77.613011220560651</v>
      </c>
      <c r="CL108" s="23">
        <f>EXP(-LN(2)/25)*CL107+(1-EXP(-LN(2)/25))/(LN(2)/25)*Calculateur!CG108*Calculateur!CI108*VLOOKUP('Données projet'!$B$12,Paramètres!$A$1:$I$89,3,0)*0.475*44/12</f>
        <v>5.8952040306441154</v>
      </c>
      <c r="CM108" s="23">
        <f>EXP(-LN(2)/2)*CM107+(1-EXP(-LN(2)/2))/(LN(2)/2)*CG108*CJ108*VLOOKUP('Données projet'!$B$12,Paramètres!$A$1:$I$89,3,0)*0.475*44/12</f>
        <v>2.0470317872046607E-8</v>
      </c>
      <c r="CN108" s="24">
        <f t="shared" si="66"/>
        <v>83.508215271675084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-1.1368683772161603E-13</v>
      </c>
      <c r="CU108" s="18">
        <f>CT108*VLOOKUP('Données projet'!$B$13,Paramètres!$A$1:$I$89,3,0)*VLOOKUP('Données projet'!$B$13,Paramètres!$A$1:$I$89,5,0)</f>
        <v>-1.2414602679200469E-13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205.21073681197737</v>
      </c>
      <c r="CZ108" s="62">
        <f t="shared" si="96"/>
        <v>175.16446313750316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29.282992148073863</v>
      </c>
      <c r="DG108" s="23">
        <f>EXP(-LN(2)/25)*DG107+(1-EXP(-LN(2)/25))/(LN(2)/25)*Calculateur!DB108*Calculateur!DD108*VLOOKUP('Données projet'!$B$13,Paramètres!$A$1:$I$89,3,0)*0.475*44/12</f>
        <v>9.1122300914270209</v>
      </c>
      <c r="DH108" s="23">
        <f>EXP(-LN(2)/2)*DH107+(1-EXP(-LN(2)/2))/(LN(2)/2)*DB108*DE108*VLOOKUP('Données projet'!$B$13,Paramètres!$A$1:$I$89,3,0)*0.475*44/12</f>
        <v>1.8290704916768974E-8</v>
      </c>
      <c r="DI108" s="24">
        <f t="shared" si="69"/>
        <v>38.395222257791588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2.2737367544323206E-13</v>
      </c>
      <c r="DP108" s="18">
        <f>DO108*VLOOKUP('Données projet'!$B$14,Paramètres!$A$1:$I$89,3,0)*VLOOKUP('Données projet'!$B$14,Paramètres!$A$1:$I$89,5,0)</f>
        <v>1.8444552551954985E-13</v>
      </c>
      <c r="DQ108" s="14">
        <f t="shared" si="97"/>
        <v>2.580317449479618E-12</v>
      </c>
      <c r="DR108" s="22">
        <f t="shared" si="70"/>
        <v>4.8152955147902165E-12</v>
      </c>
      <c r="DS108" s="62">
        <f t="shared" si="71"/>
        <v>293.33333333333815</v>
      </c>
      <c r="DT108" s="62">
        <f ca="1">AVERAGE(OFFSET($DS$3,0,0,'Données projet'!$E$14+1,1))-AVERAGE(OFFSET($H$3,0,0,'Données projet'!$E$14+1,1))</f>
        <v>223.63222290670075</v>
      </c>
      <c r="DU108" s="62">
        <f t="shared" si="98"/>
        <v>290.02663909417248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31.182109260420987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1.6064430059328787E-5</v>
      </c>
      <c r="ED108" s="24">
        <f t="shared" si="72"/>
        <v>31.182125324851047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386.43151657525294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192.24617268603629</v>
      </c>
      <c r="T109" s="62">
        <f t="shared" si="88"/>
        <v>192.48585280662832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35.382895634911883</v>
      </c>
      <c r="AA109" s="23">
        <f>EXP(-LN(2)/25)*AA108+(1-EXP(-LN(2)/25))/(LN(2)/25)*Calculateur!V109*Calculateur!X109*VLOOKUP('Données projet'!$B$9,Paramètres!$A$1:$I$89,3,0)*0.475*44/12</f>
        <v>8.8549307008871043</v>
      </c>
      <c r="AB109" s="23">
        <f>EXP(-LN(2)/2)*AB108+(1-EXP(-LN(2)/2))/(LN(2)/2)*V109*Y109*VLOOKUP('Données projet'!$B$9,Paramètres!$A$1:$I$89,3,0)*0.475*44/12</f>
        <v>5.0028052589008805E-6</v>
      </c>
      <c r="AC109" s="24">
        <f t="shared" si="57"/>
        <v>44.237831338604245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1.9999999998958629E-3</v>
      </c>
      <c r="AJ109" s="14">
        <f>AI109*VLOOKUP('Données projet'!$B$10,Paramètres!$A$1:$I$89,3,0)*VLOOKUP('Données projet'!$B$10,Paramètres!$A$1:$I$89,5,0)</f>
        <v>1.195999999937726E-3</v>
      </c>
      <c r="AK109" s="14">
        <f t="shared" si="89"/>
        <v>1.2062444695752218E-3</v>
      </c>
      <c r="AL109" s="22">
        <f t="shared" si="58"/>
        <v>4.1839091177350513E-3</v>
      </c>
      <c r="AM109" s="62">
        <f t="shared" si="59"/>
        <v>293.33751724245104</v>
      </c>
      <c r="AN109" s="62">
        <f ca="1">AVERAGE(OFFSET($AM$3,0,0,'Données projet'!$E$10+1,1))-AVERAGE(OFFSET($H$3,0,0,'Données projet'!$E$10+1,1))</f>
        <v>164.64952352018145</v>
      </c>
      <c r="AO109" s="62">
        <f t="shared" si="90"/>
        <v>280.08682720086921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17.694322309886651</v>
      </c>
      <c r="AV109" s="23">
        <f>EXP(-LN(2)/25)*AV108+(1-EXP(-LN(2)/25))/(LN(2)/25)*Calculateur!AQ109*Calculateur!AS109*VLOOKUP('Données projet'!$B$10,Paramètres!$A$1:$I$89,3,0)*0.475*44/12</f>
        <v>3.9109764115109482</v>
      </c>
      <c r="AW109" s="23">
        <f>EXP(-LN(2)/2)*AW108+(1-EXP(-LN(2)/2))/(LN(2)/2)*AQ109*AT109*VLOOKUP('Données projet'!$B$10,Paramètres!$A$1:$I$89,3,0)*0.475*44/12</f>
        <v>1.9725960734834078E-9</v>
      </c>
      <c r="AX109" s="23">
        <f t="shared" si="60"/>
        <v>21.605298723370193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>
        <f>VLOOKUP(A109,'Données projet'!$A$87:$I$107,2,0)</f>
        <v>342.26000000000005</v>
      </c>
      <c r="BB109" s="13">
        <f>VLOOKUP(A109,'Données projet'!$A$87:$I$107,9,0)</f>
        <v>8.4624999999999986</v>
      </c>
      <c r="BC109" s="13">
        <f t="array" ref="BC109">INDEX(BB:BB,MIN(IF(ISNUMBER(BB109:BB305),ROW(BB109:BB305),"")))</f>
        <v>8.4624999999999986</v>
      </c>
      <c r="BD109" s="13">
        <f>IF('Données projet'!$A$88&gt;35,BD108+BC109-BL108,IF(A109&lt;'Données projet'!$A$88,$BA$205^A109,IF(A109='Données projet'!$A$88,'Données projet'!$B$88,BD108+BC109-BL108)))</f>
        <v>342.25999999999988</v>
      </c>
      <c r="BE109" s="14">
        <f>BD109*VLOOKUP('Données projet'!$B$11,Paramètres!$A$1:$I$89,3,0)*VLOOKUP('Données projet'!$B$11,Paramètres!$A$1:$I$89,5,0)</f>
        <v>288.31982399999993</v>
      </c>
      <c r="BF109" s="14">
        <f t="shared" si="91"/>
        <v>68.722219413031851</v>
      </c>
      <c r="BG109" s="22">
        <f t="shared" si="61"/>
        <v>621.84822561103022</v>
      </c>
      <c r="BH109" s="62">
        <f t="shared" si="62"/>
        <v>915.18155894436359</v>
      </c>
      <c r="BI109" s="62">
        <f ca="1">AVERAGE(OFFSET($BH$3,0,0,'Données projet'!$E$11+1,1))-AVERAGE(OFFSET($H$3,0,0,'Données projet'!$E$11+1,1))</f>
        <v>339.58585574836434</v>
      </c>
      <c r="BJ109" s="62">
        <f t="shared" si="92"/>
        <v>42.267525972379588</v>
      </c>
      <c r="BK109" s="16">
        <f>IF(ISNA(VLOOKUP(A109,'Données projet'!$A$87:$I$107,3,0)),0,VLOOKUP(A109,'Données projet'!$A$87:$I$107,3,0))</f>
        <v>13</v>
      </c>
      <c r="BL109" s="16">
        <f>IF(ISNA(VLOOKUP(A109,'Données projet'!$A$87:$I$107,4,0)),0,VLOOKUP(A109,'Données projet'!$A$87:$I$107,4,0))</f>
        <v>45.78</v>
      </c>
      <c r="BM109" s="17">
        <f>IF(ISNA(VLOOKUP(A109,'Données projet'!$A$87:$I$107,5,0)),0%,VLOOKUP(A109,'Données projet'!$A$87:$I$107,5,0)*VLOOKUP('Données projet'!$B$11,Paramètres!$A$1:$I$89,7,0))</f>
        <v>0.34400000000000003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42.89328747891313</v>
      </c>
      <c r="BQ109" s="23">
        <f>EXP(-LN(2)/25)*BQ108+(1-EXP(-LN(2)/25))/(LN(2)/25)*Calculateur!BL109*Calculateur!BN109*VLOOKUP('Données projet'!$B$11,Paramètres!$A$1:$I$89,3,0)*0.475*44/12</f>
        <v>8.338141805495928</v>
      </c>
      <c r="BR109" s="23">
        <f>EXP(-LN(2)/2)*BR108+(1-EXP(-LN(2)/2))/(LN(2)/2)*BL109*BO109*VLOOKUP('Données projet'!$B$11,Paramètres!$A$1:$I$89,3,0)*0.475*44/12</f>
        <v>1.1371323939911393E-6</v>
      </c>
      <c r="BS109" s="24">
        <f t="shared" si="63"/>
        <v>51.231430421541454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>
        <f>BY109*VLOOKUP('Données projet'!$B$12,Paramètres!$A$1:$I$89,3,0)*VLOOKUP('Données projet'!$B$12,Paramètres!$A$1:$I$89,5,0)</f>
        <v>0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112.34884104798977</v>
      </c>
      <c r="CE109" s="62">
        <f t="shared" si="94"/>
        <v>18.665658139749326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76.091067409787939</v>
      </c>
      <c r="CL109" s="23">
        <f>EXP(-LN(2)/25)*CL108+(1-EXP(-LN(2)/25))/(LN(2)/25)*Calculateur!CG109*Calculateur!CI109*VLOOKUP('Données projet'!$B$12,Paramètres!$A$1:$I$89,3,0)*0.475*44/12</f>
        <v>5.7339993664108455</v>
      </c>
      <c r="CM109" s="23">
        <f>EXP(-LN(2)/2)*CM108+(1-EXP(-LN(2)/2))/(LN(2)/2)*CG109*CJ109*VLOOKUP('Données projet'!$B$12,Paramètres!$A$1:$I$89,3,0)*0.475*44/12</f>
        <v>1.4474700580368333E-8</v>
      </c>
      <c r="CN109" s="24">
        <f t="shared" si="66"/>
        <v>81.825066790673489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-1.1368683772161603E-13</v>
      </c>
      <c r="CU109" s="18">
        <f>CT109*VLOOKUP('Données projet'!$B$13,Paramètres!$A$1:$I$89,3,0)*VLOOKUP('Données projet'!$B$13,Paramètres!$A$1:$I$89,5,0)</f>
        <v>-1.2414602679200469E-13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205.21073681197737</v>
      </c>
      <c r="CZ109" s="62">
        <f t="shared" si="96"/>
        <v>175.16446313750316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28.708770532911732</v>
      </c>
      <c r="DG109" s="23">
        <f>EXP(-LN(2)/25)*DG108+(1-EXP(-LN(2)/25))/(LN(2)/25)*Calculateur!DB109*Calculateur!DD109*VLOOKUP('Données projet'!$B$13,Paramètres!$A$1:$I$89,3,0)*0.475*44/12</f>
        <v>8.8630556803855942</v>
      </c>
      <c r="DH109" s="23">
        <f>EXP(-LN(2)/2)*DH108+(1-EXP(-LN(2)/2))/(LN(2)/2)*DB109*DE109*VLOOKUP('Données projet'!$B$13,Paramètres!$A$1:$I$89,3,0)*0.475*44/12</f>
        <v>1.2933481479329468E-8</v>
      </c>
      <c r="DI109" s="24">
        <f t="shared" si="69"/>
        <v>37.571826226230812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2.2737367544323206E-13</v>
      </c>
      <c r="DP109" s="18">
        <f>DO109*VLOOKUP('Données projet'!$B$14,Paramètres!$A$1:$I$89,3,0)*VLOOKUP('Données projet'!$B$14,Paramètres!$A$1:$I$89,5,0)</f>
        <v>1.8444552551954985E-13</v>
      </c>
      <c r="DQ109" s="14">
        <f t="shared" si="97"/>
        <v>2.580317449479618E-12</v>
      </c>
      <c r="DR109" s="22">
        <f t="shared" si="70"/>
        <v>4.8152955147902165E-12</v>
      </c>
      <c r="DS109" s="62">
        <f t="shared" si="71"/>
        <v>293.33333333333815</v>
      </c>
      <c r="DT109" s="62">
        <f ca="1">AVERAGE(OFFSET($DS$3,0,0,'Données projet'!$E$14+1,1))-AVERAGE(OFFSET($H$3,0,0,'Données projet'!$E$14+1,1))</f>
        <v>223.63222290670075</v>
      </c>
      <c r="DU109" s="62">
        <f t="shared" si="98"/>
        <v>290.02663909417248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30.570647117032788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1.1359267430848397E-5</v>
      </c>
      <c r="ED109" s="24">
        <f t="shared" si="72"/>
        <v>30.57065847630022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387.62377525537238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192.24617268603629</v>
      </c>
      <c r="T110" s="62">
        <f t="shared" si="88"/>
        <v>192.48585280662832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34.689058632946605</v>
      </c>
      <c r="AA110" s="23">
        <f>EXP(-LN(2)/25)*AA109+(1-EXP(-LN(2)/25))/(LN(2)/25)*Calculateur!V110*Calculateur!X110*VLOOKUP('Données projet'!$B$9,Paramètres!$A$1:$I$89,3,0)*0.475*44/12</f>
        <v>8.6127921552107782</v>
      </c>
      <c r="AB110" s="23">
        <f>EXP(-LN(2)/2)*AB109+(1-EXP(-LN(2)/2))/(LN(2)/2)*V110*Y110*VLOOKUP('Données projet'!$B$9,Paramètres!$A$1:$I$89,3,0)*0.475*44/12</f>
        <v>3.5375175235245342E-6</v>
      </c>
      <c r="AC110" s="24">
        <f t="shared" si="57"/>
        <v>43.301854325674903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1.9999999998958629E-3</v>
      </c>
      <c r="AJ110" s="14">
        <f>AI110*VLOOKUP('Données projet'!$B$10,Paramètres!$A$1:$I$89,3,0)*VLOOKUP('Données projet'!$B$10,Paramètres!$A$1:$I$89,5,0)</f>
        <v>1.195999999937726E-3</v>
      </c>
      <c r="AK110" s="14">
        <f t="shared" si="89"/>
        <v>1.2062444695752218E-3</v>
      </c>
      <c r="AL110" s="22">
        <f t="shared" si="58"/>
        <v>4.1839091177350513E-3</v>
      </c>
      <c r="AM110" s="62">
        <f t="shared" si="59"/>
        <v>293.33751724245104</v>
      </c>
      <c r="AN110" s="62">
        <f ca="1">AVERAGE(OFFSET($AM$3,0,0,'Données projet'!$E$10+1,1))-AVERAGE(OFFSET($H$3,0,0,'Données projet'!$E$10+1,1))</f>
        <v>164.64952352018145</v>
      </c>
      <c r="AO110" s="62">
        <f t="shared" si="90"/>
        <v>280.08682720086921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17.347347441860716</v>
      </c>
      <c r="AV110" s="23">
        <f>EXP(-LN(2)/25)*AV109+(1-EXP(-LN(2)/25))/(LN(2)/25)*Calculateur!AQ110*Calculateur!AS110*VLOOKUP('Données projet'!$B$10,Paramètres!$A$1:$I$89,3,0)*0.475*44/12</f>
        <v>3.8040305558688705</v>
      </c>
      <c r="AW110" s="23">
        <f>EXP(-LN(2)/2)*AW109+(1-EXP(-LN(2)/2))/(LN(2)/2)*AQ110*AT110*VLOOKUP('Données projet'!$B$10,Paramètres!$A$1:$I$89,3,0)*0.475*44/12</f>
        <v>1.3948360601020749E-9</v>
      </c>
      <c r="AX110" s="23">
        <f t="shared" si="60"/>
        <v>21.151377999124421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8.5</v>
      </c>
      <c r="BD110" s="13">
        <f>IF('Données projet'!$A$88&gt;35,BD109+BC110-BL109,IF(A110&lt;'Données projet'!$A$88,$BA$205^A110,IF(A110='Données projet'!$A$88,'Données projet'!$B$88,BD109+BC110-BL109)))</f>
        <v>304.9799999999999</v>
      </c>
      <c r="BE110" s="14">
        <f>BD110*VLOOKUP('Données projet'!$B$11,Paramètres!$A$1:$I$89,3,0)*VLOOKUP('Données projet'!$B$11,Paramètres!$A$1:$I$89,5,0)</f>
        <v>256.91515199999998</v>
      </c>
      <c r="BF110" s="14">
        <f t="shared" si="91"/>
        <v>62.064356937360827</v>
      </c>
      <c r="BG110" s="22">
        <f t="shared" si="61"/>
        <v>555.55597806590333</v>
      </c>
      <c r="BH110" s="62">
        <f t="shared" si="62"/>
        <v>848.8893113992367</v>
      </c>
      <c r="BI110" s="62">
        <f ca="1">AVERAGE(OFFSET($BH$3,0,0,'Données projet'!$E$11+1,1))-AVERAGE(OFFSET($H$3,0,0,'Données projet'!$E$11+1,1))</f>
        <v>339.58585574836434</v>
      </c>
      <c r="BJ110" s="62">
        <f t="shared" si="92"/>
        <v>42.267525972379588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42.052176273773689</v>
      </c>
      <c r="BQ110" s="23">
        <f>EXP(-LN(2)/25)*BQ109+(1-EXP(-LN(2)/25))/(LN(2)/25)*Calculateur!BL110*Calculateur!BN110*VLOOKUP('Données projet'!$B$11,Paramètres!$A$1:$I$89,3,0)*0.475*44/12</f>
        <v>8.110134879340821</v>
      </c>
      <c r="BR110" s="23">
        <f>EXP(-LN(2)/2)*BR109+(1-EXP(-LN(2)/2))/(LN(2)/2)*BL110*BO110*VLOOKUP('Données projet'!$B$11,Paramètres!$A$1:$I$89,3,0)*0.475*44/12</f>
        <v>8.0407402689802747E-7</v>
      </c>
      <c r="BS110" s="24">
        <f t="shared" si="63"/>
        <v>50.162311957188535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>
        <f>BY110*VLOOKUP('Données projet'!$B$12,Paramètres!$A$1:$I$89,3,0)*VLOOKUP('Données projet'!$B$12,Paramètres!$A$1:$I$89,5,0)</f>
        <v>0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112.34884104798977</v>
      </c>
      <c r="CE110" s="62">
        <f t="shared" si="94"/>
        <v>18.665658139749326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74.598967988850418</v>
      </c>
      <c r="CL110" s="23">
        <f>EXP(-LN(2)/25)*CL109+(1-EXP(-LN(2)/25))/(LN(2)/25)*Calculateur!CG110*Calculateur!CI110*VLOOKUP('Données projet'!$B$12,Paramètres!$A$1:$I$89,3,0)*0.475*44/12</f>
        <v>5.5772028521984192</v>
      </c>
      <c r="CM110" s="23">
        <f>EXP(-LN(2)/2)*CM109+(1-EXP(-LN(2)/2))/(LN(2)/2)*CG110*CJ110*VLOOKUP('Données projet'!$B$12,Paramètres!$A$1:$I$89,3,0)*0.475*44/12</f>
        <v>1.0235158936023303E-8</v>
      </c>
      <c r="CN110" s="24">
        <f t="shared" si="66"/>
        <v>80.176170851283999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-1.1368683772161603E-13</v>
      </c>
      <c r="CU110" s="18">
        <f>CT110*VLOOKUP('Données projet'!$B$13,Paramètres!$A$1:$I$89,3,0)*VLOOKUP('Données projet'!$B$13,Paramètres!$A$1:$I$89,5,0)</f>
        <v>-1.2414602679200469E-13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205.21073681197737</v>
      </c>
      <c r="CZ110" s="62">
        <f t="shared" si="96"/>
        <v>175.16446313750316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28.14580905338233</v>
      </c>
      <c r="DG110" s="23">
        <f>EXP(-LN(2)/25)*DG109+(1-EXP(-LN(2)/25))/(LN(2)/25)*Calculateur!DB110*Calculateur!DD110*VLOOKUP('Données projet'!$B$13,Paramètres!$A$1:$I$89,3,0)*0.475*44/12</f>
        <v>8.6206949567176085</v>
      </c>
      <c r="DH110" s="23">
        <f>EXP(-LN(2)/2)*DH109+(1-EXP(-LN(2)/2))/(LN(2)/2)*DB110*DE110*VLOOKUP('Données projet'!$B$13,Paramètres!$A$1:$I$89,3,0)*0.475*44/12</f>
        <v>9.1453524583844872E-9</v>
      </c>
      <c r="DI110" s="24">
        <f t="shared" si="69"/>
        <v>36.766504019245289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2.2737367544323206E-13</v>
      </c>
      <c r="DP110" s="18">
        <f>DO110*VLOOKUP('Données projet'!$B$14,Paramètres!$A$1:$I$89,3,0)*VLOOKUP('Données projet'!$B$14,Paramètres!$A$1:$I$89,5,0)</f>
        <v>1.8444552551954985E-13</v>
      </c>
      <c r="DQ110" s="14">
        <f t="shared" si="97"/>
        <v>2.580317449479618E-12</v>
      </c>
      <c r="DR110" s="22">
        <f t="shared" si="70"/>
        <v>4.8152955147902165E-12</v>
      </c>
      <c r="DS110" s="62">
        <f t="shared" si="71"/>
        <v>293.33333333333815</v>
      </c>
      <c r="DT110" s="62">
        <f ca="1">AVERAGE(OFFSET($DS$3,0,0,'Données projet'!$E$14+1,1))-AVERAGE(OFFSET($H$3,0,0,'Données projet'!$E$14+1,1))</f>
        <v>223.63222290670075</v>
      </c>
      <c r="DU110" s="62">
        <f t="shared" si="98"/>
        <v>290.02663909417248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29.971175373321351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8.0322150296643933E-6</v>
      </c>
      <c r="ED110" s="24">
        <f t="shared" si="72"/>
        <v>29.971183405536379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388.81577156642459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192.24617268603629</v>
      </c>
      <c r="T111" s="62">
        <f t="shared" si="88"/>
        <v>192.48585280662832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34.008827351391083</v>
      </c>
      <c r="AA111" s="23">
        <f>EXP(-LN(2)/25)*AA110+(1-EXP(-LN(2)/25))/(LN(2)/25)*Calculateur!V111*Calculateur!X111*VLOOKUP('Données projet'!$B$9,Paramètres!$A$1:$I$89,3,0)*0.475*44/12</f>
        <v>8.3772749007994847</v>
      </c>
      <c r="AB111" s="23">
        <f>EXP(-LN(2)/2)*AB110+(1-EXP(-LN(2)/2))/(LN(2)/2)*V111*Y111*VLOOKUP('Données projet'!$B$9,Paramètres!$A$1:$I$89,3,0)*0.475*44/12</f>
        <v>2.5014026294504403E-6</v>
      </c>
      <c r="AC111" s="24">
        <f t="shared" si="57"/>
        <v>42.386104753593195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1.9999999998958629E-3</v>
      </c>
      <c r="AJ111" s="14">
        <f>AI111*VLOOKUP('Données projet'!$B$10,Paramètres!$A$1:$I$89,3,0)*VLOOKUP('Données projet'!$B$10,Paramètres!$A$1:$I$89,5,0)</f>
        <v>1.195999999937726E-3</v>
      </c>
      <c r="AK111" s="14">
        <f t="shared" si="89"/>
        <v>1.2062444695752218E-3</v>
      </c>
      <c r="AL111" s="22">
        <f t="shared" si="58"/>
        <v>4.1839091177350513E-3</v>
      </c>
      <c r="AM111" s="62">
        <f t="shared" si="59"/>
        <v>293.33751724245104</v>
      </c>
      <c r="AN111" s="62">
        <f ca="1">AVERAGE(OFFSET($AM$3,0,0,'Données projet'!$E$10+1,1))-AVERAGE(OFFSET($H$3,0,0,'Données projet'!$E$10+1,1))</f>
        <v>164.64952352018145</v>
      </c>
      <c r="AO111" s="62">
        <f t="shared" si="90"/>
        <v>280.08682720086921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17.007176539362995</v>
      </c>
      <c r="AV111" s="23">
        <f>EXP(-LN(2)/25)*AV110+(1-EXP(-LN(2)/25))/(LN(2)/25)*Calculateur!AQ111*Calculateur!AS111*VLOOKUP('Données projet'!$B$10,Paramètres!$A$1:$I$89,3,0)*0.475*44/12</f>
        <v>3.7000091402733637</v>
      </c>
      <c r="AW111" s="23">
        <f>EXP(-LN(2)/2)*AW110+(1-EXP(-LN(2)/2))/(LN(2)/2)*AQ111*AT111*VLOOKUP('Données projet'!$B$10,Paramètres!$A$1:$I$89,3,0)*0.475*44/12</f>
        <v>9.8629803674170388E-10</v>
      </c>
      <c r="AX111" s="23">
        <f t="shared" si="60"/>
        <v>20.707185680622654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8.5</v>
      </c>
      <c r="BD111" s="13">
        <f>IF('Données projet'!$A$88&gt;35,BD110+BC111-BL110,IF(A111&lt;'Données projet'!$A$88,$BA$205^A111,IF(A111='Données projet'!$A$88,'Données projet'!$B$88,BD110+BC111-BL110)))</f>
        <v>313.4799999999999</v>
      </c>
      <c r="BE111" s="14">
        <f>BD111*VLOOKUP('Données projet'!$B$11,Paramètres!$A$1:$I$89,3,0)*VLOOKUP('Données projet'!$B$11,Paramètres!$A$1:$I$89,5,0)</f>
        <v>264.0755519999999</v>
      </c>
      <c r="BF111" s="14">
        <f t="shared" si="91"/>
        <v>63.590332979654868</v>
      </c>
      <c r="BG111" s="22">
        <f t="shared" si="61"/>
        <v>570.68474967289876</v>
      </c>
      <c r="BH111" s="62">
        <f t="shared" si="62"/>
        <v>864.01808300623202</v>
      </c>
      <c r="BI111" s="62">
        <f ca="1">AVERAGE(OFFSET($BH$3,0,0,'Données projet'!$E$11+1,1))-AVERAGE(OFFSET($H$3,0,0,'Données projet'!$E$11+1,1))</f>
        <v>339.58585574836434</v>
      </c>
      <c r="BJ111" s="62">
        <f t="shared" si="92"/>
        <v>42.267525972379588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41.227558746339859</v>
      </c>
      <c r="BQ111" s="23">
        <f>EXP(-LN(2)/25)*BQ110+(1-EXP(-LN(2)/25))/(LN(2)/25)*Calculateur!BL111*Calculateur!BN111*VLOOKUP('Données projet'!$B$11,Paramètres!$A$1:$I$89,3,0)*0.475*44/12</f>
        <v>7.8883628145717886</v>
      </c>
      <c r="BR111" s="23">
        <f>EXP(-LN(2)/2)*BR110+(1-EXP(-LN(2)/2))/(LN(2)/2)*BL111*BO111*VLOOKUP('Données projet'!$B$11,Paramètres!$A$1:$I$89,3,0)*0.475*44/12</f>
        <v>5.6856619699556963E-7</v>
      </c>
      <c r="BS111" s="24">
        <f t="shared" si="63"/>
        <v>49.115922129477845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>
        <f>BY111*VLOOKUP('Données projet'!$B$12,Paramètres!$A$1:$I$89,3,0)*VLOOKUP('Données projet'!$B$12,Paramètres!$A$1:$I$89,5,0)</f>
        <v>0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112.34884104798977</v>
      </c>
      <c r="CE111" s="62">
        <f t="shared" si="94"/>
        <v>18.665658139749326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73.1361277274667</v>
      </c>
      <c r="CL111" s="23">
        <f>EXP(-LN(2)/25)*CL110+(1-EXP(-LN(2)/25))/(LN(2)/25)*Calculateur!CG111*Calculateur!CI111*VLOOKUP('Données projet'!$B$12,Paramètres!$A$1:$I$89,3,0)*0.475*44/12</f>
        <v>5.4246939469127025</v>
      </c>
      <c r="CM111" s="23">
        <f>EXP(-LN(2)/2)*CM110+(1-EXP(-LN(2)/2))/(LN(2)/2)*CG111*CJ111*VLOOKUP('Données projet'!$B$12,Paramètres!$A$1:$I$89,3,0)*0.475*44/12</f>
        <v>7.2373502901841667E-9</v>
      </c>
      <c r="CN111" s="24">
        <f t="shared" si="66"/>
        <v>78.560821681616744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-1.1368683772161603E-13</v>
      </c>
      <c r="CU111" s="18">
        <f>CT111*VLOOKUP('Données projet'!$B$13,Paramètres!$A$1:$I$89,3,0)*VLOOKUP('Données projet'!$B$13,Paramètres!$A$1:$I$89,5,0)</f>
        <v>-1.2414602679200469E-13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205.21073681197737</v>
      </c>
      <c r="CZ111" s="62">
        <f t="shared" si="96"/>
        <v>175.16446313750316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27.5938869050939</v>
      </c>
      <c r="DG111" s="23">
        <f>EXP(-LN(2)/25)*DG110+(1-EXP(-LN(2)/25))/(LN(2)/25)*Calculateur!DB111*Calculateur!DD111*VLOOKUP('Données projet'!$B$13,Paramètres!$A$1:$I$89,3,0)*0.475*44/12</f>
        <v>8.3849615997835212</v>
      </c>
      <c r="DH111" s="23">
        <f>EXP(-LN(2)/2)*DH110+(1-EXP(-LN(2)/2))/(LN(2)/2)*DB111*DE111*VLOOKUP('Données projet'!$B$13,Paramètres!$A$1:$I$89,3,0)*0.475*44/12</f>
        <v>6.4667407396647341E-9</v>
      </c>
      <c r="DI111" s="24">
        <f t="shared" si="69"/>
        <v>35.978848511344161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2.2737367544323206E-13</v>
      </c>
      <c r="DP111" s="18">
        <f>DO111*VLOOKUP('Données projet'!$B$14,Paramètres!$A$1:$I$89,3,0)*VLOOKUP('Données projet'!$B$14,Paramètres!$A$1:$I$89,5,0)</f>
        <v>1.8444552551954985E-13</v>
      </c>
      <c r="DQ111" s="14">
        <f t="shared" si="97"/>
        <v>2.580317449479618E-12</v>
      </c>
      <c r="DR111" s="22">
        <f t="shared" si="70"/>
        <v>4.8152955147902165E-12</v>
      </c>
      <c r="DS111" s="62">
        <f t="shared" si="71"/>
        <v>293.33333333333815</v>
      </c>
      <c r="DT111" s="62">
        <f ca="1">AVERAGE(OFFSET($DS$3,0,0,'Données projet'!$E$14+1,1))-AVERAGE(OFFSET($H$3,0,0,'Données projet'!$E$14+1,1))</f>
        <v>223.63222290670075</v>
      </c>
      <c r="DU111" s="62">
        <f t="shared" si="98"/>
        <v>290.02663909417248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29.383458904862437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5.6796337154241986E-6</v>
      </c>
      <c r="ED111" s="24">
        <f t="shared" si="72"/>
        <v>29.383464584496153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390.00750821914528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192.24617268603629</v>
      </c>
      <c r="T112" s="62">
        <f t="shared" si="88"/>
        <v>192.48585280662832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33.341934990366752</v>
      </c>
      <c r="AA112" s="23">
        <f>EXP(-LN(2)/25)*AA111+(1-EXP(-LN(2)/25))/(LN(2)/25)*Calculateur!V112*Calculateur!X112*VLOOKUP('Données projet'!$B$9,Paramètres!$A$1:$I$89,3,0)*0.475*44/12</f>
        <v>8.1481978780953828</v>
      </c>
      <c r="AB112" s="23">
        <f>EXP(-LN(2)/2)*AB111+(1-EXP(-LN(2)/2))/(LN(2)/2)*V112*Y112*VLOOKUP('Données projet'!$B$9,Paramètres!$A$1:$I$89,3,0)*0.475*44/12</f>
        <v>1.7687587617622671E-6</v>
      </c>
      <c r="AC112" s="24">
        <f t="shared" si="57"/>
        <v>41.490134637220898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1.9999999998958629E-3</v>
      </c>
      <c r="AJ112" s="14">
        <f>AI112*VLOOKUP('Données projet'!$B$10,Paramètres!$A$1:$I$89,3,0)*VLOOKUP('Données projet'!$B$10,Paramètres!$A$1:$I$89,5,0)</f>
        <v>1.195999999937726E-3</v>
      </c>
      <c r="AK112" s="14">
        <f t="shared" si="89"/>
        <v>1.2062444695752218E-3</v>
      </c>
      <c r="AL112" s="22">
        <f t="shared" si="58"/>
        <v>4.1839091177350513E-3</v>
      </c>
      <c r="AM112" s="62">
        <f t="shared" si="59"/>
        <v>293.33751724245104</v>
      </c>
      <c r="AN112" s="62">
        <f ca="1">AVERAGE(OFFSET($AM$3,0,0,'Données projet'!$E$10+1,1))-AVERAGE(OFFSET($H$3,0,0,'Données projet'!$E$10+1,1))</f>
        <v>164.64952352018145</v>
      </c>
      <c r="AO112" s="62">
        <f t="shared" si="90"/>
        <v>280.08682720086921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16.673676180779491</v>
      </c>
      <c r="AV112" s="23">
        <f>EXP(-LN(2)/25)*AV111+(1-EXP(-LN(2)/25))/(LN(2)/25)*Calculateur!AQ112*Calculateur!AS112*VLOOKUP('Données projet'!$B$10,Paramètres!$A$1:$I$89,3,0)*0.475*44/12</f>
        <v>3.5988321957575642</v>
      </c>
      <c r="AW112" s="23">
        <f>EXP(-LN(2)/2)*AW111+(1-EXP(-LN(2)/2))/(LN(2)/2)*AQ112*AT112*VLOOKUP('Données projet'!$B$10,Paramètres!$A$1:$I$89,3,0)*0.475*44/12</f>
        <v>6.9741803005103743E-10</v>
      </c>
      <c r="AX112" s="23">
        <f t="shared" si="60"/>
        <v>20.272508377234473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8.5</v>
      </c>
      <c r="BD112" s="13">
        <f>IF('Données projet'!$A$88&gt;35,BD111+BC112-BL111,IF(A112&lt;'Données projet'!$A$88,$BA$205^A112,IF(A112='Données projet'!$A$88,'Données projet'!$B$88,BD111+BC112-BL111)))</f>
        <v>321.9799999999999</v>
      </c>
      <c r="BE112" s="14">
        <f>BD112*VLOOKUP('Données projet'!$B$11,Paramètres!$A$1:$I$89,3,0)*VLOOKUP('Données projet'!$B$11,Paramètres!$A$1:$I$89,5,0)</f>
        <v>271.23595199999994</v>
      </c>
      <c r="BF112" s="14">
        <f t="shared" si="91"/>
        <v>65.111499733271216</v>
      </c>
      <c r="BG112" s="22">
        <f t="shared" si="61"/>
        <v>585.8051451021139</v>
      </c>
      <c r="BH112" s="62">
        <f t="shared" si="62"/>
        <v>879.13847843544727</v>
      </c>
      <c r="BI112" s="62">
        <f ca="1">AVERAGE(OFFSET($BH$3,0,0,'Données projet'!$E$11+1,1))-AVERAGE(OFFSET($H$3,0,0,'Données projet'!$E$11+1,1))</f>
        <v>339.58585574836434</v>
      </c>
      <c r="BJ112" s="62">
        <f t="shared" si="92"/>
        <v>42.267525972379588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40.419111465651973</v>
      </c>
      <c r="BQ112" s="23">
        <f>EXP(-LN(2)/25)*BQ111+(1-EXP(-LN(2)/25))/(LN(2)/25)*Calculateur!BL112*Calculateur!BN112*VLOOKUP('Données projet'!$B$11,Paramètres!$A$1:$I$89,3,0)*0.475*44/12</f>
        <v>7.6726551185763521</v>
      </c>
      <c r="BR112" s="23">
        <f>EXP(-LN(2)/2)*BR111+(1-EXP(-LN(2)/2))/(LN(2)/2)*BL112*BO112*VLOOKUP('Données projet'!$B$11,Paramètres!$A$1:$I$89,3,0)*0.475*44/12</f>
        <v>4.0203701344901374E-7</v>
      </c>
      <c r="BS112" s="24">
        <f t="shared" si="63"/>
        <v>48.091766986265334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>
        <f>BY112*VLOOKUP('Données projet'!$B$12,Paramètres!$A$1:$I$89,3,0)*VLOOKUP('Données projet'!$B$12,Paramètres!$A$1:$I$89,5,0)</f>
        <v>0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112.34884104798977</v>
      </c>
      <c r="CE112" s="62">
        <f t="shared" si="94"/>
        <v>18.665658139749326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71.701972871364262</v>
      </c>
      <c r="CL112" s="23">
        <f>EXP(-LN(2)/25)*CL111+(1-EXP(-LN(2)/25))/(LN(2)/25)*Calculateur!CG112*Calculateur!CI112*VLOOKUP('Données projet'!$B$12,Paramètres!$A$1:$I$89,3,0)*0.475*44/12</f>
        <v>5.2763554056621178</v>
      </c>
      <c r="CM112" s="23">
        <f>EXP(-LN(2)/2)*CM111+(1-EXP(-LN(2)/2))/(LN(2)/2)*CG112*CJ112*VLOOKUP('Données projet'!$B$12,Paramètres!$A$1:$I$89,3,0)*0.475*44/12</f>
        <v>5.1175794680116517E-9</v>
      </c>
      <c r="CN112" s="24">
        <f t="shared" si="66"/>
        <v>76.978328282143963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-1.1368683772161603E-13</v>
      </c>
      <c r="CU112" s="18">
        <f>CT112*VLOOKUP('Données projet'!$B$13,Paramètres!$A$1:$I$89,3,0)*VLOOKUP('Données projet'!$B$13,Paramètres!$A$1:$I$89,5,0)</f>
        <v>-1.2414602679200469E-13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205.21073681197737</v>
      </c>
      <c r="CZ112" s="62">
        <f t="shared" si="96"/>
        <v>175.16446313750316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27.052787613494136</v>
      </c>
      <c r="DG112" s="23">
        <f>EXP(-LN(2)/25)*DG111+(1-EXP(-LN(2)/25))/(LN(2)/25)*Calculateur!DB112*Calculateur!DD112*VLOOKUP('Données projet'!$B$13,Paramètres!$A$1:$I$89,3,0)*0.475*44/12</f>
        <v>8.1556743838914745</v>
      </c>
      <c r="DH112" s="23">
        <f>EXP(-LN(2)/2)*DH111+(1-EXP(-LN(2)/2))/(LN(2)/2)*DB112*DE112*VLOOKUP('Données projet'!$B$13,Paramètres!$A$1:$I$89,3,0)*0.475*44/12</f>
        <v>4.5726762291922436E-9</v>
      </c>
      <c r="DI112" s="24">
        <f t="shared" si="69"/>
        <v>35.208462001958289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2.2737367544323206E-13</v>
      </c>
      <c r="DP112" s="18">
        <f>DO112*VLOOKUP('Données projet'!$B$14,Paramètres!$A$1:$I$89,3,0)*VLOOKUP('Données projet'!$B$14,Paramètres!$A$1:$I$89,5,0)</f>
        <v>1.8444552551954985E-13</v>
      </c>
      <c r="DQ112" s="14">
        <f t="shared" si="97"/>
        <v>2.580317449479618E-12</v>
      </c>
      <c r="DR112" s="22">
        <f t="shared" si="70"/>
        <v>4.8152955147902165E-12</v>
      </c>
      <c r="DS112" s="62">
        <f t="shared" si="71"/>
        <v>293.33333333333815</v>
      </c>
      <c r="DT112" s="62">
        <f ca="1">AVERAGE(OFFSET($DS$3,0,0,'Données projet'!$E$14+1,1))-AVERAGE(OFFSET($H$3,0,0,'Données projet'!$E$14+1,1))</f>
        <v>223.63222290670075</v>
      </c>
      <c r="DU112" s="62">
        <f t="shared" si="98"/>
        <v>290.02663909417248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28.807267197878353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4.0161075148321967E-6</v>
      </c>
      <c r="ED112" s="24">
        <f t="shared" si="72"/>
        <v>28.807271213985867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391.19898787166267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192.24617268603629</v>
      </c>
      <c r="T113" s="62">
        <f t="shared" si="88"/>
        <v>192.48585280662832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32.688119981777938</v>
      </c>
      <c r="AA113" s="23">
        <f>EXP(-LN(2)/25)*AA112+(1-EXP(-LN(2)/25))/(LN(2)/25)*Calculateur!V113*Calculateur!X113*VLOOKUP('Données projet'!$B$9,Paramètres!$A$1:$I$89,3,0)*0.475*44/12</f>
        <v>7.9253849786237609</v>
      </c>
      <c r="AB113" s="23">
        <f>EXP(-LN(2)/2)*AB112+(1-EXP(-LN(2)/2))/(LN(2)/2)*V113*Y113*VLOOKUP('Données projet'!$B$9,Paramètres!$A$1:$I$89,3,0)*0.475*44/12</f>
        <v>1.2507013147252201E-6</v>
      </c>
      <c r="AC113" s="24">
        <f t="shared" si="57"/>
        <v>40.613506211103015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1.9999999998958629E-3</v>
      </c>
      <c r="AJ113" s="14">
        <f>AI113*VLOOKUP('Données projet'!$B$10,Paramètres!$A$1:$I$89,3,0)*VLOOKUP('Données projet'!$B$10,Paramètres!$A$1:$I$89,5,0)</f>
        <v>1.195999999937726E-3</v>
      </c>
      <c r="AK113" s="14">
        <f t="shared" si="89"/>
        <v>1.2062444695752218E-3</v>
      </c>
      <c r="AL113" s="22">
        <f t="shared" si="58"/>
        <v>4.1839091177350513E-3</v>
      </c>
      <c r="AM113" s="62">
        <f t="shared" si="59"/>
        <v>293.33751724245104</v>
      </c>
      <c r="AN113" s="62">
        <f ca="1">AVERAGE(OFFSET($AM$3,0,0,'Données projet'!$E$10+1,1))-AVERAGE(OFFSET($H$3,0,0,'Données projet'!$E$10+1,1))</f>
        <v>164.64952352018145</v>
      </c>
      <c r="AO113" s="62">
        <f t="shared" si="90"/>
        <v>280.08682720086921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16.34671556081268</v>
      </c>
      <c r="AV113" s="23">
        <f>EXP(-LN(2)/25)*AV112+(1-EXP(-LN(2)/25))/(LN(2)/25)*Calculateur!AQ113*Calculateur!AS113*VLOOKUP('Données projet'!$B$10,Paramètres!$A$1:$I$89,3,0)*0.475*44/12</f>
        <v>3.5004219401102135</v>
      </c>
      <c r="AW113" s="23">
        <f>EXP(-LN(2)/2)*AW112+(1-EXP(-LN(2)/2))/(LN(2)/2)*AQ113*AT113*VLOOKUP('Données projet'!$B$10,Paramètres!$A$1:$I$89,3,0)*0.475*44/12</f>
        <v>4.9314901837085194E-10</v>
      </c>
      <c r="AX113" s="23">
        <f t="shared" si="60"/>
        <v>19.847137501416043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8.5</v>
      </c>
      <c r="BD113" s="13">
        <f>IF('Données projet'!$A$88&gt;35,BD112+BC113-BL112,IF(A113&lt;'Données projet'!$A$88,$BA$205^A113,IF(A113='Données projet'!$A$88,'Données projet'!$B$88,BD112+BC113-BL112)))</f>
        <v>330.4799999999999</v>
      </c>
      <c r="BE113" s="14">
        <f>BD113*VLOOKUP('Données projet'!$B$11,Paramètres!$A$1:$I$89,3,0)*VLOOKUP('Données projet'!$B$11,Paramètres!$A$1:$I$89,5,0)</f>
        <v>278.39635199999992</v>
      </c>
      <c r="BF113" s="14">
        <f t="shared" si="91"/>
        <v>66.627998753381732</v>
      </c>
      <c r="BG113" s="22">
        <f t="shared" si="61"/>
        <v>600.91741089547304</v>
      </c>
      <c r="BH113" s="62">
        <f t="shared" si="62"/>
        <v>894.2507442288063</v>
      </c>
      <c r="BI113" s="62">
        <f ca="1">AVERAGE(OFFSET($BH$3,0,0,'Données projet'!$E$11+1,1))-AVERAGE(OFFSET($H$3,0,0,'Données projet'!$E$11+1,1))</f>
        <v>339.58585574836434</v>
      </c>
      <c r="BJ113" s="62">
        <f t="shared" si="92"/>
        <v>42.267525972379588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39.62651734303423</v>
      </c>
      <c r="BQ113" s="23">
        <f>EXP(-LN(2)/25)*BQ112+(1-EXP(-LN(2)/25))/(LN(2)/25)*Calculateur!BL113*Calculateur!BN113*VLOOKUP('Données projet'!$B$11,Paramètres!$A$1:$I$89,3,0)*0.475*44/12</f>
        <v>7.4628459608714852</v>
      </c>
      <c r="BR113" s="23">
        <f>EXP(-LN(2)/2)*BR112+(1-EXP(-LN(2)/2))/(LN(2)/2)*BL113*BO113*VLOOKUP('Données projet'!$B$11,Paramètres!$A$1:$I$89,3,0)*0.475*44/12</f>
        <v>2.8428309849778482E-7</v>
      </c>
      <c r="BS113" s="24">
        <f t="shared" si="63"/>
        <v>47.08936358818881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>
        <f>BY113*VLOOKUP('Données projet'!$B$12,Paramètres!$A$1:$I$89,3,0)*VLOOKUP('Données projet'!$B$12,Paramètres!$A$1:$I$89,5,0)</f>
        <v>0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112.34884104798977</v>
      </c>
      <c r="CE113" s="62">
        <f t="shared" si="94"/>
        <v>18.665658139749326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70.295940917241893</v>
      </c>
      <c r="CL113" s="23">
        <f>EXP(-LN(2)/25)*CL112+(1-EXP(-LN(2)/25))/(LN(2)/25)*Calculateur!CG113*Calculateur!CI113*VLOOKUP('Données projet'!$B$12,Paramètres!$A$1:$I$89,3,0)*0.475*44/12</f>
        <v>5.1320731896228153</v>
      </c>
      <c r="CM113" s="23">
        <f>EXP(-LN(2)/2)*CM112+(1-EXP(-LN(2)/2))/(LN(2)/2)*CG113*CJ113*VLOOKUP('Données projet'!$B$12,Paramètres!$A$1:$I$89,3,0)*0.475*44/12</f>
        <v>3.6186751450920833E-9</v>
      </c>
      <c r="CN113" s="24">
        <f t="shared" si="66"/>
        <v>75.428014110483389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-1.1368683772161603E-13</v>
      </c>
      <c r="CU113" s="18">
        <f>CT113*VLOOKUP('Données projet'!$B$13,Paramètres!$A$1:$I$89,3,0)*VLOOKUP('Données projet'!$B$13,Paramètres!$A$1:$I$89,5,0)</f>
        <v>-1.2414602679200469E-13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205.21073681197737</v>
      </c>
      <c r="CZ113" s="62">
        <f t="shared" si="96"/>
        <v>175.16446313750316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26.522298948964664</v>
      </c>
      <c r="DG113" s="23">
        <f>EXP(-LN(2)/25)*DG112+(1-EXP(-LN(2)/25))/(LN(2)/25)*Calculateur!DB113*Calculateur!DD113*VLOOKUP('Données projet'!$B$13,Paramètres!$A$1:$I$89,3,0)*0.475*44/12</f>
        <v>7.9326570389756865</v>
      </c>
      <c r="DH113" s="23">
        <f>EXP(-LN(2)/2)*DH112+(1-EXP(-LN(2)/2))/(LN(2)/2)*DB113*DE113*VLOOKUP('Données projet'!$B$13,Paramètres!$A$1:$I$89,3,0)*0.475*44/12</f>
        <v>3.2333703698323671E-9</v>
      </c>
      <c r="DI113" s="24">
        <f t="shared" si="69"/>
        <v>34.454955991173719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2.2737367544323206E-13</v>
      </c>
      <c r="DP113" s="18">
        <f>DO113*VLOOKUP('Données projet'!$B$14,Paramètres!$A$1:$I$89,3,0)*VLOOKUP('Données projet'!$B$14,Paramètres!$A$1:$I$89,5,0)</f>
        <v>1.8444552551954985E-13</v>
      </c>
      <c r="DQ113" s="14">
        <f t="shared" si="97"/>
        <v>2.580317449479618E-12</v>
      </c>
      <c r="DR113" s="22">
        <f t="shared" si="70"/>
        <v>4.8152955147902165E-12</v>
      </c>
      <c r="DS113" s="62">
        <f t="shared" si="71"/>
        <v>293.33333333333815</v>
      </c>
      <c r="DT113" s="62">
        <f ca="1">AVERAGE(OFFSET($DS$3,0,0,'Données projet'!$E$14+1,1))-AVERAGE(OFFSET($H$3,0,0,'Données projet'!$E$14+1,1))</f>
        <v>223.63222290670075</v>
      </c>
      <c r="DU113" s="62">
        <f t="shared" si="98"/>
        <v>290.02663909417248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28.242374258825986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2.8398168577120993E-6</v>
      </c>
      <c r="ED113" s="24">
        <f t="shared" si="72"/>
        <v>28.242377098642844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392.39021313098795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192.24617268603629</v>
      </c>
      <c r="T114" s="62">
        <f t="shared" si="88"/>
        <v>192.48585280662832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32.047125886719769</v>
      </c>
      <c r="AA114" s="23">
        <f>EXP(-LN(2)/25)*AA113+(1-EXP(-LN(2)/25))/(LN(2)/25)*Calculateur!V114*Calculateur!X114*VLOOKUP('Données projet'!$B$9,Paramètres!$A$1:$I$89,3,0)*0.475*44/12</f>
        <v>7.7086649096054121</v>
      </c>
      <c r="AB114" s="23">
        <f>EXP(-LN(2)/2)*AB113+(1-EXP(-LN(2)/2))/(LN(2)/2)*V114*Y114*VLOOKUP('Données projet'!$B$9,Paramètres!$A$1:$I$89,3,0)*0.475*44/12</f>
        <v>8.8437938088113355E-7</v>
      </c>
      <c r="AC114" s="24">
        <f t="shared" si="57"/>
        <v>39.755791680704561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1.9999999998958629E-3</v>
      </c>
      <c r="AJ114" s="14">
        <f>AI114*VLOOKUP('Données projet'!$B$10,Paramètres!$A$1:$I$89,3,0)*VLOOKUP('Données projet'!$B$10,Paramètres!$A$1:$I$89,5,0)</f>
        <v>1.195999999937726E-3</v>
      </c>
      <c r="AK114" s="14">
        <f t="shared" si="89"/>
        <v>1.2062444695752218E-3</v>
      </c>
      <c r="AL114" s="22">
        <f t="shared" si="58"/>
        <v>4.1839091177350513E-3</v>
      </c>
      <c r="AM114" s="62">
        <f t="shared" si="59"/>
        <v>293.33751724245104</v>
      </c>
      <c r="AN114" s="62">
        <f ca="1">AVERAGE(OFFSET($AM$3,0,0,'Données projet'!$E$10+1,1))-AVERAGE(OFFSET($H$3,0,0,'Données projet'!$E$10+1,1))</f>
        <v>164.64952352018145</v>
      </c>
      <c r="AO114" s="62">
        <f t="shared" si="90"/>
        <v>280.08682720086921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16.026166439177128</v>
      </c>
      <c r="AV114" s="23">
        <f>EXP(-LN(2)/25)*AV113+(1-EXP(-LN(2)/25))/(LN(2)/25)*Calculateur!AQ114*Calculateur!AS114*VLOOKUP('Données projet'!$B$10,Paramètres!$A$1:$I$89,3,0)*0.475*44/12</f>
        <v>3.4047027180787102</v>
      </c>
      <c r="AW114" s="23">
        <f>EXP(-LN(2)/2)*AW113+(1-EXP(-LN(2)/2))/(LN(2)/2)*AQ114*AT114*VLOOKUP('Données projet'!$B$10,Paramètres!$A$1:$I$89,3,0)*0.475*44/12</f>
        <v>3.4870901502551871E-10</v>
      </c>
      <c r="AX114" s="23">
        <f t="shared" si="60"/>
        <v>19.430869157604548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8.5</v>
      </c>
      <c r="BD114" s="13">
        <f>IF('Données projet'!$A$88&gt;35,BD113+BC114-BL113,IF(A114&lt;'Données projet'!$A$88,$BA$205^A114,IF(A114='Données projet'!$A$88,'Données projet'!$B$88,BD113+BC114-BL113)))</f>
        <v>338.9799999999999</v>
      </c>
      <c r="BE114" s="14">
        <f>BD114*VLOOKUP('Données projet'!$B$11,Paramètres!$A$1:$I$89,3,0)*VLOOKUP('Données projet'!$B$11,Paramètres!$A$1:$I$89,5,0)</f>
        <v>285.55675199999996</v>
      </c>
      <c r="BF114" s="14">
        <f t="shared" si="91"/>
        <v>68.139963898684712</v>
      </c>
      <c r="BG114" s="22">
        <f t="shared" si="61"/>
        <v>616.02178019020903</v>
      </c>
      <c r="BH114" s="62">
        <f t="shared" si="62"/>
        <v>909.35511352354229</v>
      </c>
      <c r="BI114" s="62">
        <f ca="1">AVERAGE(OFFSET($BH$3,0,0,'Données projet'!$E$11+1,1))-AVERAGE(OFFSET($H$3,0,0,'Données projet'!$E$11+1,1))</f>
        <v>339.58585574836434</v>
      </c>
      <c r="BJ114" s="62">
        <f t="shared" si="92"/>
        <v>42.267525972379588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38.849465507726343</v>
      </c>
      <c r="BQ114" s="23">
        <f>EXP(-LN(2)/25)*BQ113+(1-EXP(-LN(2)/25))/(LN(2)/25)*Calculateur!BL114*Calculateur!BN114*VLOOKUP('Données projet'!$B$11,Paramètres!$A$1:$I$89,3,0)*0.475*44/12</f>
        <v>7.2587740456174421</v>
      </c>
      <c r="BR114" s="23">
        <f>EXP(-LN(2)/2)*BR113+(1-EXP(-LN(2)/2))/(LN(2)/2)*BL114*BO114*VLOOKUP('Données projet'!$B$11,Paramètres!$A$1:$I$89,3,0)*0.475*44/12</f>
        <v>2.0101850672450687E-7</v>
      </c>
      <c r="BS114" s="24">
        <f t="shared" si="63"/>
        <v>46.108239754362295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>
        <f>BY114*VLOOKUP('Données projet'!$B$12,Paramètres!$A$1:$I$89,3,0)*VLOOKUP('Données projet'!$B$12,Paramètres!$A$1:$I$89,5,0)</f>
        <v>0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112.34884104798977</v>
      </c>
      <c r="CE114" s="62">
        <f t="shared" si="94"/>
        <v>18.665658139749326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68.917480392145052</v>
      </c>
      <c r="CL114" s="23">
        <f>EXP(-LN(2)/25)*CL113+(1-EXP(-LN(2)/25))/(LN(2)/25)*Calculateur!CG114*Calculateur!CI114*VLOOKUP('Données projet'!$B$12,Paramètres!$A$1:$I$89,3,0)*0.475*44/12</f>
        <v>4.9917363783685795</v>
      </c>
      <c r="CM114" s="23">
        <f>EXP(-LN(2)/2)*CM113+(1-EXP(-LN(2)/2))/(LN(2)/2)*CG114*CJ114*VLOOKUP('Données projet'!$B$12,Paramètres!$A$1:$I$89,3,0)*0.475*44/12</f>
        <v>2.5587897340058259E-9</v>
      </c>
      <c r="CN114" s="24">
        <f t="shared" si="66"/>
        <v>73.90921677307243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-1.1368683772161603E-13</v>
      </c>
      <c r="CU114" s="18">
        <f>CT114*VLOOKUP('Données projet'!$B$13,Paramètres!$A$1:$I$89,3,0)*VLOOKUP('Données projet'!$B$13,Paramètres!$A$1:$I$89,5,0)</f>
        <v>-1.2414602679200469E-13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205.21073681197737</v>
      </c>
      <c r="CZ114" s="62">
        <f t="shared" si="96"/>
        <v>175.16446313750316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26.00221284358048</v>
      </c>
      <c r="DG114" s="23">
        <f>EXP(-LN(2)/25)*DG113+(1-EXP(-LN(2)/25))/(LN(2)/25)*Calculateur!DB114*Calculateur!DD114*VLOOKUP('Données projet'!$B$13,Paramètres!$A$1:$I$89,3,0)*0.475*44/12</f>
        <v>7.7157381150845934</v>
      </c>
      <c r="DH114" s="23">
        <f>EXP(-LN(2)/2)*DH113+(1-EXP(-LN(2)/2))/(LN(2)/2)*DB114*DE114*VLOOKUP('Données projet'!$B$13,Paramètres!$A$1:$I$89,3,0)*0.475*44/12</f>
        <v>2.2863381145961218E-9</v>
      </c>
      <c r="DI114" s="24">
        <f t="shared" si="69"/>
        <v>33.717950960951406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2.2737367544323206E-13</v>
      </c>
      <c r="DP114" s="18">
        <f>DO114*VLOOKUP('Données projet'!$B$14,Paramètres!$A$1:$I$89,3,0)*VLOOKUP('Données projet'!$B$14,Paramètres!$A$1:$I$89,5,0)</f>
        <v>1.8444552551954985E-13</v>
      </c>
      <c r="DQ114" s="14">
        <f t="shared" si="97"/>
        <v>2.580317449479618E-12</v>
      </c>
      <c r="DR114" s="22">
        <f t="shared" si="70"/>
        <v>4.8152955147902165E-12</v>
      </c>
      <c r="DS114" s="62">
        <f t="shared" si="71"/>
        <v>293.33333333333815</v>
      </c>
      <c r="DT114" s="62">
        <f ca="1">AVERAGE(OFFSET($DS$3,0,0,'Données projet'!$E$14+1,1))-AVERAGE(OFFSET($H$3,0,0,'Données projet'!$E$14+1,1))</f>
        <v>223.63222290670075</v>
      </c>
      <c r="DU114" s="62">
        <f t="shared" si="98"/>
        <v>290.02663909417248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27.688558525757767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2.0080537574160983E-6</v>
      </c>
      <c r="ED114" s="24">
        <f t="shared" si="72"/>
        <v>27.688560533811525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393.581186554449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192.24617268603629</v>
      </c>
      <c r="T115" s="62">
        <f t="shared" si="88"/>
        <v>192.48585280662832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31.418701294897897</v>
      </c>
      <c r="AA115" s="23">
        <f>EXP(-LN(2)/25)*AA114+(1-EXP(-LN(2)/25))/(LN(2)/25)*Calculateur!V115*Calculateur!X115*VLOOKUP('Données projet'!$B$9,Paramètres!$A$1:$I$89,3,0)*0.475*44/12</f>
        <v>7.4978710622711828</v>
      </c>
      <c r="AB115" s="23">
        <f>EXP(-LN(2)/2)*AB114+(1-EXP(-LN(2)/2))/(LN(2)/2)*V115*Y115*VLOOKUP('Données projet'!$B$9,Paramètres!$A$1:$I$89,3,0)*0.475*44/12</f>
        <v>6.2535065736261007E-7</v>
      </c>
      <c r="AC115" s="24">
        <f t="shared" si="57"/>
        <v>38.916572982519739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1.9999999998958629E-3</v>
      </c>
      <c r="AJ115" s="14">
        <f>AI115*VLOOKUP('Données projet'!$B$10,Paramètres!$A$1:$I$89,3,0)*VLOOKUP('Données projet'!$B$10,Paramètres!$A$1:$I$89,5,0)</f>
        <v>1.195999999937726E-3</v>
      </c>
      <c r="AK115" s="14">
        <f t="shared" si="89"/>
        <v>1.2062444695752218E-3</v>
      </c>
      <c r="AL115" s="22">
        <f t="shared" si="58"/>
        <v>4.1839091177350513E-3</v>
      </c>
      <c r="AM115" s="62">
        <f t="shared" si="59"/>
        <v>293.33751724245104</v>
      </c>
      <c r="AN115" s="62">
        <f ca="1">AVERAGE(OFFSET($AM$3,0,0,'Données projet'!$E$10+1,1))-AVERAGE(OFFSET($H$3,0,0,'Données projet'!$E$10+1,1))</f>
        <v>164.64952352018145</v>
      </c>
      <c r="AO115" s="62">
        <f t="shared" si="90"/>
        <v>280.08682720086921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15.711903090301192</v>
      </c>
      <c r="AV115" s="23">
        <f>EXP(-LN(2)/25)*AV114+(1-EXP(-LN(2)/25))/(LN(2)/25)*Calculateur!AQ115*Calculateur!AS115*VLOOKUP('Données projet'!$B$10,Paramètres!$A$1:$I$89,3,0)*0.475*44/12</f>
        <v>3.3116009432073135</v>
      </c>
      <c r="AW115" s="23">
        <f>EXP(-LN(2)/2)*AW114+(1-EXP(-LN(2)/2))/(LN(2)/2)*AQ115*AT115*VLOOKUP('Données projet'!$B$10,Paramètres!$A$1:$I$89,3,0)*0.475*44/12</f>
        <v>2.4657450918542597E-10</v>
      </c>
      <c r="AX115" s="23">
        <f t="shared" si="60"/>
        <v>19.023504033755081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8.5</v>
      </c>
      <c r="BD115" s="13">
        <f>IF('Données projet'!$A$88&gt;35,BD114+BC115-BL114,IF(A115&lt;'Données projet'!$A$88,$BA$205^A115,IF(A115='Données projet'!$A$88,'Données projet'!$B$88,BD114+BC115-BL114)))</f>
        <v>347.4799999999999</v>
      </c>
      <c r="BE115" s="14">
        <f>BD115*VLOOKUP('Données projet'!$B$11,Paramètres!$A$1:$I$89,3,0)*VLOOKUP('Données projet'!$B$11,Paramètres!$A$1:$I$89,5,0)</f>
        <v>292.71715199999994</v>
      </c>
      <c r="BF115" s="14">
        <f t="shared" si="91"/>
        <v>69.647521932218538</v>
      </c>
      <c r="BG115" s="22">
        <f t="shared" si="61"/>
        <v>631.11847376528044</v>
      </c>
      <c r="BH115" s="62">
        <f t="shared" si="62"/>
        <v>924.4518070986137</v>
      </c>
      <c r="BI115" s="62">
        <f ca="1">AVERAGE(OFFSET($BH$3,0,0,'Données projet'!$E$11+1,1))-AVERAGE(OFFSET($H$3,0,0,'Données projet'!$E$11+1,1))</f>
        <v>339.58585574836434</v>
      </c>
      <c r="BJ115" s="62">
        <f t="shared" si="92"/>
        <v>42.267525972379588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38.087651184954019</v>
      </c>
      <c r="BQ115" s="23">
        <f>EXP(-LN(2)/25)*BQ114+(1-EXP(-LN(2)/25))/(LN(2)/25)*Calculateur!BL115*Calculateur!BN115*VLOOKUP('Données projet'!$B$11,Paramètres!$A$1:$I$89,3,0)*0.475*44/12</f>
        <v>7.0602824876176964</v>
      </c>
      <c r="BR115" s="23">
        <f>EXP(-LN(2)/2)*BR114+(1-EXP(-LN(2)/2))/(LN(2)/2)*BL115*BO115*VLOOKUP('Données projet'!$B$11,Paramètres!$A$1:$I$89,3,0)*0.475*44/12</f>
        <v>1.4214154924889241E-7</v>
      </c>
      <c r="BS115" s="24">
        <f t="shared" si="63"/>
        <v>45.147933814713269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>
        <f>BY115*VLOOKUP('Données projet'!$B$12,Paramètres!$A$1:$I$89,3,0)*VLOOKUP('Données projet'!$B$12,Paramètres!$A$1:$I$89,5,0)</f>
        <v>0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112.34884104798977</v>
      </c>
      <c r="CE115" s="62">
        <f t="shared" si="94"/>
        <v>18.665658139749326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67.566050637167464</v>
      </c>
      <c r="CL115" s="23">
        <f>EXP(-LN(2)/25)*CL114+(1-EXP(-LN(2)/25))/(LN(2)/25)*Calculateur!CG115*Calculateur!CI115*VLOOKUP('Données projet'!$B$12,Paramètres!$A$1:$I$89,3,0)*0.475*44/12</f>
        <v>4.855237084598083</v>
      </c>
      <c r="CM115" s="23">
        <f>EXP(-LN(2)/2)*CM114+(1-EXP(-LN(2)/2))/(LN(2)/2)*CG115*CJ115*VLOOKUP('Données projet'!$B$12,Paramètres!$A$1:$I$89,3,0)*0.475*44/12</f>
        <v>1.8093375725460417E-9</v>
      </c>
      <c r="CN115" s="24">
        <f t="shared" si="66"/>
        <v>72.421287723574892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-1.1368683772161603E-13</v>
      </c>
      <c r="CU115" s="18">
        <f>CT115*VLOOKUP('Données projet'!$B$13,Paramètres!$A$1:$I$89,3,0)*VLOOKUP('Données projet'!$B$13,Paramètres!$A$1:$I$89,5,0)</f>
        <v>-1.2414602679200469E-13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205.21073681197737</v>
      </c>
      <c r="CZ115" s="62">
        <f t="shared" si="96"/>
        <v>175.16446313750316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25.492325309501677</v>
      </c>
      <c r="DG115" s="23">
        <f>EXP(-LN(2)/25)*DG114+(1-EXP(-LN(2)/25))/(LN(2)/25)*Calculateur!DB115*Calculateur!DD115*VLOOKUP('Données projet'!$B$13,Paramètres!$A$1:$I$89,3,0)*0.475*44/12</f>
        <v>7.5047508505745721</v>
      </c>
      <c r="DH115" s="23">
        <f>EXP(-LN(2)/2)*DH114+(1-EXP(-LN(2)/2))/(LN(2)/2)*DB115*DE115*VLOOKUP('Données projet'!$B$13,Paramètres!$A$1:$I$89,3,0)*0.475*44/12</f>
        <v>1.6166851849161835E-9</v>
      </c>
      <c r="DI115" s="24">
        <f t="shared" si="69"/>
        <v>32.997076161692931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2.2737367544323206E-13</v>
      </c>
      <c r="DP115" s="18">
        <f>DO115*VLOOKUP('Données projet'!$B$14,Paramètres!$A$1:$I$89,3,0)*VLOOKUP('Données projet'!$B$14,Paramètres!$A$1:$I$89,5,0)</f>
        <v>1.8444552551954985E-13</v>
      </c>
      <c r="DQ115" s="14">
        <f t="shared" si="97"/>
        <v>2.580317449479618E-12</v>
      </c>
      <c r="DR115" s="22">
        <f t="shared" si="70"/>
        <v>4.8152955147902165E-12</v>
      </c>
      <c r="DS115" s="62">
        <f t="shared" si="71"/>
        <v>293.33333333333815</v>
      </c>
      <c r="DT115" s="62">
        <f ca="1">AVERAGE(OFFSET($DS$3,0,0,'Données projet'!$E$14+1,1))-AVERAGE(OFFSET($H$3,0,0,'Données projet'!$E$14+1,1))</f>
        <v>223.63222290670075</v>
      </c>
      <c r="DU115" s="62">
        <f t="shared" si="98"/>
        <v>290.02663909417248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27.14560278142077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1.4199084288560496E-6</v>
      </c>
      <c r="ED115" s="24">
        <f t="shared" si="72"/>
        <v>27.145604201329199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394.77191065107274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192.24617268603629</v>
      </c>
      <c r="T116" s="62">
        <f t="shared" si="88"/>
        <v>192.48585280662832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30.8025997260205</v>
      </c>
      <c r="AA116" s="23">
        <f>EXP(-LN(2)/25)*AA115+(1-EXP(-LN(2)/25))/(LN(2)/25)*Calculateur!V116*Calculateur!X116*VLOOKUP('Données projet'!$B$9,Paramètres!$A$1:$I$89,3,0)*0.475*44/12</f>
        <v>7.2928413837774748</v>
      </c>
      <c r="AB116" s="23">
        <f>EXP(-LN(2)/2)*AB115+(1-EXP(-LN(2)/2))/(LN(2)/2)*V116*Y116*VLOOKUP('Données projet'!$B$9,Paramètres!$A$1:$I$89,3,0)*0.475*44/12</f>
        <v>4.4218969044056678E-7</v>
      </c>
      <c r="AC116" s="24">
        <f t="shared" si="57"/>
        <v>38.095441551987662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1.9999999998958629E-3</v>
      </c>
      <c r="AJ116" s="14">
        <f>AI116*VLOOKUP('Données projet'!$B$10,Paramètres!$A$1:$I$89,3,0)*VLOOKUP('Données projet'!$B$10,Paramètres!$A$1:$I$89,5,0)</f>
        <v>1.195999999937726E-3</v>
      </c>
      <c r="AK116" s="14">
        <f t="shared" si="89"/>
        <v>1.2062444695752218E-3</v>
      </c>
      <c r="AL116" s="22">
        <f t="shared" si="58"/>
        <v>4.1839091177350513E-3</v>
      </c>
      <c r="AM116" s="62">
        <f t="shared" si="59"/>
        <v>293.33751724245104</v>
      </c>
      <c r="AN116" s="62">
        <f ca="1">AVERAGE(OFFSET($AM$3,0,0,'Données projet'!$E$10+1,1))-AVERAGE(OFFSET($H$3,0,0,'Données projet'!$E$10+1,1))</f>
        <v>164.64952352018145</v>
      </c>
      <c r="AO116" s="62">
        <f t="shared" si="90"/>
        <v>280.08682720086921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15.403802254014996</v>
      </c>
      <c r="AV116" s="23">
        <f>EXP(-LN(2)/25)*AV115+(1-EXP(-LN(2)/25))/(LN(2)/25)*Calculateur!AQ116*Calculateur!AS116*VLOOKUP('Données projet'!$B$10,Paramètres!$A$1:$I$89,3,0)*0.475*44/12</f>
        <v>3.2210450412657847</v>
      </c>
      <c r="AW116" s="23">
        <f>EXP(-LN(2)/2)*AW115+(1-EXP(-LN(2)/2))/(LN(2)/2)*AQ116*AT116*VLOOKUP('Données projet'!$B$10,Paramètres!$A$1:$I$89,3,0)*0.475*44/12</f>
        <v>1.7435450751275936E-10</v>
      </c>
      <c r="AX116" s="23">
        <f t="shared" si="60"/>
        <v>18.624847295455133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8.5</v>
      </c>
      <c r="BD116" s="13">
        <f>IF('Données projet'!$A$88&gt;35,BD115+BC116-BL115,IF(A116&lt;'Données projet'!$A$88,$BA$205^A116,IF(A116='Données projet'!$A$88,'Données projet'!$B$88,BD115+BC116-BL115)))</f>
        <v>355.9799999999999</v>
      </c>
      <c r="BE116" s="14">
        <f>BD116*VLOOKUP('Données projet'!$B$11,Paramètres!$A$1:$I$89,3,0)*VLOOKUP('Données projet'!$B$11,Paramètres!$A$1:$I$89,5,0)</f>
        <v>299.87755199999998</v>
      </c>
      <c r="BF116" s="14">
        <f t="shared" si="91"/>
        <v>71.150793061732159</v>
      </c>
      <c r="BG116" s="22">
        <f t="shared" si="61"/>
        <v>646.20770098251671</v>
      </c>
      <c r="BH116" s="62">
        <f t="shared" si="62"/>
        <v>939.54103431585008</v>
      </c>
      <c r="BI116" s="62">
        <f ca="1">AVERAGE(OFFSET($BH$3,0,0,'Données projet'!$E$11+1,1))-AVERAGE(OFFSET($H$3,0,0,'Données projet'!$E$11+1,1))</f>
        <v>339.58585574836434</v>
      </c>
      <c r="BJ116" s="62">
        <f t="shared" si="92"/>
        <v>42.267525972379588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37.340775576390406</v>
      </c>
      <c r="BQ116" s="23">
        <f>EXP(-LN(2)/25)*BQ115+(1-EXP(-LN(2)/25))/(LN(2)/25)*Calculateur!BL116*Calculateur!BN116*VLOOKUP('Données projet'!$B$11,Paramètres!$A$1:$I$89,3,0)*0.475*44/12</f>
        <v>6.8672186917096711</v>
      </c>
      <c r="BR116" s="23">
        <f>EXP(-LN(2)/2)*BR115+(1-EXP(-LN(2)/2))/(LN(2)/2)*BL116*BO116*VLOOKUP('Données projet'!$B$11,Paramètres!$A$1:$I$89,3,0)*0.475*44/12</f>
        <v>1.0050925336225343E-7</v>
      </c>
      <c r="BS116" s="24">
        <f t="shared" si="63"/>
        <v>44.207994368609334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>
        <f>BY116*VLOOKUP('Données projet'!$B$12,Paramètres!$A$1:$I$89,3,0)*VLOOKUP('Données projet'!$B$12,Paramètres!$A$1:$I$89,5,0)</f>
        <v>0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112.34884104798977</v>
      </c>
      <c r="CE116" s="62">
        <f t="shared" si="94"/>
        <v>18.665658139749326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66.241121595394233</v>
      </c>
      <c r="CL116" s="23">
        <f>EXP(-LN(2)/25)*CL115+(1-EXP(-LN(2)/25))/(LN(2)/25)*Calculateur!CG116*Calculateur!CI116*VLOOKUP('Données projet'!$B$12,Paramètres!$A$1:$I$89,3,0)*0.475*44/12</f>
        <v>4.7224703711939267</v>
      </c>
      <c r="CM116" s="23">
        <f>EXP(-LN(2)/2)*CM115+(1-EXP(-LN(2)/2))/(LN(2)/2)*CG116*CJ116*VLOOKUP('Données projet'!$B$12,Paramètres!$A$1:$I$89,3,0)*0.475*44/12</f>
        <v>1.2793948670029129E-9</v>
      </c>
      <c r="CN116" s="24">
        <f t="shared" si="66"/>
        <v>70.963591967867544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-1.1368683772161603E-13</v>
      </c>
      <c r="CU116" s="18">
        <f>CT116*VLOOKUP('Données projet'!$B$13,Paramètres!$A$1:$I$89,3,0)*VLOOKUP('Données projet'!$B$13,Paramètres!$A$1:$I$89,5,0)</f>
        <v>-1.2414602679200469E-13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205.21073681197737</v>
      </c>
      <c r="CZ116" s="62">
        <f t="shared" si="96"/>
        <v>175.16446313750316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24.992436358965474</v>
      </c>
      <c r="DG116" s="23">
        <f>EXP(-LN(2)/25)*DG115+(1-EXP(-LN(2)/25))/(LN(2)/25)*Calculateur!DB116*Calculateur!DD116*VLOOKUP('Données projet'!$B$13,Paramètres!$A$1:$I$89,3,0)*0.475*44/12</f>
        <v>7.2995330439079158</v>
      </c>
      <c r="DH116" s="23">
        <f>EXP(-LN(2)/2)*DH115+(1-EXP(-LN(2)/2))/(LN(2)/2)*DB116*DE116*VLOOKUP('Données projet'!$B$13,Paramètres!$A$1:$I$89,3,0)*0.475*44/12</f>
        <v>1.1431690572980609E-9</v>
      </c>
      <c r="DI116" s="24">
        <f t="shared" si="69"/>
        <v>32.291969404016562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2.2737367544323206E-13</v>
      </c>
      <c r="DP116" s="18">
        <f>DO116*VLOOKUP('Données projet'!$B$14,Paramètres!$A$1:$I$89,3,0)*VLOOKUP('Données projet'!$B$14,Paramètres!$A$1:$I$89,5,0)</f>
        <v>1.8444552551954985E-13</v>
      </c>
      <c r="DQ116" s="14">
        <f t="shared" si="97"/>
        <v>2.580317449479618E-12</v>
      </c>
      <c r="DR116" s="22">
        <f t="shared" si="70"/>
        <v>4.8152955147902165E-12</v>
      </c>
      <c r="DS116" s="62">
        <f t="shared" si="71"/>
        <v>293.33333333333815</v>
      </c>
      <c r="DT116" s="62">
        <f ca="1">AVERAGE(OFFSET($DS$3,0,0,'Données projet'!$E$14+1,1))-AVERAGE(OFFSET($H$3,0,0,'Données projet'!$E$14+1,1))</f>
        <v>223.63222290670075</v>
      </c>
      <c r="DU116" s="62">
        <f t="shared" si="98"/>
        <v>290.02663909417248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26.613294068059918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1.0040268787080492E-6</v>
      </c>
      <c r="ED116" s="24">
        <f t="shared" si="72"/>
        <v>26.613295072086796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395.96238788291635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192.24617268603629</v>
      </c>
      <c r="T117" s="62">
        <f t="shared" si="88"/>
        <v>192.48585280662832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30.198579533123937</v>
      </c>
      <c r="AA117" s="23">
        <f>EXP(-LN(2)/25)*AA116+(1-EXP(-LN(2)/25))/(LN(2)/25)*Calculateur!V117*Calculateur!X117*VLOOKUP('Données projet'!$B$9,Paramètres!$A$1:$I$89,3,0)*0.475*44/12</f>
        <v>7.0934182526242191</v>
      </c>
      <c r="AB117" s="23">
        <f>EXP(-LN(2)/2)*AB116+(1-EXP(-LN(2)/2))/(LN(2)/2)*V117*Y117*VLOOKUP('Données projet'!$B$9,Paramètres!$A$1:$I$89,3,0)*0.475*44/12</f>
        <v>3.1267532868130503E-7</v>
      </c>
      <c r="AC117" s="24">
        <f t="shared" si="57"/>
        <v>37.291998098423484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1.9999999998958629E-3</v>
      </c>
      <c r="AJ117" s="14">
        <f>AI117*VLOOKUP('Données projet'!$B$10,Paramètres!$A$1:$I$89,3,0)*VLOOKUP('Données projet'!$B$10,Paramètres!$A$1:$I$89,5,0)</f>
        <v>1.195999999937726E-3</v>
      </c>
      <c r="AK117" s="14">
        <f t="shared" si="89"/>
        <v>1.2062444695752218E-3</v>
      </c>
      <c r="AL117" s="22">
        <f t="shared" si="58"/>
        <v>4.1839091177350513E-3</v>
      </c>
      <c r="AM117" s="62">
        <f t="shared" si="59"/>
        <v>293.33751724245104</v>
      </c>
      <c r="AN117" s="62">
        <f ca="1">AVERAGE(OFFSET($AM$3,0,0,'Données projet'!$E$10+1,1))-AVERAGE(OFFSET($H$3,0,0,'Données projet'!$E$10+1,1))</f>
        <v>164.64952352018145</v>
      </c>
      <c r="AO117" s="62">
        <f t="shared" si="90"/>
        <v>280.08682720086921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15.101743087205419</v>
      </c>
      <c r="AV117" s="23">
        <f>EXP(-LN(2)/25)*AV116+(1-EXP(-LN(2)/25))/(LN(2)/25)*Calculateur!AQ117*Calculateur!AS117*VLOOKUP('Données projet'!$B$10,Paramètres!$A$1:$I$89,3,0)*0.475*44/12</f>
        <v>3.132965395224975</v>
      </c>
      <c r="AW117" s="23">
        <f>EXP(-LN(2)/2)*AW116+(1-EXP(-LN(2)/2))/(LN(2)/2)*AQ117*AT117*VLOOKUP('Données projet'!$B$10,Paramètres!$A$1:$I$89,3,0)*0.475*44/12</f>
        <v>1.2328725459271298E-10</v>
      </c>
      <c r="AX117" s="23">
        <f t="shared" si="60"/>
        <v>18.234708482553678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>
        <f>VLOOKUP(A117,'Données projet'!$A$87:$I$107,2,0)</f>
        <v>364.48</v>
      </c>
      <c r="BB117" s="13">
        <f>VLOOKUP(A117,'Données projet'!$A$87:$I$107,9,0)</f>
        <v>8.5</v>
      </c>
      <c r="BC117" s="13">
        <f t="array" ref="BC117">INDEX(BB:BB,MIN(IF(ISNUMBER(BB117:BB313),ROW(BB117:BB313),"")))</f>
        <v>8.5</v>
      </c>
      <c r="BD117" s="13">
        <f>IF('Données projet'!$A$88&gt;35,BD116+BC117-BL116,IF(A117&lt;'Données projet'!$A$88,$BA$205^A117,IF(A117='Données projet'!$A$88,'Données projet'!$B$88,BD116+BC117-BL116)))</f>
        <v>364.4799999999999</v>
      </c>
      <c r="BE117" s="14">
        <f>BD117*VLOOKUP('Données projet'!$B$11,Paramètres!$A$1:$I$89,3,0)*VLOOKUP('Données projet'!$B$11,Paramètres!$A$1:$I$89,5,0)</f>
        <v>307.03795199999996</v>
      </c>
      <c r="BF117" s="14">
        <f t="shared" si="91"/>
        <v>72.649891426990237</v>
      </c>
      <c r="BG117" s="22">
        <f t="shared" si="61"/>
        <v>661.28966063534119</v>
      </c>
      <c r="BH117" s="62">
        <f t="shared" si="62"/>
        <v>954.62299396867456</v>
      </c>
      <c r="BI117" s="62">
        <f ca="1">AVERAGE(OFFSET($BH$3,0,0,'Données projet'!$E$11+1,1))-AVERAGE(OFFSET($H$3,0,0,'Données projet'!$E$11+1,1))</f>
        <v>339.58585574836434</v>
      </c>
      <c r="BJ117" s="62">
        <f t="shared" si="92"/>
        <v>42.267525972379588</v>
      </c>
      <c r="BK117" s="16">
        <f>IF(ISNA(VLOOKUP(A117,'Données projet'!$A$87:$I$107,3,0)),0,VLOOKUP(A117,'Données projet'!$A$87:$I$107,3,0))</f>
        <v>14</v>
      </c>
      <c r="BL117" s="16">
        <f>IF(ISNA(VLOOKUP(A117,'Données projet'!$A$87:$I$107,4,0)),0,VLOOKUP(A117,'Données projet'!$A$87:$I$107,4,0))</f>
        <v>56.28</v>
      </c>
      <c r="BM117" s="17">
        <f>IF(ISNA(VLOOKUP(A117,'Données projet'!$A$87:$I$107,5,0)),0%,VLOOKUP(A117,'Données projet'!$A$87:$I$107,5,0)*VLOOKUP('Données projet'!$B$11,Paramètres!$A$1:$I$89,7,0))</f>
        <v>0.34400000000000003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54.637809818232128</v>
      </c>
      <c r="BQ117" s="23">
        <f>EXP(-LN(2)/25)*BQ116+(1-EXP(-LN(2)/25))/(LN(2)/25)*Calculateur!BL117*Calculateur!BN117*VLOOKUP('Données projet'!$B$11,Paramètres!$A$1:$I$89,3,0)*0.475*44/12</f>
        <v>6.6794342354535345</v>
      </c>
      <c r="BR117" s="23">
        <f>EXP(-LN(2)/2)*BR116+(1-EXP(-LN(2)/2))/(LN(2)/2)*BL117*BO117*VLOOKUP('Données projet'!$B$11,Paramètres!$A$1:$I$89,3,0)*0.475*44/12</f>
        <v>7.1070774624446204E-8</v>
      </c>
      <c r="BS117" s="24">
        <f t="shared" si="63"/>
        <v>61.317244124756435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>
        <f>BY117*VLOOKUP('Données projet'!$B$12,Paramètres!$A$1:$I$89,3,0)*VLOOKUP('Données projet'!$B$12,Paramètres!$A$1:$I$89,5,0)</f>
        <v>0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112.34884104798977</v>
      </c>
      <c r="CE117" s="62">
        <f t="shared" si="94"/>
        <v>18.665658139749326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64.942173604003244</v>
      </c>
      <c r="CL117" s="23">
        <f>EXP(-LN(2)/25)*CL116+(1-EXP(-LN(2)/25))/(LN(2)/25)*Calculateur!CG117*Calculateur!CI117*VLOOKUP('Données projet'!$B$12,Paramètres!$A$1:$I$89,3,0)*0.475*44/12</f>
        <v>4.5933341705497055</v>
      </c>
      <c r="CM117" s="23">
        <f>EXP(-LN(2)/2)*CM116+(1-EXP(-LN(2)/2))/(LN(2)/2)*CG117*CJ117*VLOOKUP('Données projet'!$B$12,Paramètres!$A$1:$I$89,3,0)*0.475*44/12</f>
        <v>9.0466878627302083E-10</v>
      </c>
      <c r="CN117" s="24">
        <f t="shared" si="66"/>
        <v>69.535507775457617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-1.1368683772161603E-13</v>
      </c>
      <c r="CU117" s="18">
        <f>CT117*VLOOKUP('Données projet'!$B$13,Paramètres!$A$1:$I$89,3,0)*VLOOKUP('Données projet'!$B$13,Paramètres!$A$1:$I$89,5,0)</f>
        <v>-1.2414602679200469E-13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205.21073681197737</v>
      </c>
      <c r="CZ117" s="62">
        <f t="shared" si="96"/>
        <v>175.16446313750316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24.502349925847131</v>
      </c>
      <c r="DG117" s="23">
        <f>EXP(-LN(2)/25)*DG116+(1-EXP(-LN(2)/25))/(LN(2)/25)*Calculateur!DB117*Calculateur!DD117*VLOOKUP('Données projet'!$B$13,Paramètres!$A$1:$I$89,3,0)*0.475*44/12</f>
        <v>7.0999269289564948</v>
      </c>
      <c r="DH117" s="23">
        <f>EXP(-LN(2)/2)*DH116+(1-EXP(-LN(2)/2))/(LN(2)/2)*DB117*DE117*VLOOKUP('Données projet'!$B$13,Paramètres!$A$1:$I$89,3,0)*0.475*44/12</f>
        <v>8.0834259245809176E-10</v>
      </c>
      <c r="DI117" s="24">
        <f t="shared" si="69"/>
        <v>31.602276855611969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2.2737367544323206E-13</v>
      </c>
      <c r="DP117" s="18">
        <f>DO117*VLOOKUP('Données projet'!$B$14,Paramètres!$A$1:$I$89,3,0)*VLOOKUP('Données projet'!$B$14,Paramètres!$A$1:$I$89,5,0)</f>
        <v>1.8444552551954985E-13</v>
      </c>
      <c r="DQ117" s="14">
        <f t="shared" si="97"/>
        <v>2.580317449479618E-12</v>
      </c>
      <c r="DR117" s="22">
        <f t="shared" si="70"/>
        <v>4.8152955147902165E-12</v>
      </c>
      <c r="DS117" s="62">
        <f t="shared" si="71"/>
        <v>293.33333333333815</v>
      </c>
      <c r="DT117" s="62">
        <f ca="1">AVERAGE(OFFSET($DS$3,0,0,'Données projet'!$E$14+1,1))-AVERAGE(OFFSET($H$3,0,0,'Données projet'!$E$14+1,1))</f>
        <v>223.63222290670075</v>
      </c>
      <c r="DU117" s="62">
        <f t="shared" si="98"/>
        <v>290.02663909417248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26.091423603891819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7.0995421442802482E-7</v>
      </c>
      <c r="ED117" s="24">
        <f t="shared" si="72"/>
        <v>26.091424313846034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397.15262066635069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192.24617268603629</v>
      </c>
      <c r="T118" s="62">
        <f t="shared" si="88"/>
        <v>192.48585280662832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29.606403807794134</v>
      </c>
      <c r="AA118" s="23">
        <f>EXP(-LN(2)/25)*AA117+(1-EXP(-LN(2)/25))/(LN(2)/25)*Calculateur!V118*Calculateur!X118*VLOOKUP('Données projet'!$B$9,Paramètres!$A$1:$I$89,3,0)*0.475*44/12</f>
        <v>6.8994483574795558</v>
      </c>
      <c r="AB118" s="23">
        <f>EXP(-LN(2)/2)*AB117+(1-EXP(-LN(2)/2))/(LN(2)/2)*V118*Y118*VLOOKUP('Données projet'!$B$9,Paramètres!$A$1:$I$89,3,0)*0.475*44/12</f>
        <v>2.2109484522028339E-7</v>
      </c>
      <c r="AC118" s="24">
        <f t="shared" si="57"/>
        <v>36.505852386368531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1.9999999998958629E-3</v>
      </c>
      <c r="AJ118" s="14">
        <f>AI118*VLOOKUP('Données projet'!$B$10,Paramètres!$A$1:$I$89,3,0)*VLOOKUP('Données projet'!$B$10,Paramètres!$A$1:$I$89,5,0)</f>
        <v>1.195999999937726E-3</v>
      </c>
      <c r="AK118" s="14">
        <f t="shared" si="89"/>
        <v>1.2062444695752218E-3</v>
      </c>
      <c r="AL118" s="22">
        <f t="shared" si="58"/>
        <v>4.1839091177350513E-3</v>
      </c>
      <c r="AM118" s="62">
        <f t="shared" si="59"/>
        <v>293.33751724245104</v>
      </c>
      <c r="AN118" s="62">
        <f ca="1">AVERAGE(OFFSET($AM$3,0,0,'Données projet'!$E$10+1,1))-AVERAGE(OFFSET($H$3,0,0,'Données projet'!$E$10+1,1))</f>
        <v>164.64952352018145</v>
      </c>
      <c r="AO118" s="62">
        <f t="shared" si="90"/>
        <v>280.08682720086921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14.805607116419077</v>
      </c>
      <c r="AV118" s="23">
        <f>EXP(-LN(2)/25)*AV117+(1-EXP(-LN(2)/25))/(LN(2)/25)*Calculateur!AQ118*Calculateur!AS118*VLOOKUP('Données projet'!$B$10,Paramètres!$A$1:$I$89,3,0)*0.475*44/12</f>
        <v>3.0472942917370585</v>
      </c>
      <c r="AW118" s="23">
        <f>EXP(-LN(2)/2)*AW117+(1-EXP(-LN(2)/2))/(LN(2)/2)*AQ118*AT118*VLOOKUP('Données projet'!$B$10,Paramètres!$A$1:$I$89,3,0)*0.475*44/12</f>
        <v>8.7177253756379678E-11</v>
      </c>
      <c r="AX118" s="23">
        <f t="shared" si="60"/>
        <v>17.852901408243312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9.9699999999999989</v>
      </c>
      <c r="BD118" s="13">
        <f>IF('Données projet'!$A$88&gt;35,BD117+BC118-BL117,IF(A118&lt;'Données projet'!$A$88,$BA$205^A118,IF(A118='Données projet'!$A$88,'Données projet'!$B$88,BD117+BC118-BL117)))</f>
        <v>318.16999999999996</v>
      </c>
      <c r="BE118" s="14">
        <f>BD118*VLOOKUP('Données projet'!$B$11,Paramètres!$A$1:$I$89,3,0)*VLOOKUP('Données projet'!$B$11,Paramètres!$A$1:$I$89,5,0)</f>
        <v>268.02640799999995</v>
      </c>
      <c r="BF118" s="14">
        <f t="shared" si="91"/>
        <v>64.430244583803841</v>
      </c>
      <c r="BG118" s="22">
        <f t="shared" si="61"/>
        <v>579.02866991679161</v>
      </c>
      <c r="BH118" s="62">
        <f t="shared" si="62"/>
        <v>872.36200325012487</v>
      </c>
      <c r="BI118" s="62">
        <f ca="1">AVERAGE(OFFSET($BH$3,0,0,'Données projet'!$E$11+1,1))-AVERAGE(OFFSET($H$3,0,0,'Données projet'!$E$11+1,1))</f>
        <v>339.58585574836434</v>
      </c>
      <c r="BJ118" s="62">
        <f t="shared" si="92"/>
        <v>42.267525972379588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53.566395693469936</v>
      </c>
      <c r="BQ118" s="23">
        <f>EXP(-LN(2)/25)*BQ117+(1-EXP(-LN(2)/25))/(LN(2)/25)*Calculateur!BL118*Calculateur!BN118*VLOOKUP('Données projet'!$B$11,Paramètres!$A$1:$I$89,3,0)*0.475*44/12</f>
        <v>6.4967847550288775</v>
      </c>
      <c r="BR118" s="23">
        <f>EXP(-LN(2)/2)*BR117+(1-EXP(-LN(2)/2))/(LN(2)/2)*BL118*BO118*VLOOKUP('Données projet'!$B$11,Paramètres!$A$1:$I$89,3,0)*0.475*44/12</f>
        <v>5.0254626681126717E-8</v>
      </c>
      <c r="BS118" s="24">
        <f t="shared" si="63"/>
        <v>60.063180498753439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>
        <f>BY118*VLOOKUP('Données projet'!$B$12,Paramètres!$A$1:$I$89,3,0)*VLOOKUP('Données projet'!$B$12,Paramètres!$A$1:$I$89,5,0)</f>
        <v>0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112.34884104798977</v>
      </c>
      <c r="CE118" s="62">
        <f t="shared" si="94"/>
        <v>18.665658139749326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63.668697190443396</v>
      </c>
      <c r="CL118" s="23">
        <f>EXP(-LN(2)/25)*CL117+(1-EXP(-LN(2)/25))/(LN(2)/25)*Calculateur!CG118*Calculateur!CI118*VLOOKUP('Données projet'!$B$12,Paramètres!$A$1:$I$89,3,0)*0.475*44/12</f>
        <v>4.467729206103078</v>
      </c>
      <c r="CM118" s="23">
        <f>EXP(-LN(2)/2)*CM117+(1-EXP(-LN(2)/2))/(LN(2)/2)*CG118*CJ118*VLOOKUP('Données projet'!$B$12,Paramètres!$A$1:$I$89,3,0)*0.475*44/12</f>
        <v>6.3969743350145646E-10</v>
      </c>
      <c r="CN118" s="24">
        <f t="shared" si="66"/>
        <v>68.13642639718617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-1.1368683772161603E-13</v>
      </c>
      <c r="CU118" s="18">
        <f>CT118*VLOOKUP('Données projet'!$B$13,Paramètres!$A$1:$I$89,3,0)*VLOOKUP('Données projet'!$B$13,Paramètres!$A$1:$I$89,5,0)</f>
        <v>-1.2414602679200469E-13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205.21073681197737</v>
      </c>
      <c r="CZ118" s="62">
        <f t="shared" si="96"/>
        <v>175.16446313750316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24.021873788759031</v>
      </c>
      <c r="DG118" s="23">
        <f>EXP(-LN(2)/25)*DG117+(1-EXP(-LN(2)/25))/(LN(2)/25)*Calculateur!DB118*Calculateur!DD118*VLOOKUP('Données projet'!$B$13,Paramètres!$A$1:$I$89,3,0)*0.475*44/12</f>
        <v>6.905779053715249</v>
      </c>
      <c r="DH118" s="23">
        <f>EXP(-LN(2)/2)*DH117+(1-EXP(-LN(2)/2))/(LN(2)/2)*DB118*DE118*VLOOKUP('Données projet'!$B$13,Paramètres!$A$1:$I$89,3,0)*0.475*44/12</f>
        <v>5.7158452864903045E-10</v>
      </c>
      <c r="DI118" s="24">
        <f t="shared" si="69"/>
        <v>30.927652843045866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2.2737367544323206E-13</v>
      </c>
      <c r="DP118" s="18">
        <f>DO118*VLOOKUP('Données projet'!$B$14,Paramètres!$A$1:$I$89,3,0)*VLOOKUP('Données projet'!$B$14,Paramètres!$A$1:$I$89,5,0)</f>
        <v>1.8444552551954985E-13</v>
      </c>
      <c r="DQ118" s="14">
        <f t="shared" si="97"/>
        <v>2.580317449479618E-12</v>
      </c>
      <c r="DR118" s="22">
        <f t="shared" si="70"/>
        <v>4.8152955147902165E-12</v>
      </c>
      <c r="DS118" s="62">
        <f t="shared" si="71"/>
        <v>293.33333333333815</v>
      </c>
      <c r="DT118" s="62">
        <f ca="1">AVERAGE(OFFSET($DS$3,0,0,'Données projet'!$E$14+1,1))-AVERAGE(OFFSET($H$3,0,0,'Données projet'!$E$14+1,1))</f>
        <v>223.63222290670075</v>
      </c>
      <c r="DU118" s="62">
        <f t="shared" si="98"/>
        <v>290.02663909417248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25.579786701216502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5.0201343935402458E-7</v>
      </c>
      <c r="ED118" s="24">
        <f t="shared" si="72"/>
        <v>25.579787203229941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398.34261137329793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192.24617268603629</v>
      </c>
      <c r="T119" s="62">
        <f t="shared" si="88"/>
        <v>192.48585280662832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29.025840287246524</v>
      </c>
      <c r="AA119" s="23">
        <f>EXP(-LN(2)/25)*AA118+(1-EXP(-LN(2)/25))/(LN(2)/25)*Calculateur!V119*Calculateur!X119*VLOOKUP('Données projet'!$B$9,Paramètres!$A$1:$I$89,3,0)*0.475*44/12</f>
        <v>6.7107825793180567</v>
      </c>
      <c r="AB119" s="23">
        <f>EXP(-LN(2)/2)*AB118+(1-EXP(-LN(2)/2))/(LN(2)/2)*V119*Y119*VLOOKUP('Données projet'!$B$9,Paramètres!$A$1:$I$89,3,0)*0.475*44/12</f>
        <v>1.5633766434065252E-7</v>
      </c>
      <c r="AC119" s="24">
        <f t="shared" si="57"/>
        <v>35.736623022902243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1.9999999998958629E-3</v>
      </c>
      <c r="AJ119" s="14">
        <f>AI119*VLOOKUP('Données projet'!$B$10,Paramètres!$A$1:$I$89,3,0)*VLOOKUP('Données projet'!$B$10,Paramètres!$A$1:$I$89,5,0)</f>
        <v>1.195999999937726E-3</v>
      </c>
      <c r="AK119" s="14">
        <f t="shared" si="89"/>
        <v>1.2062444695752218E-3</v>
      </c>
      <c r="AL119" s="22">
        <f t="shared" si="58"/>
        <v>4.1839091177350513E-3</v>
      </c>
      <c r="AM119" s="62">
        <f t="shared" si="59"/>
        <v>293.33751724245104</v>
      </c>
      <c r="AN119" s="62">
        <f ca="1">AVERAGE(OFFSET($AM$3,0,0,'Données projet'!$E$10+1,1))-AVERAGE(OFFSET($H$3,0,0,'Données projet'!$E$10+1,1))</f>
        <v>164.64952352018145</v>
      </c>
      <c r="AO119" s="62">
        <f t="shared" si="90"/>
        <v>280.08682720086921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14.515278191394749</v>
      </c>
      <c r="AV119" s="23">
        <f>EXP(-LN(2)/25)*AV118+(1-EXP(-LN(2)/25))/(LN(2)/25)*Calculateur!AQ119*Calculateur!AS119*VLOOKUP('Données projet'!$B$10,Paramètres!$A$1:$I$89,3,0)*0.475*44/12</f>
        <v>2.9639658690792663</v>
      </c>
      <c r="AW119" s="23">
        <f>EXP(-LN(2)/2)*AW118+(1-EXP(-LN(2)/2))/(LN(2)/2)*AQ119*AT119*VLOOKUP('Données projet'!$B$10,Paramètres!$A$1:$I$89,3,0)*0.475*44/12</f>
        <v>6.1643627296356492E-11</v>
      </c>
      <c r="AX119" s="23">
        <f t="shared" si="60"/>
        <v>17.47924406053566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9.9699999999999989</v>
      </c>
      <c r="BD119" s="13">
        <f>IF('Données projet'!$A$88&gt;35,BD118+BC119-BL118,IF(A119&lt;'Données projet'!$A$88,$BA$205^A119,IF(A119='Données projet'!$A$88,'Données projet'!$B$88,BD118+BC119-BL118)))</f>
        <v>328.14</v>
      </c>
      <c r="BE119" s="14">
        <f>BD119*VLOOKUP('Données projet'!$B$11,Paramètres!$A$1:$I$89,3,0)*VLOOKUP('Données projet'!$B$11,Paramètres!$A$1:$I$89,5,0)</f>
        <v>276.42513600000001</v>
      </c>
      <c r="BF119" s="14">
        <f t="shared" si="91"/>
        <v>66.210973306006437</v>
      </c>
      <c r="BG119" s="22">
        <f t="shared" si="61"/>
        <v>596.75789037462789</v>
      </c>
      <c r="BH119" s="62">
        <f t="shared" si="62"/>
        <v>890.09122370796126</v>
      </c>
      <c r="BI119" s="62">
        <f ca="1">AVERAGE(OFFSET($BH$3,0,0,'Données projet'!$E$11+1,1))-AVERAGE(OFFSET($H$3,0,0,'Données projet'!$E$11+1,1))</f>
        <v>339.58585574836434</v>
      </c>
      <c r="BJ119" s="62">
        <f t="shared" si="92"/>
        <v>42.267525972379588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52.515991346196245</v>
      </c>
      <c r="BQ119" s="23">
        <f>EXP(-LN(2)/25)*BQ118+(1-EXP(-LN(2)/25))/(LN(2)/25)*Calculateur!BL119*Calculateur!BN119*VLOOKUP('Données projet'!$B$11,Paramètres!$A$1:$I$89,3,0)*0.475*44/12</f>
        <v>6.3191298342515516</v>
      </c>
      <c r="BR119" s="23">
        <f>EXP(-LN(2)/2)*BR118+(1-EXP(-LN(2)/2))/(LN(2)/2)*BL119*BO119*VLOOKUP('Données projet'!$B$11,Paramètres!$A$1:$I$89,3,0)*0.475*44/12</f>
        <v>3.5535387312223102E-8</v>
      </c>
      <c r="BS119" s="24">
        <f t="shared" si="63"/>
        <v>58.835121215983186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112.34884104798977</v>
      </c>
      <c r="CE119" s="62">
        <f t="shared" si="94"/>
        <v>18.665658139749326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62.42019287260954</v>
      </c>
      <c r="CL119" s="23">
        <f>EXP(-LN(2)/25)*CL118+(1-EXP(-LN(2)/25))/(LN(2)/25)*Calculateur!CG119*Calculateur!CI119*VLOOKUP('Données projet'!$B$12,Paramètres!$A$1:$I$89,3,0)*0.475*44/12</f>
        <v>4.3455589160145216</v>
      </c>
      <c r="CM119" s="23">
        <f>EXP(-LN(2)/2)*CM118+(1-EXP(-LN(2)/2))/(LN(2)/2)*CG119*CJ119*VLOOKUP('Données projet'!$B$12,Paramètres!$A$1:$I$89,3,0)*0.475*44/12</f>
        <v>4.5233439313651042E-10</v>
      </c>
      <c r="CN119" s="24">
        <f t="shared" si="66"/>
        <v>66.76575178907639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-1.1368683772161603E-13</v>
      </c>
      <c r="CU119" s="18">
        <f>CT119*VLOOKUP('Données projet'!$B$13,Paramètres!$A$1:$I$89,3,0)*VLOOKUP('Données projet'!$B$13,Paramètres!$A$1:$I$89,5,0)</f>
        <v>-1.2414602679200469E-13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205.21073681197737</v>
      </c>
      <c r="CZ119" s="62">
        <f t="shared" si="96"/>
        <v>175.16446313750316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23.550819495657723</v>
      </c>
      <c r="DG119" s="23">
        <f>EXP(-LN(2)/25)*DG118+(1-EXP(-LN(2)/25))/(LN(2)/25)*Calculateur!DB119*Calculateur!DD119*VLOOKUP('Données projet'!$B$13,Paramètres!$A$1:$I$89,3,0)*0.475*44/12</f>
        <v>6.7169401623322686</v>
      </c>
      <c r="DH119" s="23">
        <f>EXP(-LN(2)/2)*DH118+(1-EXP(-LN(2)/2))/(LN(2)/2)*DB119*DE119*VLOOKUP('Données projet'!$B$13,Paramètres!$A$1:$I$89,3,0)*0.475*44/12</f>
        <v>4.0417129622904588E-10</v>
      </c>
      <c r="DI119" s="24">
        <f t="shared" si="69"/>
        <v>30.267759658394162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2.2737367544323206E-13</v>
      </c>
      <c r="DP119" s="18">
        <f>DO119*VLOOKUP('Données projet'!$B$14,Paramètres!$A$1:$I$89,3,0)*VLOOKUP('Données projet'!$B$14,Paramètres!$A$1:$I$89,5,0)</f>
        <v>1.8444552551954985E-13</v>
      </c>
      <c r="DQ119" s="14">
        <f t="shared" si="97"/>
        <v>2.580317449479618E-12</v>
      </c>
      <c r="DR119" s="22">
        <f t="shared" si="70"/>
        <v>4.8152955147902165E-12</v>
      </c>
      <c r="DS119" s="62">
        <f t="shared" si="71"/>
        <v>293.33333333333815</v>
      </c>
      <c r="DT119" s="62">
        <f ca="1">AVERAGE(OFFSET($DS$3,0,0,'Données projet'!$E$14+1,1))-AVERAGE(OFFSET($H$3,0,0,'Données projet'!$E$14+1,1))</f>
        <v>223.63222290670075</v>
      </c>
      <c r="DU119" s="62">
        <f t="shared" si="98"/>
        <v>290.02663909417248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25.078182686134951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3.5497710721401241E-7</v>
      </c>
      <c r="ED119" s="24">
        <f t="shared" si="72"/>
        <v>25.078183041112059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399.53236233242478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192.24617268603629</v>
      </c>
      <c r="T120" s="62">
        <f t="shared" si="88"/>
        <v>192.48585280662832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28.456661263228067</v>
      </c>
      <c r="AA120" s="23">
        <f>EXP(-LN(2)/25)*AA119+(1-EXP(-LN(2)/25))/(LN(2)/25)*Calculateur!V120*Calculateur!X120*VLOOKUP('Données projet'!$B$9,Paramètres!$A$1:$I$89,3,0)*0.475*44/12</f>
        <v>6.5272758767818866</v>
      </c>
      <c r="AB120" s="23">
        <f>EXP(-LN(2)/2)*AB119+(1-EXP(-LN(2)/2))/(LN(2)/2)*V120*Y120*VLOOKUP('Données projet'!$B$9,Paramètres!$A$1:$I$89,3,0)*0.475*44/12</f>
        <v>1.1054742261014169E-7</v>
      </c>
      <c r="AC120" s="24">
        <f t="shared" si="57"/>
        <v>34.983937250557382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1.9999999998958629E-3</v>
      </c>
      <c r="AJ120" s="14">
        <f>AI120*VLOOKUP('Données projet'!$B$10,Paramètres!$A$1:$I$89,3,0)*VLOOKUP('Données projet'!$B$10,Paramètres!$A$1:$I$89,5,0)</f>
        <v>1.195999999937726E-3</v>
      </c>
      <c r="AK120" s="14">
        <f t="shared" si="89"/>
        <v>1.2062444695752218E-3</v>
      </c>
      <c r="AL120" s="22">
        <f t="shared" si="58"/>
        <v>4.1839091177350513E-3</v>
      </c>
      <c r="AM120" s="62">
        <f t="shared" si="59"/>
        <v>293.33751724245104</v>
      </c>
      <c r="AN120" s="62">
        <f ca="1">AVERAGE(OFFSET($AM$3,0,0,'Données projet'!$E$10+1,1))-AVERAGE(OFFSET($H$3,0,0,'Données projet'!$E$10+1,1))</f>
        <v>164.64952352018145</v>
      </c>
      <c r="AO120" s="62">
        <f t="shared" si="90"/>
        <v>280.08682720086921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14.23064243950699</v>
      </c>
      <c r="AV120" s="23">
        <f>EXP(-LN(2)/25)*AV119+(1-EXP(-LN(2)/25))/(LN(2)/25)*Calculateur!AQ120*Calculateur!AS120*VLOOKUP('Données projet'!$B$10,Paramètres!$A$1:$I$89,3,0)*0.475*44/12</f>
        <v>2.8829160665211031</v>
      </c>
      <c r="AW120" s="23">
        <f>EXP(-LN(2)/2)*AW119+(1-EXP(-LN(2)/2))/(LN(2)/2)*AQ120*AT120*VLOOKUP('Données projet'!$B$10,Paramètres!$A$1:$I$89,3,0)*0.475*44/12</f>
        <v>4.3588626878189839E-11</v>
      </c>
      <c r="AX120" s="23">
        <f t="shared" si="60"/>
        <v>17.11355850607168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9.9699999999999989</v>
      </c>
      <c r="BD120" s="13">
        <f>IF('Données projet'!$A$88&gt;35,BD119+BC120-BL119,IF(A120&lt;'Données projet'!$A$88,$BA$205^A120,IF(A120='Données projet'!$A$88,'Données projet'!$B$88,BD119+BC120-BL119)))</f>
        <v>338.11</v>
      </c>
      <c r="BE120" s="14">
        <f>BD120*VLOOKUP('Données projet'!$B$11,Paramètres!$A$1:$I$89,3,0)*VLOOKUP('Données projet'!$B$11,Paramètres!$A$1:$I$89,5,0)</f>
        <v>284.82386400000001</v>
      </c>
      <c r="BF120" s="14">
        <f t="shared" si="91"/>
        <v>67.985414360357055</v>
      </c>
      <c r="BG120" s="22">
        <f t="shared" si="61"/>
        <v>614.47615981095521</v>
      </c>
      <c r="BH120" s="62">
        <f t="shared" si="62"/>
        <v>907.80949314428858</v>
      </c>
      <c r="BI120" s="62">
        <f ca="1">AVERAGE(OFFSET($BH$3,0,0,'Données projet'!$E$11+1,1))-AVERAGE(OFFSET($H$3,0,0,'Données projet'!$E$11+1,1))</f>
        <v>339.58585574836434</v>
      </c>
      <c r="BJ120" s="62">
        <f t="shared" si="92"/>
        <v>42.267525972379588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51.486184787489201</v>
      </c>
      <c r="BQ120" s="23">
        <f>EXP(-LN(2)/25)*BQ119+(1-EXP(-LN(2)/25))/(LN(2)/25)*Calculateur!BL120*Calculateur!BN120*VLOOKUP('Données projet'!$B$11,Paramètres!$A$1:$I$89,3,0)*0.475*44/12</f>
        <v>6.1463328966253474</v>
      </c>
      <c r="BR120" s="23">
        <f>EXP(-LN(2)/2)*BR119+(1-EXP(-LN(2)/2))/(LN(2)/2)*BL120*BO120*VLOOKUP('Données projet'!$B$11,Paramètres!$A$1:$I$89,3,0)*0.475*44/12</f>
        <v>2.5127313340563359E-8</v>
      </c>
      <c r="BS120" s="24">
        <f t="shared" si="63"/>
        <v>57.63251770924186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112.34884104798977</v>
      </c>
      <c r="CE120" s="62">
        <f t="shared" si="94"/>
        <v>18.665658139749326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61.196170962935966</v>
      </c>
      <c r="CL120" s="23">
        <f>EXP(-LN(2)/25)*CL119+(1-EXP(-LN(2)/25))/(LN(2)/25)*Calculateur!CG120*Calculateur!CI120*VLOOKUP('Données projet'!$B$12,Paramètres!$A$1:$I$89,3,0)*0.475*44/12</f>
        <v>4.2267293789330926</v>
      </c>
      <c r="CM120" s="23">
        <f>EXP(-LN(2)/2)*CM119+(1-EXP(-LN(2)/2))/(LN(2)/2)*CG120*CJ120*VLOOKUP('Données projet'!$B$12,Paramètres!$A$1:$I$89,3,0)*0.475*44/12</f>
        <v>3.1984871675072823E-10</v>
      </c>
      <c r="CN120" s="24">
        <f t="shared" si="66"/>
        <v>65.422900342188896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-1.1368683772161603E-13</v>
      </c>
      <c r="CU120" s="18">
        <f>CT120*VLOOKUP('Données projet'!$B$13,Paramètres!$A$1:$I$89,3,0)*VLOOKUP('Données projet'!$B$13,Paramètres!$A$1:$I$89,5,0)</f>
        <v>-1.2414602679200469E-13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205.21073681197737</v>
      </c>
      <c r="CZ120" s="62">
        <f t="shared" si="96"/>
        <v>175.16446313750316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23.089002289929383</v>
      </c>
      <c r="DG120" s="23">
        <f>EXP(-LN(2)/25)*DG119+(1-EXP(-LN(2)/25))/(LN(2)/25)*Calculateur!DB120*Calculateur!DD120*VLOOKUP('Données projet'!$B$13,Paramètres!$A$1:$I$89,3,0)*0.475*44/12</f>
        <v>6.5332650803647612</v>
      </c>
      <c r="DH120" s="23">
        <f>EXP(-LN(2)/2)*DH119+(1-EXP(-LN(2)/2))/(LN(2)/2)*DB120*DE120*VLOOKUP('Données projet'!$B$13,Paramètres!$A$1:$I$89,3,0)*0.475*44/12</f>
        <v>2.8579226432451522E-10</v>
      </c>
      <c r="DI120" s="24">
        <f t="shared" si="69"/>
        <v>29.622267370579934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2.2737367544323206E-13</v>
      </c>
      <c r="DP120" s="18">
        <f>DO120*VLOOKUP('Données projet'!$B$14,Paramètres!$A$1:$I$89,3,0)*VLOOKUP('Données projet'!$B$14,Paramètres!$A$1:$I$89,5,0)</f>
        <v>1.8444552551954985E-13</v>
      </c>
      <c r="DQ120" s="14">
        <f t="shared" si="97"/>
        <v>2.580317449479618E-12</v>
      </c>
      <c r="DR120" s="22">
        <f t="shared" si="70"/>
        <v>4.8152955147902165E-12</v>
      </c>
      <c r="DS120" s="62">
        <f t="shared" si="71"/>
        <v>293.33333333333815</v>
      </c>
      <c r="DT120" s="62">
        <f ca="1">AVERAGE(OFFSET($DS$3,0,0,'Données projet'!$E$14+1,1))-AVERAGE(OFFSET($H$3,0,0,'Données projet'!$E$14+1,1))</f>
        <v>223.63222290670075</v>
      </c>
      <c r="DU120" s="62">
        <f t="shared" si="98"/>
        <v>290.02663909417248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24.586414819840911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2.5100671967701229E-7</v>
      </c>
      <c r="ED120" s="24">
        <f t="shared" si="72"/>
        <v>24.586415070847632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400.72187583029472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192.24617268603629</v>
      </c>
      <c r="T121" s="62">
        <f t="shared" si="88"/>
        <v>192.48585280662832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27.898643492705688</v>
      </c>
      <c r="AA121" s="23">
        <f>EXP(-LN(2)/25)*AA120+(1-EXP(-LN(2)/25))/(LN(2)/25)*Calculateur!V121*Calculateur!X121*VLOOKUP('Données projet'!$B$9,Paramètres!$A$1:$I$89,3,0)*0.475*44/12</f>
        <v>6.3487871746767661</v>
      </c>
      <c r="AB121" s="23">
        <f>EXP(-LN(2)/2)*AB120+(1-EXP(-LN(2)/2))/(LN(2)/2)*V121*Y121*VLOOKUP('Données projet'!$B$9,Paramètres!$A$1:$I$89,3,0)*0.475*44/12</f>
        <v>7.8168832170326258E-8</v>
      </c>
      <c r="AC121" s="24">
        <f t="shared" si="57"/>
        <v>34.247430745551284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1.9999999998958629E-3</v>
      </c>
      <c r="AJ121" s="14">
        <f>AI121*VLOOKUP('Données projet'!$B$10,Paramètres!$A$1:$I$89,3,0)*VLOOKUP('Données projet'!$B$10,Paramètres!$A$1:$I$89,5,0)</f>
        <v>1.195999999937726E-3</v>
      </c>
      <c r="AK121" s="14">
        <f t="shared" si="89"/>
        <v>1.2062444695752218E-3</v>
      </c>
      <c r="AL121" s="22">
        <f t="shared" si="58"/>
        <v>4.1839091177350513E-3</v>
      </c>
      <c r="AM121" s="62">
        <f t="shared" si="59"/>
        <v>293.33751724245104</v>
      </c>
      <c r="AN121" s="62">
        <f ca="1">AVERAGE(OFFSET($AM$3,0,0,'Données projet'!$E$10+1,1))-AVERAGE(OFFSET($H$3,0,0,'Données projet'!$E$10+1,1))</f>
        <v>164.64952352018145</v>
      </c>
      <c r="AO121" s="62">
        <f t="shared" si="90"/>
        <v>280.08682720086921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13.951588221103083</v>
      </c>
      <c r="AV121" s="23">
        <f>EXP(-LN(2)/25)*AV120+(1-EXP(-LN(2)/25))/(LN(2)/25)*Calculateur!AQ121*Calculateur!AS121*VLOOKUP('Données projet'!$B$10,Paramètres!$A$1:$I$89,3,0)*0.475*44/12</f>
        <v>2.8040825750761167</v>
      </c>
      <c r="AW121" s="23">
        <f>EXP(-LN(2)/2)*AW120+(1-EXP(-LN(2)/2))/(LN(2)/2)*AQ121*AT121*VLOOKUP('Données projet'!$B$10,Paramètres!$A$1:$I$89,3,0)*0.475*44/12</f>
        <v>3.0821813648178246E-11</v>
      </c>
      <c r="AX121" s="23">
        <f t="shared" si="60"/>
        <v>16.755670796210023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9.9699999999999989</v>
      </c>
      <c r="BD121" s="13">
        <f>IF('Données projet'!$A$88&gt;35,BD120+BC121-BL120,IF(A121&lt;'Données projet'!$A$88,$BA$205^A121,IF(A121='Données projet'!$A$88,'Données projet'!$B$88,BD120+BC121-BL120)))</f>
        <v>348.08000000000004</v>
      </c>
      <c r="BE121" s="14">
        <f>BD121*VLOOKUP('Données projet'!$B$11,Paramètres!$A$1:$I$89,3,0)*VLOOKUP('Données projet'!$B$11,Paramètres!$A$1:$I$89,5,0)</f>
        <v>293.22259200000008</v>
      </c>
      <c r="BF121" s="14">
        <f t="shared" si="91"/>
        <v>69.753774441426287</v>
      </c>
      <c r="BG121" s="22">
        <f t="shared" si="61"/>
        <v>632.18383821881753</v>
      </c>
      <c r="BH121" s="62">
        <f t="shared" si="62"/>
        <v>925.51717155215078</v>
      </c>
      <c r="BI121" s="62">
        <f ca="1">AVERAGE(OFFSET($BH$3,0,0,'Données projet'!$E$11+1,1))-AVERAGE(OFFSET($H$3,0,0,'Données projet'!$E$11+1,1))</f>
        <v>339.58585574836434</v>
      </c>
      <c r="BJ121" s="62">
        <f t="shared" si="92"/>
        <v>42.267525972379588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50.476572107278422</v>
      </c>
      <c r="BQ121" s="23">
        <f>EXP(-LN(2)/25)*BQ120+(1-EXP(-LN(2)/25))/(LN(2)/25)*Calculateur!BL121*Calculateur!BN121*VLOOKUP('Données projet'!$B$11,Paramètres!$A$1:$I$89,3,0)*0.475*44/12</f>
        <v>5.9782611003455282</v>
      </c>
      <c r="BR121" s="23">
        <f>EXP(-LN(2)/2)*BR120+(1-EXP(-LN(2)/2))/(LN(2)/2)*BL121*BO121*VLOOKUP('Données projet'!$B$11,Paramètres!$A$1:$I$89,3,0)*0.475*44/12</f>
        <v>1.7767693656111551E-8</v>
      </c>
      <c r="BS121" s="24">
        <f t="shared" si="63"/>
        <v>56.454833225391646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112.34884104798977</v>
      </c>
      <c r="CE121" s="62">
        <f t="shared" si="94"/>
        <v>18.665658139749326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59.996151376331447</v>
      </c>
      <c r="CL121" s="23">
        <f>EXP(-LN(2)/25)*CL120+(1-EXP(-LN(2)/25))/(LN(2)/25)*Calculateur!CG121*Calculateur!CI121*VLOOKUP('Données projet'!$B$12,Paramètres!$A$1:$I$89,3,0)*0.475*44/12</f>
        <v>4.1111492417921296</v>
      </c>
      <c r="CM121" s="23">
        <f>EXP(-LN(2)/2)*CM120+(1-EXP(-LN(2)/2))/(LN(2)/2)*CG121*CJ121*VLOOKUP('Données projet'!$B$12,Paramètres!$A$1:$I$89,3,0)*0.475*44/12</f>
        <v>2.2616719656825521E-10</v>
      </c>
      <c r="CN121" s="24">
        <f t="shared" si="66"/>
        <v>64.10730061834974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-1.1368683772161603E-13</v>
      </c>
      <c r="CU121" s="18">
        <f>CT121*VLOOKUP('Données projet'!$B$13,Paramètres!$A$1:$I$89,3,0)*VLOOKUP('Données projet'!$B$13,Paramètres!$A$1:$I$89,5,0)</f>
        <v>-1.2414602679200469E-13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205.21073681197737</v>
      </c>
      <c r="CZ121" s="62">
        <f t="shared" si="96"/>
        <v>175.16446313750316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22.636241037924695</v>
      </c>
      <c r="DG121" s="23">
        <f>EXP(-LN(2)/25)*DG120+(1-EXP(-LN(2)/25))/(LN(2)/25)*Calculateur!DB121*Calculateur!DD121*VLOOKUP('Données projet'!$B$13,Paramètres!$A$1:$I$89,3,0)*0.475*44/12</f>
        <v>6.3546126031727086</v>
      </c>
      <c r="DH121" s="23">
        <f>EXP(-LN(2)/2)*DH120+(1-EXP(-LN(2)/2))/(LN(2)/2)*DB121*DE121*VLOOKUP('Données projet'!$B$13,Paramètres!$A$1:$I$89,3,0)*0.475*44/12</f>
        <v>2.0208564811452294E-10</v>
      </c>
      <c r="DI121" s="24">
        <f t="shared" si="69"/>
        <v>28.990853641299488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2.2737367544323206E-13</v>
      </c>
      <c r="DP121" s="18">
        <f>DO121*VLOOKUP('Données projet'!$B$14,Paramètres!$A$1:$I$89,3,0)*VLOOKUP('Données projet'!$B$14,Paramètres!$A$1:$I$89,5,0)</f>
        <v>1.8444552551954985E-13</v>
      </c>
      <c r="DQ121" s="14">
        <f t="shared" si="97"/>
        <v>2.580317449479618E-12</v>
      </c>
      <c r="DR121" s="22">
        <f t="shared" si="70"/>
        <v>4.8152955147902165E-12</v>
      </c>
      <c r="DS121" s="62">
        <f t="shared" si="71"/>
        <v>293.33333333333815</v>
      </c>
      <c r="DT121" s="62">
        <f ca="1">AVERAGE(OFFSET($DS$3,0,0,'Données projet'!$E$14+1,1))-AVERAGE(OFFSET($H$3,0,0,'Données projet'!$E$14+1,1))</f>
        <v>223.63222290670075</v>
      </c>
      <c r="DU121" s="62">
        <f t="shared" si="98"/>
        <v>290.02663909417248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24.104290221456115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1.7748855360700621E-7</v>
      </c>
      <c r="ED121" s="24">
        <f t="shared" si="72"/>
        <v>24.104290398944666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401.91115411247904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192.24617268603629</v>
      </c>
      <c r="T122" s="62">
        <f t="shared" si="88"/>
        <v>192.48585280662832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27.351568110306019</v>
      </c>
      <c r="AA122" s="23">
        <f>EXP(-LN(2)/25)*AA121+(1-EXP(-LN(2)/25))/(LN(2)/25)*Calculateur!V122*Calculateur!X122*VLOOKUP('Données projet'!$B$9,Paramètres!$A$1:$I$89,3,0)*0.475*44/12</f>
        <v>6.1751792555170226</v>
      </c>
      <c r="AB122" s="23">
        <f>EXP(-LN(2)/2)*AB121+(1-EXP(-LN(2)/2))/(LN(2)/2)*V122*Y122*VLOOKUP('Données projet'!$B$9,Paramètres!$A$1:$I$89,3,0)*0.475*44/12</f>
        <v>5.5273711305070847E-8</v>
      </c>
      <c r="AC122" s="24">
        <f t="shared" si="57"/>
        <v>33.526747421096751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1.9999999998958629E-3</v>
      </c>
      <c r="AJ122" s="14">
        <f>AI122*VLOOKUP('Données projet'!$B$10,Paramètres!$A$1:$I$89,3,0)*VLOOKUP('Données projet'!$B$10,Paramètres!$A$1:$I$89,5,0)</f>
        <v>1.195999999937726E-3</v>
      </c>
      <c r="AK122" s="14">
        <f t="shared" si="89"/>
        <v>1.2062444695752218E-3</v>
      </c>
      <c r="AL122" s="22">
        <f t="shared" si="58"/>
        <v>4.1839091177350513E-3</v>
      </c>
      <c r="AM122" s="62">
        <f t="shared" si="59"/>
        <v>293.33751724245104</v>
      </c>
      <c r="AN122" s="62">
        <f ca="1">AVERAGE(OFFSET($AM$3,0,0,'Données projet'!$E$10+1,1))-AVERAGE(OFFSET($H$3,0,0,'Données projet'!$E$10+1,1))</f>
        <v>164.64952352018145</v>
      </c>
      <c r="AO122" s="62">
        <f t="shared" si="90"/>
        <v>280.08682720086921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13.678006085715811</v>
      </c>
      <c r="AV122" s="23">
        <f>EXP(-LN(2)/25)*AV121+(1-EXP(-LN(2)/25))/(LN(2)/25)*Calculateur!AQ122*Calculateur!AS122*VLOOKUP('Données projet'!$B$10,Paramètres!$A$1:$I$89,3,0)*0.475*44/12</f>
        <v>2.7274047896003664</v>
      </c>
      <c r="AW122" s="23">
        <f>EXP(-LN(2)/2)*AW121+(1-EXP(-LN(2)/2))/(LN(2)/2)*AQ122*AT122*VLOOKUP('Données projet'!$B$10,Paramètres!$A$1:$I$89,3,0)*0.475*44/12</f>
        <v>2.179431343909492E-11</v>
      </c>
      <c r="AX122" s="23">
        <f t="shared" si="60"/>
        <v>16.405410875337974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9.9699999999999989</v>
      </c>
      <c r="BD122" s="13">
        <f>IF('Données projet'!$A$88&gt;35,BD121+BC122-BL121,IF(A122&lt;'Données projet'!$A$88,$BA$205^A122,IF(A122='Données projet'!$A$88,'Données projet'!$B$88,BD121+BC122-BL121)))</f>
        <v>358.05000000000007</v>
      </c>
      <c r="BE122" s="14">
        <f>BD122*VLOOKUP('Données projet'!$B$11,Paramètres!$A$1:$I$89,3,0)*VLOOKUP('Données projet'!$B$11,Paramètres!$A$1:$I$89,5,0)</f>
        <v>301.62132000000008</v>
      </c>
      <c r="BF122" s="14">
        <f t="shared" si="91"/>
        <v>71.516247729706222</v>
      </c>
      <c r="BG122" s="22">
        <f t="shared" si="61"/>
        <v>649.88126379590506</v>
      </c>
      <c r="BH122" s="62">
        <f t="shared" si="62"/>
        <v>943.21459712923843</v>
      </c>
      <c r="BI122" s="62">
        <f ca="1">AVERAGE(OFFSET($BH$3,0,0,'Données projet'!$E$11+1,1))-AVERAGE(OFFSET($H$3,0,0,'Données projet'!$E$11+1,1))</f>
        <v>339.58585574836434</v>
      </c>
      <c r="BJ122" s="62">
        <f t="shared" si="92"/>
        <v>42.267525972379588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49.486757315923647</v>
      </c>
      <c r="BQ122" s="23">
        <f>EXP(-LN(2)/25)*BQ121+(1-EXP(-LN(2)/25))/(LN(2)/25)*Calculateur!BL122*Calculateur!BN122*VLOOKUP('Données projet'!$B$11,Paramètres!$A$1:$I$89,3,0)*0.475*44/12</f>
        <v>5.814785236173492</v>
      </c>
      <c r="BR122" s="23">
        <f>EXP(-LN(2)/2)*BR121+(1-EXP(-LN(2)/2))/(LN(2)/2)*BL122*BO122*VLOOKUP('Données projet'!$B$11,Paramètres!$A$1:$I$89,3,0)*0.475*44/12</f>
        <v>1.2563656670281679E-8</v>
      </c>
      <c r="BS122" s="24">
        <f t="shared" si="63"/>
        <v>55.301542564660792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112.34884104798977</v>
      </c>
      <c r="CE122" s="62">
        <f t="shared" si="94"/>
        <v>18.665658139749326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58.819663441880564</v>
      </c>
      <c r="CL122" s="23">
        <f>EXP(-LN(2)/25)*CL121+(1-EXP(-LN(2)/25))/(LN(2)/25)*Calculateur!CG122*Calculateur!CI122*VLOOKUP('Données projet'!$B$12,Paramètres!$A$1:$I$89,3,0)*0.475*44/12</f>
        <v>3.9987296495793814</v>
      </c>
      <c r="CM122" s="23">
        <f>EXP(-LN(2)/2)*CM121+(1-EXP(-LN(2)/2))/(LN(2)/2)*CG122*CJ122*VLOOKUP('Données projet'!$B$12,Paramètres!$A$1:$I$89,3,0)*0.475*44/12</f>
        <v>1.5992435837536412E-10</v>
      </c>
      <c r="CN122" s="24">
        <f t="shared" si="66"/>
        <v>62.818393091619868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-1.1368683772161603E-13</v>
      </c>
      <c r="CU122" s="18">
        <f>CT122*VLOOKUP('Données projet'!$B$13,Paramètres!$A$1:$I$89,3,0)*VLOOKUP('Données projet'!$B$13,Paramètres!$A$1:$I$89,5,0)</f>
        <v>-1.2414602679200469E-13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205.21073681197737</v>
      </c>
      <c r="CZ122" s="62">
        <f t="shared" si="96"/>
        <v>175.16446313750316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22.192358157914722</v>
      </c>
      <c r="DG122" s="23">
        <f>EXP(-LN(2)/25)*DG121+(1-EXP(-LN(2)/25))/(LN(2)/25)*Calculateur!DB122*Calculateur!DD122*VLOOKUP('Données projet'!$B$13,Paramètres!$A$1:$I$89,3,0)*0.475*44/12</f>
        <v>6.180845387364398</v>
      </c>
      <c r="DH122" s="23">
        <f>EXP(-LN(2)/2)*DH121+(1-EXP(-LN(2)/2))/(LN(2)/2)*DB122*DE122*VLOOKUP('Données projet'!$B$13,Paramètres!$A$1:$I$89,3,0)*0.475*44/12</f>
        <v>1.4289613216225761E-10</v>
      </c>
      <c r="DI122" s="24">
        <f t="shared" si="69"/>
        <v>28.373203545422015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2.2737367544323206E-13</v>
      </c>
      <c r="DP122" s="18">
        <f>DO122*VLOOKUP('Données projet'!$B$14,Paramètres!$A$1:$I$89,3,0)*VLOOKUP('Données projet'!$B$14,Paramètres!$A$1:$I$89,5,0)</f>
        <v>1.8444552551954985E-13</v>
      </c>
      <c r="DQ122" s="14">
        <f t="shared" si="97"/>
        <v>2.580317449479618E-12</v>
      </c>
      <c r="DR122" s="22">
        <f t="shared" si="70"/>
        <v>4.8152955147902165E-12</v>
      </c>
      <c r="DS122" s="62">
        <f t="shared" si="71"/>
        <v>293.33333333333815</v>
      </c>
      <c r="DT122" s="62">
        <f ca="1">AVERAGE(OFFSET($DS$3,0,0,'Données projet'!$E$14+1,1))-AVERAGE(OFFSET($H$3,0,0,'Données projet'!$E$14+1,1))</f>
        <v>223.63222290670075</v>
      </c>
      <c r="DU122" s="62">
        <f t="shared" si="98"/>
        <v>290.02663909417248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23.631619792378675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1.2550335983850615E-7</v>
      </c>
      <c r="ED122" s="24">
        <f t="shared" si="72"/>
        <v>23.631619917882034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403.10019938462972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192.24617268603629</v>
      </c>
      <c r="T123" s="62">
        <f t="shared" si="88"/>
        <v>192.48585280662832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26.815220542472176</v>
      </c>
      <c r="AA123" s="23">
        <f>EXP(-LN(2)/25)*AA122+(1-EXP(-LN(2)/25))/(LN(2)/25)*Calculateur!V123*Calculateur!X123*VLOOKUP('Données projet'!$B$9,Paramètres!$A$1:$I$89,3,0)*0.475*44/12</f>
        <v>6.0063186540363462</v>
      </c>
      <c r="AB123" s="23">
        <f>EXP(-LN(2)/2)*AB122+(1-EXP(-LN(2)/2))/(LN(2)/2)*V123*Y123*VLOOKUP('Données projet'!$B$9,Paramètres!$A$1:$I$89,3,0)*0.475*44/12</f>
        <v>3.9084416085163129E-8</v>
      </c>
      <c r="AC123" s="24">
        <f t="shared" si="57"/>
        <v>32.821539235592944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1.9999999998958629E-3</v>
      </c>
      <c r="AJ123" s="14">
        <f>AI123*VLOOKUP('Données projet'!$B$10,Paramètres!$A$1:$I$89,3,0)*VLOOKUP('Données projet'!$B$10,Paramètres!$A$1:$I$89,5,0)</f>
        <v>1.195999999937726E-3</v>
      </c>
      <c r="AK123" s="14">
        <f t="shared" si="89"/>
        <v>1.2062444695752218E-3</v>
      </c>
      <c r="AL123" s="22">
        <f t="shared" si="58"/>
        <v>4.1839091177350513E-3</v>
      </c>
      <c r="AM123" s="62">
        <f t="shared" si="59"/>
        <v>293.33751724245104</v>
      </c>
      <c r="AN123" s="62">
        <f ca="1">AVERAGE(OFFSET($AM$3,0,0,'Données projet'!$E$10+1,1))-AVERAGE(OFFSET($H$3,0,0,'Données projet'!$E$10+1,1))</f>
        <v>164.64952352018145</v>
      </c>
      <c r="AO123" s="62">
        <f t="shared" si="90"/>
        <v>280.08682720086921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13.409788729134858</v>
      </c>
      <c r="AV123" s="23">
        <f>EXP(-LN(2)/25)*AV122+(1-EXP(-LN(2)/25))/(LN(2)/25)*Calculateur!AQ123*Calculateur!AS123*VLOOKUP('Données projet'!$B$10,Paramètres!$A$1:$I$89,3,0)*0.475*44/12</f>
        <v>2.65282376220076</v>
      </c>
      <c r="AW123" s="23">
        <f>EXP(-LN(2)/2)*AW122+(1-EXP(-LN(2)/2))/(LN(2)/2)*AQ123*AT123*VLOOKUP('Données projet'!$B$10,Paramètres!$A$1:$I$89,3,0)*0.475*44/12</f>
        <v>1.5410906824089123E-11</v>
      </c>
      <c r="AX123" s="23">
        <f t="shared" si="60"/>
        <v>16.062612491351029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9.9699999999999989</v>
      </c>
      <c r="BD123" s="13">
        <f>IF('Données projet'!$A$88&gt;35,BD122+BC123-BL122,IF(A123&lt;'Données projet'!$A$88,$BA$205^A123,IF(A123='Données projet'!$A$88,'Données projet'!$B$88,BD122+BC123-BL122)))</f>
        <v>368.0200000000001</v>
      </c>
      <c r="BE123" s="14">
        <f>BD123*VLOOKUP('Données projet'!$B$11,Paramètres!$A$1:$I$89,3,0)*VLOOKUP('Données projet'!$B$11,Paramètres!$A$1:$I$89,5,0)</f>
        <v>310.02004800000014</v>
      </c>
      <c r="BF123" s="14">
        <f t="shared" si="91"/>
        <v>73.273016976354995</v>
      </c>
      <c r="BG123" s="22">
        <f t="shared" si="61"/>
        <v>667.5687548338185</v>
      </c>
      <c r="BH123" s="62">
        <f t="shared" si="62"/>
        <v>960.90208816715176</v>
      </c>
      <c r="BI123" s="62">
        <f ca="1">AVERAGE(OFFSET($BH$3,0,0,'Données projet'!$E$11+1,1))-AVERAGE(OFFSET($H$3,0,0,'Données projet'!$E$11+1,1))</f>
        <v>339.58585574836434</v>
      </c>
      <c r="BJ123" s="62">
        <f t="shared" si="92"/>
        <v>42.267525972379588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48.51635218889993</v>
      </c>
      <c r="BQ123" s="23">
        <f>EXP(-LN(2)/25)*BQ122+(1-EXP(-LN(2)/25))/(LN(2)/25)*Calculateur!BL123*Calculateur!BN123*VLOOKUP('Données projet'!$B$11,Paramètres!$A$1:$I$89,3,0)*0.475*44/12</f>
        <v>5.655779628104062</v>
      </c>
      <c r="BR123" s="23">
        <f>EXP(-LN(2)/2)*BR122+(1-EXP(-LN(2)/2))/(LN(2)/2)*BL123*BO123*VLOOKUP('Données projet'!$B$11,Paramètres!$A$1:$I$89,3,0)*0.475*44/12</f>
        <v>8.8838468280557755E-9</v>
      </c>
      <c r="BS123" s="24">
        <f t="shared" si="63"/>
        <v>54.172131825887838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112.34884104798977</v>
      </c>
      <c r="CE123" s="62">
        <f t="shared" si="94"/>
        <v>18.665658139749326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57.666245718237484</v>
      </c>
      <c r="CL123" s="23">
        <f>EXP(-LN(2)/25)*CL122+(1-EXP(-LN(2)/25))/(LN(2)/25)*Calculateur!CG123*Calculateur!CI123*VLOOKUP('Données projet'!$B$12,Paramètres!$A$1:$I$89,3,0)*0.475*44/12</f>
        <v>3.8893841770275803</v>
      </c>
      <c r="CM123" s="23">
        <f>EXP(-LN(2)/2)*CM122+(1-EXP(-LN(2)/2))/(LN(2)/2)*CG123*CJ123*VLOOKUP('Données projet'!$B$12,Paramètres!$A$1:$I$89,3,0)*0.475*44/12</f>
        <v>1.130835982841276E-10</v>
      </c>
      <c r="CN123" s="24">
        <f t="shared" si="66"/>
        <v>61.555629895378146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-1.1368683772161603E-13</v>
      </c>
      <c r="CU123" s="18">
        <f>CT123*VLOOKUP('Données projet'!$B$13,Paramètres!$A$1:$I$89,3,0)*VLOOKUP('Données projet'!$B$13,Paramètres!$A$1:$I$89,5,0)</f>
        <v>-1.2414602679200469E-13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205.21073681197737</v>
      </c>
      <c r="CZ123" s="62">
        <f t="shared" si="96"/>
        <v>175.16446313750316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21.757179550439922</v>
      </c>
      <c r="DG123" s="23">
        <f>EXP(-LN(2)/25)*DG122+(1-EXP(-LN(2)/25))/(LN(2)/25)*Calculateur!DB123*Calculateur!DD123*VLOOKUP('Données projet'!$B$13,Paramètres!$A$1:$I$89,3,0)*0.475*44/12</f>
        <v>6.0118298452103858</v>
      </c>
      <c r="DH123" s="23">
        <f>EXP(-LN(2)/2)*DH122+(1-EXP(-LN(2)/2))/(LN(2)/2)*DB123*DE123*VLOOKUP('Données projet'!$B$13,Paramètres!$A$1:$I$89,3,0)*0.475*44/12</f>
        <v>1.0104282405726147E-10</v>
      </c>
      <c r="DI123" s="24">
        <f t="shared" si="69"/>
        <v>27.76900939575135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2.2737367544323206E-13</v>
      </c>
      <c r="DP123" s="18">
        <f>DO123*VLOOKUP('Données projet'!$B$14,Paramètres!$A$1:$I$89,3,0)*VLOOKUP('Données projet'!$B$14,Paramètres!$A$1:$I$89,5,0)</f>
        <v>1.8444552551954985E-13</v>
      </c>
      <c r="DQ123" s="14">
        <f t="shared" si="97"/>
        <v>2.580317449479618E-12</v>
      </c>
      <c r="DR123" s="22">
        <f t="shared" si="70"/>
        <v>4.8152955147902165E-12</v>
      </c>
      <c r="DS123" s="62">
        <f t="shared" si="71"/>
        <v>293.33333333333815</v>
      </c>
      <c r="DT123" s="62">
        <f ca="1">AVERAGE(OFFSET($DS$3,0,0,'Données projet'!$E$14+1,1))-AVERAGE(OFFSET($H$3,0,0,'Données projet'!$E$14+1,1))</f>
        <v>223.63222290670075</v>
      </c>
      <c r="DU123" s="62">
        <f t="shared" si="98"/>
        <v>290.02663909417248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23.168218142114952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8.8744276803503103E-8</v>
      </c>
      <c r="ED123" s="24">
        <f t="shared" si="72"/>
        <v>23.168218230859228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404.28901381351614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192.24617268603629</v>
      </c>
      <c r="T124" s="62">
        <f t="shared" si="88"/>
        <v>192.48585280662832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26.289390423303839</v>
      </c>
      <c r="AA124" s="23">
        <f>EXP(-LN(2)/25)*AA123+(1-EXP(-LN(2)/25))/(LN(2)/25)*Calculateur!V124*Calculateur!X124*VLOOKUP('Données projet'!$B$9,Paramètres!$A$1:$I$89,3,0)*0.475*44/12</f>
        <v>5.8420755545831522</v>
      </c>
      <c r="AB124" s="23">
        <f>EXP(-LN(2)/2)*AB123+(1-EXP(-LN(2)/2))/(LN(2)/2)*V124*Y124*VLOOKUP('Données projet'!$B$9,Paramètres!$A$1:$I$89,3,0)*0.475*44/12</f>
        <v>2.7636855652535423E-8</v>
      </c>
      <c r="AC124" s="24">
        <f t="shared" si="57"/>
        <v>32.131466005523848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1.9999999998958629E-3</v>
      </c>
      <c r="AJ124" s="14">
        <f>AI124*VLOOKUP('Données projet'!$B$10,Paramètres!$A$1:$I$89,3,0)*VLOOKUP('Données projet'!$B$10,Paramètres!$A$1:$I$89,5,0)</f>
        <v>1.195999999937726E-3</v>
      </c>
      <c r="AK124" s="14">
        <f t="shared" si="89"/>
        <v>1.2062444695752218E-3</v>
      </c>
      <c r="AL124" s="22">
        <f t="shared" si="58"/>
        <v>4.1839091177350513E-3</v>
      </c>
      <c r="AM124" s="62">
        <f t="shared" si="59"/>
        <v>293.33751724245104</v>
      </c>
      <c r="AN124" s="62">
        <f ca="1">AVERAGE(OFFSET($AM$3,0,0,'Données projet'!$E$10+1,1))-AVERAGE(OFFSET($H$3,0,0,'Données projet'!$E$10+1,1))</f>
        <v>164.64952352018145</v>
      </c>
      <c r="AO124" s="62">
        <f t="shared" si="90"/>
        <v>280.08682720086921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13.146830951320023</v>
      </c>
      <c r="AV124" s="23">
        <f>EXP(-LN(2)/25)*AV123+(1-EXP(-LN(2)/25))/(LN(2)/25)*Calculateur!AQ124*Calculateur!AS124*VLOOKUP('Données projet'!$B$10,Paramètres!$A$1:$I$89,3,0)*0.475*44/12</f>
        <v>2.5802821569174417</v>
      </c>
      <c r="AW124" s="23">
        <f>EXP(-LN(2)/2)*AW123+(1-EXP(-LN(2)/2))/(LN(2)/2)*AQ124*AT124*VLOOKUP('Données projet'!$B$10,Paramètres!$A$1:$I$89,3,0)*0.475*44/12</f>
        <v>1.089715671954746E-11</v>
      </c>
      <c r="AX124" s="23">
        <f t="shared" si="60"/>
        <v>15.727113108248362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9.9699999999999989</v>
      </c>
      <c r="BD124" s="13">
        <f>IF('Données projet'!$A$88&gt;35,BD123+BC124-BL123,IF(A124&lt;'Données projet'!$A$88,$BA$205^A124,IF(A124='Données projet'!$A$88,'Données projet'!$B$88,BD123+BC124-BL123)))</f>
        <v>377.99000000000012</v>
      </c>
      <c r="BE124" s="14">
        <f>BD124*VLOOKUP('Données projet'!$B$11,Paramètres!$A$1:$I$89,3,0)*VLOOKUP('Données projet'!$B$11,Paramètres!$A$1:$I$89,5,0)</f>
        <v>318.41877600000015</v>
      </c>
      <c r="BF124" s="14">
        <f t="shared" si="91"/>
        <v>75.024254467088582</v>
      </c>
      <c r="BG124" s="22">
        <f t="shared" si="61"/>
        <v>685.24661139684622</v>
      </c>
      <c r="BH124" s="62">
        <f t="shared" si="62"/>
        <v>978.57994473017948</v>
      </c>
      <c r="BI124" s="62">
        <f ca="1">AVERAGE(OFFSET($BH$3,0,0,'Données projet'!$E$11+1,1))-AVERAGE(OFFSET($H$3,0,0,'Données projet'!$E$11+1,1))</f>
        <v>339.58585574836434</v>
      </c>
      <c r="BJ124" s="62">
        <f t="shared" si="92"/>
        <v>42.267525972379588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47.564976114528463</v>
      </c>
      <c r="BQ124" s="23">
        <f>EXP(-LN(2)/25)*BQ123+(1-EXP(-LN(2)/25))/(LN(2)/25)*Calculateur!BL124*Calculateur!BN124*VLOOKUP('Données projet'!$B$11,Paramètres!$A$1:$I$89,3,0)*0.475*44/12</f>
        <v>5.5011220367490319</v>
      </c>
      <c r="BR124" s="23">
        <f>EXP(-LN(2)/2)*BR123+(1-EXP(-LN(2)/2))/(LN(2)/2)*BL124*BO124*VLOOKUP('Données projet'!$B$11,Paramètres!$A$1:$I$89,3,0)*0.475*44/12</f>
        <v>6.2818283351408396E-9</v>
      </c>
      <c r="BS124" s="24">
        <f t="shared" si="63"/>
        <v>53.066098157559324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112.34884104798977</v>
      </c>
      <c r="CE124" s="62">
        <f t="shared" si="94"/>
        <v>18.665658139749326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56.535445812639693</v>
      </c>
      <c r="CL124" s="23">
        <f>EXP(-LN(2)/25)*CL123+(1-EXP(-LN(2)/25))/(LN(2)/25)*Calculateur!CG124*Calculateur!CI124*VLOOKUP('Données projet'!$B$12,Paramètres!$A$1:$I$89,3,0)*0.475*44/12</f>
        <v>3.7830287621729366</v>
      </c>
      <c r="CM124" s="23">
        <f>EXP(-LN(2)/2)*CM123+(1-EXP(-LN(2)/2))/(LN(2)/2)*CG124*CJ124*VLOOKUP('Données projet'!$B$12,Paramètres!$A$1:$I$89,3,0)*0.475*44/12</f>
        <v>7.9962179187682058E-11</v>
      </c>
      <c r="CN124" s="24">
        <f t="shared" si="66"/>
        <v>60.318474574892598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-1.1368683772161603E-13</v>
      </c>
      <c r="CU124" s="18">
        <f>CT124*VLOOKUP('Données projet'!$B$13,Paramètres!$A$1:$I$89,3,0)*VLOOKUP('Données projet'!$B$13,Paramètres!$A$1:$I$89,5,0)</f>
        <v>-1.2414602679200469E-13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205.21073681197737</v>
      </c>
      <c r="CZ124" s="62">
        <f t="shared" si="96"/>
        <v>175.16446313750316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21.330534530024963</v>
      </c>
      <c r="DG124" s="23">
        <f>EXP(-LN(2)/25)*DG123+(1-EXP(-LN(2)/25))/(LN(2)/25)*Calculateur!DB124*Calculateur!DD124*VLOOKUP('Données projet'!$B$13,Paramètres!$A$1:$I$89,3,0)*0.475*44/12</f>
        <v>5.8474360419447162</v>
      </c>
      <c r="DH124" s="23">
        <f>EXP(-LN(2)/2)*DH123+(1-EXP(-LN(2)/2))/(LN(2)/2)*DB124*DE124*VLOOKUP('Données projet'!$B$13,Paramètres!$A$1:$I$89,3,0)*0.475*44/12</f>
        <v>7.1448066081128806E-11</v>
      </c>
      <c r="DI124" s="24">
        <f t="shared" si="69"/>
        <v>27.177970572041129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2.2737367544323206E-13</v>
      </c>
      <c r="DP124" s="18">
        <f>DO124*VLOOKUP('Données projet'!$B$14,Paramètres!$A$1:$I$89,3,0)*VLOOKUP('Données projet'!$B$14,Paramètres!$A$1:$I$89,5,0)</f>
        <v>1.8444552551954985E-13</v>
      </c>
      <c r="DQ124" s="14">
        <f t="shared" si="97"/>
        <v>2.580317449479618E-12</v>
      </c>
      <c r="DR124" s="22">
        <f t="shared" si="70"/>
        <v>4.8152955147902165E-12</v>
      </c>
      <c r="DS124" s="62">
        <f t="shared" si="71"/>
        <v>293.33333333333815</v>
      </c>
      <c r="DT124" s="62">
        <f ca="1">AVERAGE(OFFSET($DS$3,0,0,'Données projet'!$E$14+1,1))-AVERAGE(OFFSET($H$3,0,0,'Données projet'!$E$14+1,1))</f>
        <v>223.63222290670075</v>
      </c>
      <c r="DU124" s="62">
        <f t="shared" si="98"/>
        <v>290.02663909417248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22.713903515565804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6.2751679919253073E-8</v>
      </c>
      <c r="ED124" s="24">
        <f t="shared" si="72"/>
        <v>22.713903578317485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405.47759952802585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192.24617268603629</v>
      </c>
      <c r="T125" s="62">
        <f t="shared" si="88"/>
        <v>192.48585280662832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25.773871512047691</v>
      </c>
      <c r="AA125" s="23">
        <f>EXP(-LN(2)/25)*AA124+(1-EXP(-LN(2)/25))/(LN(2)/25)*Calculateur!V125*Calculateur!X125*VLOOKUP('Données projet'!$B$9,Paramètres!$A$1:$I$89,3,0)*0.475*44/12</f>
        <v>5.6823236913216748</v>
      </c>
      <c r="AB125" s="23">
        <f>EXP(-LN(2)/2)*AB124+(1-EXP(-LN(2)/2))/(LN(2)/2)*V125*Y125*VLOOKUP('Données projet'!$B$9,Paramètres!$A$1:$I$89,3,0)*0.475*44/12</f>
        <v>1.9542208042581565E-8</v>
      </c>
      <c r="AC125" s="24">
        <f t="shared" si="57"/>
        <v>31.456195222911575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1.9999999998958629E-3</v>
      </c>
      <c r="AJ125" s="14">
        <f>AI125*VLOOKUP('Données projet'!$B$10,Paramètres!$A$1:$I$89,3,0)*VLOOKUP('Données projet'!$B$10,Paramètres!$A$1:$I$89,5,0)</f>
        <v>1.195999999937726E-3</v>
      </c>
      <c r="AK125" s="14">
        <f t="shared" si="89"/>
        <v>1.2062444695752218E-3</v>
      </c>
      <c r="AL125" s="22">
        <f t="shared" si="58"/>
        <v>4.1839091177350513E-3</v>
      </c>
      <c r="AM125" s="62">
        <f t="shared" si="59"/>
        <v>293.33751724245104</v>
      </c>
      <c r="AN125" s="62">
        <f ca="1">AVERAGE(OFFSET($AM$3,0,0,'Données projet'!$E$10+1,1))-AVERAGE(OFFSET($H$3,0,0,'Données projet'!$E$10+1,1))</f>
        <v>164.64952352018145</v>
      </c>
      <c r="AO125" s="62">
        <f t="shared" si="90"/>
        <v>280.08682720086921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12.88902961513973</v>
      </c>
      <c r="AV125" s="23">
        <f>EXP(-LN(2)/25)*AV124+(1-EXP(-LN(2)/25))/(LN(2)/25)*Calculateur!AQ125*Calculateur!AS125*VLOOKUP('Données projet'!$B$10,Paramètres!$A$1:$I$89,3,0)*0.475*44/12</f>
        <v>2.509724205645393</v>
      </c>
      <c r="AW125" s="23">
        <f>EXP(-LN(2)/2)*AW124+(1-EXP(-LN(2)/2))/(LN(2)/2)*AQ125*AT125*VLOOKUP('Données projet'!$B$10,Paramètres!$A$1:$I$89,3,0)*0.475*44/12</f>
        <v>7.7054534120445615E-12</v>
      </c>
      <c r="AX125" s="23">
        <f t="shared" si="60"/>
        <v>15.398753820792829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>
        <f>VLOOKUP(A125,'Données projet'!$A$87:$I$107,2,0)</f>
        <v>387.96000000000004</v>
      </c>
      <c r="BB125" s="13">
        <f>VLOOKUP(A125,'Données projet'!$A$87:$I$107,9,0)</f>
        <v>9.9699999999999989</v>
      </c>
      <c r="BC125" s="13">
        <f t="array" ref="BC125">INDEX(BB:BB,MIN(IF(ISNUMBER(BB125:BB321),ROW(BB125:BB321),"")))</f>
        <v>9.9699999999999989</v>
      </c>
      <c r="BD125" s="13">
        <f>IF('Données projet'!$A$88&gt;35,BD124+BC125-BL124,IF(A125&lt;'Données projet'!$A$88,$BA$205^A125,IF(A125='Données projet'!$A$88,'Données projet'!$B$88,BD124+BC125-BL124)))</f>
        <v>387.96000000000015</v>
      </c>
      <c r="BE125" s="14">
        <f>BD125*VLOOKUP('Données projet'!$B$11,Paramètres!$A$1:$I$89,3,0)*VLOOKUP('Données projet'!$B$11,Paramètres!$A$1:$I$89,5,0)</f>
        <v>326.81750400000016</v>
      </c>
      <c r="BF125" s="14">
        <f t="shared" si="91"/>
        <v>76.770122881516258</v>
      </c>
      <c r="BG125" s="22">
        <f t="shared" si="61"/>
        <v>702.91511681864097</v>
      </c>
      <c r="BH125" s="62">
        <f t="shared" si="62"/>
        <v>996.24845015197434</v>
      </c>
      <c r="BI125" s="62">
        <f ca="1">AVERAGE(OFFSET($BH$3,0,0,'Données projet'!$E$11+1,1))-AVERAGE(OFFSET($H$3,0,0,'Données projet'!$E$11+1,1))</f>
        <v>339.58585574836434</v>
      </c>
      <c r="BJ125" s="62">
        <f t="shared" si="92"/>
        <v>42.267525972379588</v>
      </c>
      <c r="BK125" s="16">
        <f>IF(ISNA(VLOOKUP(A125,'Données projet'!$A$87:$I$107,3,0)),0,VLOOKUP(A125,'Données projet'!$A$87:$I$107,3,0))</f>
        <v>15</v>
      </c>
      <c r="BL125" s="16">
        <f>IF(ISNA(VLOOKUP(A125,'Données projet'!$A$87:$I$107,4,0)),0,VLOOKUP(A125,'Données projet'!$A$87:$I$107,4,0))</f>
        <v>44.52</v>
      </c>
      <c r="BM125" s="17">
        <f>IF(ISNA(VLOOKUP(A125,'Données projet'!$A$87:$I$107,5,0)),0%,VLOOKUP(A125,'Données projet'!$A$87:$I$107,5,0)*VLOOKUP('Données projet'!$B$11,Paramètres!$A$1:$I$89,7,0))</f>
        <v>0.34400000000000003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60.894211108713293</v>
      </c>
      <c r="BQ125" s="23">
        <f>EXP(-LN(2)/25)*BQ124+(1-EXP(-LN(2)/25))/(LN(2)/25)*Calculateur!BL125*Calculateur!BN125*VLOOKUP('Données projet'!$B$11,Paramètres!$A$1:$I$89,3,0)*0.475*44/12</f>
        <v>5.350693565362695</v>
      </c>
      <c r="BR125" s="23">
        <f>EXP(-LN(2)/2)*BR124+(1-EXP(-LN(2)/2))/(LN(2)/2)*BL125*BO125*VLOOKUP('Données projet'!$B$11,Paramètres!$A$1:$I$89,3,0)*0.475*44/12</f>
        <v>4.4419234140278877E-9</v>
      </c>
      <c r="BS125" s="24">
        <f t="shared" si="63"/>
        <v>66.244904678517912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112.34884104798977</v>
      </c>
      <c r="CE125" s="62">
        <f t="shared" si="94"/>
        <v>18.665658139749326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55.426820203470839</v>
      </c>
      <c r="CL125" s="23">
        <f>EXP(-LN(2)/25)*CL124+(1-EXP(-LN(2)/25))/(LN(2)/25)*Calculateur!CG125*Calculateur!CI125*VLOOKUP('Données projet'!$B$12,Paramètres!$A$1:$I$89,3,0)*0.475*44/12</f>
        <v>3.6795816417304814</v>
      </c>
      <c r="CM125" s="23">
        <f>EXP(-LN(2)/2)*CM124+(1-EXP(-LN(2)/2))/(LN(2)/2)*CG125*CJ125*VLOOKUP('Données projet'!$B$12,Paramètres!$A$1:$I$89,3,0)*0.475*44/12</f>
        <v>5.6541799142063802E-11</v>
      </c>
      <c r="CN125" s="24">
        <f t="shared" si="66"/>
        <v>59.106401845257864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-1.1368683772161603E-13</v>
      </c>
      <c r="CU125" s="18">
        <f>CT125*VLOOKUP('Données projet'!$B$13,Paramètres!$A$1:$I$89,3,0)*VLOOKUP('Données projet'!$B$13,Paramètres!$A$1:$I$89,5,0)</f>
        <v>-1.2414602679200469E-13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205.21073681197737</v>
      </c>
      <c r="CZ125" s="62">
        <f t="shared" si="96"/>
        <v>175.16446313750316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20.912255758232572</v>
      </c>
      <c r="DG125" s="23">
        <f>EXP(-LN(2)/25)*DG124+(1-EXP(-LN(2)/25))/(LN(2)/25)*Calculateur!DB125*Calculateur!DD125*VLOOKUP('Données projet'!$B$13,Paramètres!$A$1:$I$89,3,0)*0.475*44/12</f>
        <v>5.6875375958744412</v>
      </c>
      <c r="DH125" s="23">
        <f>EXP(-LN(2)/2)*DH124+(1-EXP(-LN(2)/2))/(LN(2)/2)*DB125*DE125*VLOOKUP('Données projet'!$B$13,Paramètres!$A$1:$I$89,3,0)*0.475*44/12</f>
        <v>5.0521412028630735E-11</v>
      </c>
      <c r="DI125" s="24">
        <f t="shared" si="69"/>
        <v>26.599793354157537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2.2737367544323206E-13</v>
      </c>
      <c r="DP125" s="18">
        <f>DO125*VLOOKUP('Données projet'!$B$14,Paramètres!$A$1:$I$89,3,0)*VLOOKUP('Données projet'!$B$14,Paramètres!$A$1:$I$89,5,0)</f>
        <v>1.8444552551954985E-13</v>
      </c>
      <c r="DQ125" s="14">
        <f t="shared" si="97"/>
        <v>2.580317449479618E-12</v>
      </c>
      <c r="DR125" s="22">
        <f t="shared" si="70"/>
        <v>4.8152955147902165E-12</v>
      </c>
      <c r="DS125" s="62">
        <f t="shared" si="71"/>
        <v>293.33333333333815</v>
      </c>
      <c r="DT125" s="62">
        <f ca="1">AVERAGE(OFFSET($DS$3,0,0,'Données projet'!$E$14+1,1))-AVERAGE(OFFSET($H$3,0,0,'Données projet'!$E$14+1,1))</f>
        <v>223.63222290670075</v>
      </c>
      <c r="DU125" s="62">
        <f t="shared" si="98"/>
        <v>290.02663909417248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22.268497721738722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4.4372138401751551E-8</v>
      </c>
      <c r="ED125" s="24">
        <f t="shared" si="72"/>
        <v>22.268497766110862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406.66595862013173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192.24617268603629</v>
      </c>
      <c r="T126" s="62">
        <f t="shared" si="88"/>
        <v>192.48585280662832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25.268461612205787</v>
      </c>
      <c r="AA126" s="23">
        <f>EXP(-LN(2)/25)*AA125+(1-EXP(-LN(2)/25))/(LN(2)/25)*Calculateur!V126*Calculateur!X126*VLOOKUP('Données projet'!$B$9,Paramètres!$A$1:$I$89,3,0)*0.475*44/12</f>
        <v>5.5269402511620678</v>
      </c>
      <c r="AB126" s="23">
        <f>EXP(-LN(2)/2)*AB125+(1-EXP(-LN(2)/2))/(LN(2)/2)*V126*Y126*VLOOKUP('Données projet'!$B$9,Paramètres!$A$1:$I$89,3,0)*0.475*44/12</f>
        <v>1.3818427826267712E-8</v>
      </c>
      <c r="AC126" s="24">
        <f t="shared" si="57"/>
        <v>30.795401877186283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1.9999999998958629E-3</v>
      </c>
      <c r="AJ126" s="14">
        <f>AI126*VLOOKUP('Données projet'!$B$10,Paramètres!$A$1:$I$89,3,0)*VLOOKUP('Données projet'!$B$10,Paramètres!$A$1:$I$89,5,0)</f>
        <v>1.195999999937726E-3</v>
      </c>
      <c r="AK126" s="14">
        <f t="shared" si="89"/>
        <v>1.2062444695752218E-3</v>
      </c>
      <c r="AL126" s="22">
        <f t="shared" si="58"/>
        <v>4.1839091177350513E-3</v>
      </c>
      <c r="AM126" s="62">
        <f t="shared" si="59"/>
        <v>293.33751724245104</v>
      </c>
      <c r="AN126" s="62">
        <f ca="1">AVERAGE(OFFSET($AM$3,0,0,'Données projet'!$E$10+1,1))-AVERAGE(OFFSET($H$3,0,0,'Données projet'!$E$10+1,1))</f>
        <v>164.64952352018145</v>
      </c>
      <c r="AO126" s="62">
        <f t="shared" si="90"/>
        <v>280.08682720086921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12.636283605918644</v>
      </c>
      <c r="AV126" s="23">
        <f>EXP(-LN(2)/25)*AV125+(1-EXP(-LN(2)/25))/(LN(2)/25)*Calculateur!AQ126*Calculateur!AS126*VLOOKUP('Données projet'!$B$10,Paramètres!$A$1:$I$89,3,0)*0.475*44/12</f>
        <v>2.44109566526136</v>
      </c>
      <c r="AW126" s="23">
        <f>EXP(-LN(2)/2)*AW125+(1-EXP(-LN(2)/2))/(LN(2)/2)*AQ126*AT126*VLOOKUP('Données projet'!$B$10,Paramètres!$A$1:$I$89,3,0)*0.475*44/12</f>
        <v>5.4485783597737299E-12</v>
      </c>
      <c r="AX126" s="23">
        <f t="shared" si="60"/>
        <v>15.077379271185452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8.4949999999999974</v>
      </c>
      <c r="BD126" s="13">
        <f>IF('Données projet'!$A$88&gt;35,BD125+BC126-BL125,IF(A126&lt;'Données projet'!$A$88,$BA$205^A126,IF(A126='Données projet'!$A$88,'Données projet'!$B$88,BD125+BC126-BL125)))</f>
        <v>351.93500000000017</v>
      </c>
      <c r="BE126" s="14">
        <f>BD126*VLOOKUP('Données projet'!$B$11,Paramètres!$A$1:$I$89,3,0)*VLOOKUP('Données projet'!$B$11,Paramètres!$A$1:$I$89,5,0)</f>
        <v>296.47004400000014</v>
      </c>
      <c r="BF126" s="14">
        <f t="shared" si="91"/>
        <v>70.435940107742795</v>
      </c>
      <c r="BG126" s="22">
        <f t="shared" si="61"/>
        <v>639.02792232098557</v>
      </c>
      <c r="BH126" s="62">
        <f t="shared" si="62"/>
        <v>932.36125565431894</v>
      </c>
      <c r="BI126" s="62">
        <f ca="1">AVERAGE(OFFSET($BH$3,0,0,'Données projet'!$E$11+1,1))-AVERAGE(OFFSET($H$3,0,0,'Données projet'!$E$11+1,1))</f>
        <v>339.58585574836434</v>
      </c>
      <c r="BJ126" s="62">
        <f t="shared" si="92"/>
        <v>42.267525972379588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59.700112770672753</v>
      </c>
      <c r="BQ126" s="23">
        <f>EXP(-LN(2)/25)*BQ125+(1-EXP(-LN(2)/25))/(LN(2)/25)*Calculateur!BL126*Calculateur!BN126*VLOOKUP('Données projet'!$B$11,Paramètres!$A$1:$I$89,3,0)*0.475*44/12</f>
        <v>5.2043785684371064</v>
      </c>
      <c r="BR126" s="23">
        <f>EXP(-LN(2)/2)*BR125+(1-EXP(-LN(2)/2))/(LN(2)/2)*BL126*BO126*VLOOKUP('Données projet'!$B$11,Paramètres!$A$1:$I$89,3,0)*0.475*44/12</f>
        <v>3.1409141675704198E-9</v>
      </c>
      <c r="BS126" s="24">
        <f t="shared" si="63"/>
        <v>64.904491342250765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112.34884104798977</v>
      </c>
      <c r="CE126" s="62">
        <f t="shared" si="94"/>
        <v>18.665658139749326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54.339934066302938</v>
      </c>
      <c r="CL126" s="23">
        <f>EXP(-LN(2)/25)*CL125+(1-EXP(-LN(2)/25))/(LN(2)/25)*Calculateur!CG126*Calculateur!CI126*VLOOKUP('Données projet'!$B$12,Paramètres!$A$1:$I$89,3,0)*0.475*44/12</f>
        <v>3.5789632882365727</v>
      </c>
      <c r="CM126" s="23">
        <f>EXP(-LN(2)/2)*CM125+(1-EXP(-LN(2)/2))/(LN(2)/2)*CG126*CJ126*VLOOKUP('Données projet'!$B$12,Paramètres!$A$1:$I$89,3,0)*0.475*44/12</f>
        <v>3.9981089593841029E-11</v>
      </c>
      <c r="CN126" s="24">
        <f t="shared" si="66"/>
        <v>57.918897354579492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-1.1368683772161603E-13</v>
      </c>
      <c r="CU126" s="18">
        <f>CT126*VLOOKUP('Données projet'!$B$13,Paramètres!$A$1:$I$89,3,0)*VLOOKUP('Données projet'!$B$13,Paramètres!$A$1:$I$89,5,0)</f>
        <v>-1.2414602679200469E-13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205.21073681197737</v>
      </c>
      <c r="CZ126" s="62">
        <f t="shared" si="96"/>
        <v>175.16446313750316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20.502179178030172</v>
      </c>
      <c r="DG126" s="23">
        <f>EXP(-LN(2)/25)*DG125+(1-EXP(-LN(2)/25))/(LN(2)/25)*Calculateur!DB126*Calculateur!DD126*VLOOKUP('Données projet'!$B$13,Paramètres!$A$1:$I$89,3,0)*0.475*44/12</f>
        <v>5.5320115812206518</v>
      </c>
      <c r="DH126" s="23">
        <f>EXP(-LN(2)/2)*DH125+(1-EXP(-LN(2)/2))/(LN(2)/2)*DB126*DE126*VLOOKUP('Données projet'!$B$13,Paramètres!$A$1:$I$89,3,0)*0.475*44/12</f>
        <v>3.5724033040564403E-11</v>
      </c>
      <c r="DI126" s="24">
        <f t="shared" si="69"/>
        <v>26.034190759286545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2.2737367544323206E-13</v>
      </c>
      <c r="DP126" s="18">
        <f>DO126*VLOOKUP('Données projet'!$B$14,Paramètres!$A$1:$I$89,3,0)*VLOOKUP('Données projet'!$B$14,Paramètres!$A$1:$I$89,5,0)</f>
        <v>1.8444552551954985E-13</v>
      </c>
      <c r="DQ126" s="14">
        <f t="shared" si="97"/>
        <v>2.580317449479618E-12</v>
      </c>
      <c r="DR126" s="22">
        <f t="shared" si="70"/>
        <v>4.8152955147902165E-12</v>
      </c>
      <c r="DS126" s="62">
        <f t="shared" si="71"/>
        <v>293.33333333333815</v>
      </c>
      <c r="DT126" s="62">
        <f ca="1">AVERAGE(OFFSET($DS$3,0,0,'Données projet'!$E$14+1,1))-AVERAGE(OFFSET($H$3,0,0,'Données projet'!$E$14+1,1))</f>
        <v>223.63222290670075</v>
      </c>
      <c r="DU126" s="62">
        <f t="shared" si="98"/>
        <v>290.02663909417248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21.831826063857882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3.1375839959626536E-8</v>
      </c>
      <c r="ED126" s="24">
        <f t="shared" si="72"/>
        <v>21.831826095233723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407.85409314582705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192.24617268603629</v>
      </c>
      <c r="T127" s="62">
        <f t="shared" si="88"/>
        <v>192.48585280662832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24.772962492230182</v>
      </c>
      <c r="AA127" s="23">
        <f>EXP(-LN(2)/25)*AA126+(1-EXP(-LN(2)/25))/(LN(2)/25)*Calculateur!V127*Calculateur!X127*VLOOKUP('Données projet'!$B$9,Paramètres!$A$1:$I$89,3,0)*0.475*44/12</f>
        <v>5.3758057793448852</v>
      </c>
      <c r="AB127" s="23">
        <f>EXP(-LN(2)/2)*AB126+(1-EXP(-LN(2)/2))/(LN(2)/2)*V127*Y127*VLOOKUP('Données projet'!$B$9,Paramètres!$A$1:$I$89,3,0)*0.475*44/12</f>
        <v>9.7711040212907823E-9</v>
      </c>
      <c r="AC127" s="24">
        <f t="shared" si="57"/>
        <v>30.148768281346168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1.9999999998958629E-3</v>
      </c>
      <c r="AJ127" s="14">
        <f>AI127*VLOOKUP('Données projet'!$B$10,Paramètres!$A$1:$I$89,3,0)*VLOOKUP('Données projet'!$B$10,Paramètres!$A$1:$I$89,5,0)</f>
        <v>1.195999999937726E-3</v>
      </c>
      <c r="AK127" s="14">
        <f t="shared" si="89"/>
        <v>1.2062444695752218E-3</v>
      </c>
      <c r="AL127" s="22">
        <f t="shared" si="58"/>
        <v>4.1839091177350513E-3</v>
      </c>
      <c r="AM127" s="62">
        <f t="shared" si="59"/>
        <v>293.33751724245104</v>
      </c>
      <c r="AN127" s="62">
        <f ca="1">AVERAGE(OFFSET($AM$3,0,0,'Données projet'!$E$10+1,1))-AVERAGE(OFFSET($H$3,0,0,'Données projet'!$E$10+1,1))</f>
        <v>164.64952352018145</v>
      </c>
      <c r="AO127" s="62">
        <f t="shared" si="90"/>
        <v>280.08682720086921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12.388493791778538</v>
      </c>
      <c r="AV127" s="23">
        <f>EXP(-LN(2)/25)*AV126+(1-EXP(-LN(2)/25))/(LN(2)/25)*Calculateur!AQ127*Calculateur!AS127*VLOOKUP('Données projet'!$B$10,Paramètres!$A$1:$I$89,3,0)*0.475*44/12</f>
        <v>2.3743437759231463</v>
      </c>
      <c r="AW127" s="23">
        <f>EXP(-LN(2)/2)*AW126+(1-EXP(-LN(2)/2))/(LN(2)/2)*AQ127*AT127*VLOOKUP('Données projet'!$B$10,Paramètres!$A$1:$I$89,3,0)*0.475*44/12</f>
        <v>3.8527267060222808E-12</v>
      </c>
      <c r="AX127" s="23">
        <f t="shared" si="60"/>
        <v>14.762837567705537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8.4949999999999974</v>
      </c>
      <c r="BD127" s="13">
        <f>IF('Données projet'!$A$88&gt;35,BD126+BC127-BL126,IF(A127&lt;'Données projet'!$A$88,$BA$205^A127,IF(A127='Données projet'!$A$88,'Données projet'!$B$88,BD126+BC127-BL126)))</f>
        <v>360.43000000000018</v>
      </c>
      <c r="BE127" s="14">
        <f>BD127*VLOOKUP('Données projet'!$B$11,Paramètres!$A$1:$I$89,3,0)*VLOOKUP('Données projet'!$B$11,Paramètres!$A$1:$I$89,5,0)</f>
        <v>303.62623200000019</v>
      </c>
      <c r="BF127" s="14">
        <f t="shared" si="91"/>
        <v>71.936128587695009</v>
      </c>
      <c r="BG127" s="22">
        <f t="shared" si="61"/>
        <v>654.10444469023582</v>
      </c>
      <c r="BH127" s="62">
        <f t="shared" si="62"/>
        <v>947.43777802356908</v>
      </c>
      <c r="BI127" s="62">
        <f ca="1">AVERAGE(OFFSET($BH$3,0,0,'Données projet'!$E$11+1,1))-AVERAGE(OFFSET($H$3,0,0,'Données projet'!$E$11+1,1))</f>
        <v>339.58585574836434</v>
      </c>
      <c r="BJ127" s="62">
        <f t="shared" si="92"/>
        <v>42.267525972379588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58.529429972713118</v>
      </c>
      <c r="BQ127" s="23">
        <f>EXP(-LN(2)/25)*BQ126+(1-EXP(-LN(2)/25))/(LN(2)/25)*Calculateur!BL127*Calculateur!BN127*VLOOKUP('Données projet'!$B$11,Paramètres!$A$1:$I$89,3,0)*0.475*44/12</f>
        <v>5.0620645627968193</v>
      </c>
      <c r="BR127" s="23">
        <f>EXP(-LN(2)/2)*BR126+(1-EXP(-LN(2)/2))/(LN(2)/2)*BL127*BO127*VLOOKUP('Données projet'!$B$11,Paramètres!$A$1:$I$89,3,0)*0.475*44/12</f>
        <v>2.2209617070139439E-9</v>
      </c>
      <c r="BS127" s="24">
        <f t="shared" si="63"/>
        <v>63.591494537730902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112.34884104798977</v>
      </c>
      <c r="CE127" s="62">
        <f t="shared" si="94"/>
        <v>18.665658139749326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53.274361103349811</v>
      </c>
      <c r="CL127" s="23">
        <f>EXP(-LN(2)/25)*CL126+(1-EXP(-LN(2)/25))/(LN(2)/25)*Calculateur!CG127*Calculateur!CI127*VLOOKUP('Données projet'!$B$12,Paramètres!$A$1:$I$89,3,0)*0.475*44/12</f>
        <v>3.4810963489102442</v>
      </c>
      <c r="CM127" s="23">
        <f>EXP(-LN(2)/2)*CM126+(1-EXP(-LN(2)/2))/(LN(2)/2)*CG127*CJ127*VLOOKUP('Données projet'!$B$12,Paramètres!$A$1:$I$89,3,0)*0.475*44/12</f>
        <v>2.8270899571031901E-11</v>
      </c>
      <c r="CN127" s="24">
        <f t="shared" si="66"/>
        <v>56.755457452288326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-1.1368683772161603E-13</v>
      </c>
      <c r="CU127" s="18">
        <f>CT127*VLOOKUP('Données projet'!$B$13,Paramètres!$A$1:$I$89,3,0)*VLOOKUP('Données projet'!$B$13,Paramètres!$A$1:$I$89,5,0)</f>
        <v>-1.2414602679200469E-13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205.21073681197737</v>
      </c>
      <c r="CZ127" s="62">
        <f t="shared" si="96"/>
        <v>175.16446313750316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20.100143949443524</v>
      </c>
      <c r="DG127" s="23">
        <f>EXP(-LN(2)/25)*DG126+(1-EXP(-LN(2)/25))/(LN(2)/25)*Calculateur!DB127*Calculateur!DD127*VLOOKUP('Données projet'!$B$13,Paramètres!$A$1:$I$89,3,0)*0.475*44/12</f>
        <v>5.3807384336163278</v>
      </c>
      <c r="DH127" s="23">
        <f>EXP(-LN(2)/2)*DH126+(1-EXP(-LN(2)/2))/(LN(2)/2)*DB127*DE127*VLOOKUP('Données projet'!$B$13,Paramètres!$A$1:$I$89,3,0)*0.475*44/12</f>
        <v>2.5260706014315368E-11</v>
      </c>
      <c r="DI127" s="24">
        <f t="shared" si="69"/>
        <v>25.48088238308511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2.2737367544323206E-13</v>
      </c>
      <c r="DP127" s="18">
        <f>DO127*VLOOKUP('Données projet'!$B$14,Paramètres!$A$1:$I$89,3,0)*VLOOKUP('Données projet'!$B$14,Paramètres!$A$1:$I$89,5,0)</f>
        <v>1.8444552551954985E-13</v>
      </c>
      <c r="DQ127" s="14">
        <f t="shared" si="97"/>
        <v>2.580317449479618E-12</v>
      </c>
      <c r="DR127" s="22">
        <f t="shared" si="70"/>
        <v>4.8152955147902165E-12</v>
      </c>
      <c r="DS127" s="62">
        <f t="shared" si="71"/>
        <v>293.33333333333815</v>
      </c>
      <c r="DT127" s="62">
        <f ca="1">AVERAGE(OFFSET($DS$3,0,0,'Données projet'!$E$14+1,1))-AVERAGE(OFFSET($H$3,0,0,'Données projet'!$E$14+1,1))</f>
        <v>223.63222290670075</v>
      </c>
      <c r="DU127" s="62">
        <f t="shared" si="98"/>
        <v>290.02663909417248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21.403717270844673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2.2186069200875776E-8</v>
      </c>
      <c r="ED127" s="24">
        <f t="shared" si="72"/>
        <v>21.403717293030741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409.04200512602915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192.24617268603629</v>
      </c>
      <c r="T128" s="62">
        <f t="shared" si="88"/>
        <v>192.48585280662832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24.287179807772677</v>
      </c>
      <c r="AA128" s="23">
        <f>EXP(-LN(2)/25)*AA127+(1-EXP(-LN(2)/25))/(LN(2)/25)*Calculateur!V128*Calculateur!X128*VLOOKUP('Données projet'!$B$9,Paramètres!$A$1:$I$89,3,0)*0.475*44/12</f>
        <v>5.2288040876073598</v>
      </c>
      <c r="AB128" s="23">
        <f>EXP(-LN(2)/2)*AB127+(1-EXP(-LN(2)/2))/(LN(2)/2)*V128*Y128*VLOOKUP('Données projet'!$B$9,Paramètres!$A$1:$I$89,3,0)*0.475*44/12</f>
        <v>6.9092139131338559E-9</v>
      </c>
      <c r="AC128" s="24">
        <f t="shared" si="57"/>
        <v>29.515983902289253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1.9999999998958629E-3</v>
      </c>
      <c r="AJ128" s="14">
        <f>AI128*VLOOKUP('Données projet'!$B$10,Paramètres!$A$1:$I$89,3,0)*VLOOKUP('Données projet'!$B$10,Paramètres!$A$1:$I$89,5,0)</f>
        <v>1.195999999937726E-3</v>
      </c>
      <c r="AK128" s="14">
        <f t="shared" si="89"/>
        <v>1.2062444695752218E-3</v>
      </c>
      <c r="AL128" s="22">
        <f t="shared" si="58"/>
        <v>4.1839091177350513E-3</v>
      </c>
      <c r="AM128" s="62">
        <f t="shared" si="59"/>
        <v>293.33751724245104</v>
      </c>
      <c r="AN128" s="62">
        <f ca="1">AVERAGE(OFFSET($AM$3,0,0,'Données projet'!$E$10+1,1))-AVERAGE(OFFSET($H$3,0,0,'Données projet'!$E$10+1,1))</f>
        <v>164.64952352018145</v>
      </c>
      <c r="AO128" s="62">
        <f t="shared" si="90"/>
        <v>280.08682720086921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12.145562984756857</v>
      </c>
      <c r="AV128" s="23">
        <f>EXP(-LN(2)/25)*AV127+(1-EXP(-LN(2)/25))/(LN(2)/25)*Calculateur!AQ128*Calculateur!AS128*VLOOKUP('Données projet'!$B$10,Paramètres!$A$1:$I$89,3,0)*0.475*44/12</f>
        <v>2.3094172205092152</v>
      </c>
      <c r="AW128" s="23">
        <f>EXP(-LN(2)/2)*AW127+(1-EXP(-LN(2)/2))/(LN(2)/2)*AQ128*AT128*VLOOKUP('Données projet'!$B$10,Paramètres!$A$1:$I$89,3,0)*0.475*44/12</f>
        <v>2.7242891798868649E-12</v>
      </c>
      <c r="AX128" s="23">
        <f t="shared" si="60"/>
        <v>14.454980205268797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8.4949999999999974</v>
      </c>
      <c r="BD128" s="13">
        <f>IF('Données projet'!$A$88&gt;35,BD127+BC128-BL127,IF(A128&lt;'Données projet'!$A$88,$BA$205^A128,IF(A128='Données projet'!$A$88,'Données projet'!$B$88,BD127+BC128-BL127)))</f>
        <v>368.92500000000018</v>
      </c>
      <c r="BE128" s="14">
        <f>BD128*VLOOKUP('Données projet'!$B$11,Paramètres!$A$1:$I$89,3,0)*VLOOKUP('Données projet'!$B$11,Paramètres!$A$1:$I$89,5,0)</f>
        <v>310.78242000000023</v>
      </c>
      <c r="BF128" s="14">
        <f t="shared" si="91"/>
        <v>73.43220662908054</v>
      </c>
      <c r="BG128" s="22">
        <f t="shared" si="61"/>
        <v>669.17380804564903</v>
      </c>
      <c r="BH128" s="62">
        <f t="shared" si="62"/>
        <v>962.5071413789824</v>
      </c>
      <c r="BI128" s="62">
        <f ca="1">AVERAGE(OFFSET($BH$3,0,0,'Données projet'!$E$11+1,1))-AVERAGE(OFFSET($H$3,0,0,'Données projet'!$E$11+1,1))</f>
        <v>339.58585574836434</v>
      </c>
      <c r="BJ128" s="62">
        <f t="shared" si="92"/>
        <v>42.267525972379588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57.38170355037547</v>
      </c>
      <c r="BQ128" s="23">
        <f>EXP(-LN(2)/25)*BQ127+(1-EXP(-LN(2)/25))/(LN(2)/25)*Calculateur!BL128*Calculateur!BN128*VLOOKUP('Données projet'!$B$11,Paramètres!$A$1:$I$89,3,0)*0.475*44/12</f>
        <v>4.9236421411247342</v>
      </c>
      <c r="BR128" s="23">
        <f>EXP(-LN(2)/2)*BR127+(1-EXP(-LN(2)/2))/(LN(2)/2)*BL128*BO128*VLOOKUP('Données projet'!$B$11,Paramètres!$A$1:$I$89,3,0)*0.475*44/12</f>
        <v>1.5704570837852099E-9</v>
      </c>
      <c r="BS128" s="24">
        <f t="shared" si="63"/>
        <v>62.305345693070663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112.34884104798977</v>
      </c>
      <c r="CE128" s="62">
        <f t="shared" si="94"/>
        <v>18.665658139749326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52.229683376264866</v>
      </c>
      <c r="CL128" s="23">
        <f>EXP(-LN(2)/25)*CL127+(1-EXP(-LN(2)/25))/(LN(2)/25)*Calculateur!CG128*Calculateur!CI128*VLOOKUP('Données projet'!$B$12,Paramètres!$A$1:$I$89,3,0)*0.475*44/12</f>
        <v>3.3859055861863929</v>
      </c>
      <c r="CM128" s="23">
        <f>EXP(-LN(2)/2)*CM127+(1-EXP(-LN(2)/2))/(LN(2)/2)*CG128*CJ128*VLOOKUP('Données projet'!$B$12,Paramètres!$A$1:$I$89,3,0)*0.475*44/12</f>
        <v>1.9990544796920515E-11</v>
      </c>
      <c r="CN128" s="24">
        <f t="shared" si="66"/>
        <v>55.615588962471243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-1.1368683772161603E-13</v>
      </c>
      <c r="CU128" s="18">
        <f>CT128*VLOOKUP('Données projet'!$B$13,Paramètres!$A$1:$I$89,3,0)*VLOOKUP('Données projet'!$B$13,Paramètres!$A$1:$I$89,5,0)</f>
        <v>-1.2414602679200469E-13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205.21073681197737</v>
      </c>
      <c r="CZ128" s="62">
        <f t="shared" si="96"/>
        <v>175.16446313750316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19.705992386472182</v>
      </c>
      <c r="DG128" s="23">
        <f>EXP(-LN(2)/25)*DG127+(1-EXP(-LN(2)/25))/(LN(2)/25)*Calculateur!DB128*Calculateur!DD128*VLOOKUP('Données projet'!$B$13,Paramètres!$A$1:$I$89,3,0)*0.475*44/12</f>
        <v>5.2336018581883526</v>
      </c>
      <c r="DH128" s="23">
        <f>EXP(-LN(2)/2)*DH127+(1-EXP(-LN(2)/2))/(LN(2)/2)*DB128*DE128*VLOOKUP('Données projet'!$B$13,Paramètres!$A$1:$I$89,3,0)*0.475*44/12</f>
        <v>1.7862016520282201E-11</v>
      </c>
      <c r="DI128" s="24">
        <f t="shared" si="69"/>
        <v>24.939594244678396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2.2737367544323206E-13</v>
      </c>
      <c r="DP128" s="18">
        <f>DO128*VLOOKUP('Données projet'!$B$14,Paramètres!$A$1:$I$89,3,0)*VLOOKUP('Données projet'!$B$14,Paramètres!$A$1:$I$89,5,0)</f>
        <v>1.8444552551954985E-13</v>
      </c>
      <c r="DQ128" s="14">
        <f t="shared" si="97"/>
        <v>2.580317449479618E-12</v>
      </c>
      <c r="DR128" s="22">
        <f t="shared" si="70"/>
        <v>4.8152955147902165E-12</v>
      </c>
      <c r="DS128" s="62">
        <f t="shared" si="71"/>
        <v>293.33333333333815</v>
      </c>
      <c r="DT128" s="62">
        <f ca="1">AVERAGE(OFFSET($DS$3,0,0,'Données projet'!$E$14+1,1))-AVERAGE(OFFSET($H$3,0,0,'Données projet'!$E$14+1,1))</f>
        <v>223.63222290670075</v>
      </c>
      <c r="DU128" s="62">
        <f t="shared" si="98"/>
        <v>290.02663909417248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20.984003430141872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1.5687919979813268E-8</v>
      </c>
      <c r="ED128" s="24">
        <f t="shared" si="72"/>
        <v>20.984003445829792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410.22969654745395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192.24617268603629</v>
      </c>
      <c r="T129" s="62">
        <f t="shared" si="88"/>
        <v>192.48585280662832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23.810923025459203</v>
      </c>
      <c r="AA129" s="23">
        <f>EXP(-LN(2)/25)*AA128+(1-EXP(-LN(2)/25))/(LN(2)/25)*Calculateur!V129*Calculateur!X129*VLOOKUP('Données projet'!$B$9,Paramètres!$A$1:$I$89,3,0)*0.475*44/12</f>
        <v>5.0858221648608799</v>
      </c>
      <c r="AB129" s="23">
        <f>EXP(-LN(2)/2)*AB128+(1-EXP(-LN(2)/2))/(LN(2)/2)*V129*Y129*VLOOKUP('Données projet'!$B$9,Paramètres!$A$1:$I$89,3,0)*0.475*44/12</f>
        <v>4.8855520106453911E-9</v>
      </c>
      <c r="AC129" s="24">
        <f t="shared" si="57"/>
        <v>28.896745195205636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1.9999999998958629E-3</v>
      </c>
      <c r="AJ129" s="14">
        <f>AI129*VLOOKUP('Données projet'!$B$10,Paramètres!$A$1:$I$89,3,0)*VLOOKUP('Données projet'!$B$10,Paramètres!$A$1:$I$89,5,0)</f>
        <v>1.195999999937726E-3</v>
      </c>
      <c r="AK129" s="14">
        <f t="shared" si="89"/>
        <v>1.2062444695752218E-3</v>
      </c>
      <c r="AL129" s="22">
        <f t="shared" si="58"/>
        <v>4.1839091177350513E-3</v>
      </c>
      <c r="AM129" s="62">
        <f t="shared" si="59"/>
        <v>293.33751724245104</v>
      </c>
      <c r="AN129" s="62">
        <f ca="1">AVERAGE(OFFSET($AM$3,0,0,'Données projet'!$E$10+1,1))-AVERAGE(OFFSET($H$3,0,0,'Données projet'!$E$10+1,1))</f>
        <v>164.64952352018145</v>
      </c>
      <c r="AO129" s="62">
        <f t="shared" si="90"/>
        <v>280.08682720086921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11.907395902687711</v>
      </c>
      <c r="AV129" s="23">
        <f>EXP(-LN(2)/25)*AV128+(1-EXP(-LN(2)/25))/(LN(2)/25)*Calculateur!AQ129*Calculateur!AS129*VLOOKUP('Données projet'!$B$10,Paramètres!$A$1:$I$89,3,0)*0.475*44/12</f>
        <v>2.2462660851674174</v>
      </c>
      <c r="AW129" s="23">
        <f>EXP(-LN(2)/2)*AW128+(1-EXP(-LN(2)/2))/(LN(2)/2)*AQ129*AT129*VLOOKUP('Données projet'!$B$10,Paramètres!$A$1:$I$89,3,0)*0.475*44/12</f>
        <v>1.9263633530111404E-12</v>
      </c>
      <c r="AX129" s="23">
        <f t="shared" si="60"/>
        <v>14.153661987857053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8.4949999999999974</v>
      </c>
      <c r="BD129" s="13">
        <f>IF('Données projet'!$A$88&gt;35,BD128+BC129-BL128,IF(A129&lt;'Données projet'!$A$88,$BA$205^A129,IF(A129='Données projet'!$A$88,'Données projet'!$B$88,BD128+BC129-BL128)))</f>
        <v>377.42000000000019</v>
      </c>
      <c r="BE129" s="14">
        <f>BD129*VLOOKUP('Données projet'!$B$11,Paramètres!$A$1:$I$89,3,0)*VLOOKUP('Données projet'!$B$11,Paramètres!$A$1:$I$89,5,0)</f>
        <v>317.93860800000022</v>
      </c>
      <c r="BF129" s="14">
        <f t="shared" si="91"/>
        <v>74.92427977478836</v>
      </c>
      <c r="BG129" s="22">
        <f t="shared" si="61"/>
        <v>684.23619620775673</v>
      </c>
      <c r="BH129" s="62">
        <f t="shared" si="62"/>
        <v>977.56952954109011</v>
      </c>
      <c r="BI129" s="62">
        <f ca="1">AVERAGE(OFFSET($BH$3,0,0,'Données projet'!$E$11+1,1))-AVERAGE(OFFSET($H$3,0,0,'Données projet'!$E$11+1,1))</f>
        <v>339.58585574836434</v>
      </c>
      <c r="BJ129" s="62">
        <f t="shared" si="92"/>
        <v>42.267525972379588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56.256483343135869</v>
      </c>
      <c r="BQ129" s="23">
        <f>EXP(-LN(2)/25)*BQ128+(1-EXP(-LN(2)/25))/(LN(2)/25)*Calculateur!BL129*Calculateur!BN129*VLOOKUP('Données projet'!$B$11,Paramètres!$A$1:$I$89,3,0)*0.475*44/12</f>
        <v>4.7890048878525917</v>
      </c>
      <c r="BR129" s="23">
        <f>EXP(-LN(2)/2)*BR128+(1-EXP(-LN(2)/2))/(LN(2)/2)*BL129*BO129*VLOOKUP('Données projet'!$B$11,Paramètres!$A$1:$I$89,3,0)*0.475*44/12</f>
        <v>1.1104808535069719E-9</v>
      </c>
      <c r="BS129" s="24">
        <f t="shared" si="63"/>
        <v>61.04548823209894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112.34884104798977</v>
      </c>
      <c r="CE129" s="62">
        <f t="shared" si="94"/>
        <v>18.665658139749326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51.205491142217561</v>
      </c>
      <c r="CL129" s="23">
        <f>EXP(-LN(2)/25)*CL128+(1-EXP(-LN(2)/25))/(LN(2)/25)*Calculateur!CG129*Calculateur!CI129*VLOOKUP('Données projet'!$B$12,Paramètres!$A$1:$I$89,3,0)*0.475*44/12</f>
        <v>3.2933178198750896</v>
      </c>
      <c r="CM129" s="23">
        <f>EXP(-LN(2)/2)*CM128+(1-EXP(-LN(2)/2))/(LN(2)/2)*CG129*CJ129*VLOOKUP('Données projet'!$B$12,Paramètres!$A$1:$I$89,3,0)*0.475*44/12</f>
        <v>1.4135449785515951E-11</v>
      </c>
      <c r="CN129" s="24">
        <f t="shared" si="66"/>
        <v>54.498808962106786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-1.1368683772161603E-13</v>
      </c>
      <c r="CU129" s="18">
        <f>CT129*VLOOKUP('Données projet'!$B$13,Paramètres!$A$1:$I$89,3,0)*VLOOKUP('Données projet'!$B$13,Paramètres!$A$1:$I$89,5,0)</f>
        <v>-1.2414602679200469E-13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205.21073681197737</v>
      </c>
      <c r="CZ129" s="62">
        <f t="shared" si="96"/>
        <v>175.16446313750316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19.319569895241994</v>
      </c>
      <c r="DG129" s="23">
        <f>EXP(-LN(2)/25)*DG128+(1-EXP(-LN(2)/25))/(LN(2)/25)*Calculateur!DB129*Calculateur!DD129*VLOOKUP('Données projet'!$B$13,Paramètres!$A$1:$I$89,3,0)*0.475*44/12</f>
        <v>5.0904887401530319</v>
      </c>
      <c r="DH129" s="23">
        <f>EXP(-LN(2)/2)*DH128+(1-EXP(-LN(2)/2))/(LN(2)/2)*DB129*DE129*VLOOKUP('Données projet'!$B$13,Paramètres!$A$1:$I$89,3,0)*0.475*44/12</f>
        <v>1.2630353007157684E-11</v>
      </c>
      <c r="DI129" s="24">
        <f t="shared" si="69"/>
        <v>24.410058635407655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2.2737367544323206E-13</v>
      </c>
      <c r="DP129" s="18">
        <f>DO129*VLOOKUP('Données projet'!$B$14,Paramètres!$A$1:$I$89,3,0)*VLOOKUP('Données projet'!$B$14,Paramètres!$A$1:$I$89,5,0)</f>
        <v>1.8444552551954985E-13</v>
      </c>
      <c r="DQ129" s="14">
        <f t="shared" si="97"/>
        <v>2.580317449479618E-12</v>
      </c>
      <c r="DR129" s="22">
        <f t="shared" si="70"/>
        <v>4.8152955147902165E-12</v>
      </c>
      <c r="DS129" s="62">
        <f t="shared" si="71"/>
        <v>293.33333333333815</v>
      </c>
      <c r="DT129" s="62">
        <f ca="1">AVERAGE(OFFSET($DS$3,0,0,'Données projet'!$E$14+1,1))-AVERAGE(OFFSET($H$3,0,0,'Données projet'!$E$14+1,1))</f>
        <v>223.63222290670075</v>
      </c>
      <c r="DU129" s="62">
        <f t="shared" si="98"/>
        <v>290.02663909417248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20.572519921855086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1.1093034600437888E-8</v>
      </c>
      <c r="ED129" s="24">
        <f t="shared" si="72"/>
        <v>20.572519932948122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411.41716936346074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192.24617268603629</v>
      </c>
      <c r="T130" s="62">
        <f t="shared" si="88"/>
        <v>192.48585280662832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23.344005348158944</v>
      </c>
      <c r="AA130" s="23">
        <f>EXP(-LN(2)/25)*AA129+(1-EXP(-LN(2)/25))/(LN(2)/25)*Calculateur!V130*Calculateur!X130*VLOOKUP('Données projet'!$B$9,Paramètres!$A$1:$I$89,3,0)*0.475*44/12</f>
        <v>4.9467500903109949</v>
      </c>
      <c r="AB130" s="23">
        <f>EXP(-LN(2)/2)*AB129+(1-EXP(-LN(2)/2))/(LN(2)/2)*V130*Y130*VLOOKUP('Données projet'!$B$9,Paramètres!$A$1:$I$89,3,0)*0.475*44/12</f>
        <v>3.4546069565669279E-9</v>
      </c>
      <c r="AC130" s="24">
        <f t="shared" si="57"/>
        <v>28.290755441924546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1.9999999998958629E-3</v>
      </c>
      <c r="AJ130" s="14">
        <f>AI130*VLOOKUP('Données projet'!$B$10,Paramètres!$A$1:$I$89,3,0)*VLOOKUP('Données projet'!$B$10,Paramètres!$A$1:$I$89,5,0)</f>
        <v>1.195999999937726E-3</v>
      </c>
      <c r="AK130" s="14">
        <f t="shared" si="89"/>
        <v>1.2062444695752218E-3</v>
      </c>
      <c r="AL130" s="22">
        <f t="shared" si="58"/>
        <v>4.1839091177350513E-3</v>
      </c>
      <c r="AM130" s="62">
        <f t="shared" si="59"/>
        <v>293.33751724245104</v>
      </c>
      <c r="AN130" s="62">
        <f ca="1">AVERAGE(OFFSET($AM$3,0,0,'Données projet'!$E$10+1,1))-AVERAGE(OFFSET($H$3,0,0,'Données projet'!$E$10+1,1))</f>
        <v>164.64952352018145</v>
      </c>
      <c r="AO130" s="62">
        <f t="shared" si="90"/>
        <v>280.08682720086921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11.673899131830364</v>
      </c>
      <c r="AV130" s="23">
        <f>EXP(-LN(2)/25)*AV129+(1-EXP(-LN(2)/25))/(LN(2)/25)*Calculateur!AQ130*Calculateur!AS130*VLOOKUP('Données projet'!$B$10,Paramètres!$A$1:$I$89,3,0)*0.475*44/12</f>
        <v>2.1848418209425149</v>
      </c>
      <c r="AW130" s="23">
        <f>EXP(-LN(2)/2)*AW129+(1-EXP(-LN(2)/2))/(LN(2)/2)*AQ130*AT130*VLOOKUP('Données projet'!$B$10,Paramètres!$A$1:$I$89,3,0)*0.475*44/12</f>
        <v>1.3621445899434325E-12</v>
      </c>
      <c r="AX130" s="23">
        <f t="shared" si="60"/>
        <v>13.858740952774241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8.4949999999999974</v>
      </c>
      <c r="BD130" s="13">
        <f>IF('Données projet'!$A$88&gt;35,BD129+BC130-BL129,IF(A130&lt;'Données projet'!$A$88,$BA$205^A130,IF(A130='Données projet'!$A$88,'Données projet'!$B$88,BD129+BC130-BL129)))</f>
        <v>385.91500000000019</v>
      </c>
      <c r="BE130" s="14">
        <f>BD130*VLOOKUP('Données projet'!$B$11,Paramètres!$A$1:$I$89,3,0)*VLOOKUP('Données projet'!$B$11,Paramètres!$A$1:$I$89,5,0)</f>
        <v>325.0947960000002</v>
      </c>
      <c r="BF130" s="14">
        <f t="shared" si="91"/>
        <v>76.412448545360704</v>
      </c>
      <c r="BG130" s="22">
        <f t="shared" si="61"/>
        <v>699.29178424983684</v>
      </c>
      <c r="BH130" s="62">
        <f t="shared" si="62"/>
        <v>992.62511758317009</v>
      </c>
      <c r="BI130" s="62">
        <f ca="1">AVERAGE(OFFSET($BH$3,0,0,'Données projet'!$E$11+1,1))-AVERAGE(OFFSET($H$3,0,0,'Données projet'!$E$11+1,1))</f>
        <v>339.58585574836434</v>
      </c>
      <c r="BJ130" s="62">
        <f t="shared" si="92"/>
        <v>42.267525972379588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55.153328017843677</v>
      </c>
      <c r="BQ130" s="23">
        <f>EXP(-LN(2)/25)*BQ129+(1-EXP(-LN(2)/25))/(LN(2)/25)*Calculateur!BL130*Calculateur!BN130*VLOOKUP('Données projet'!$B$11,Paramètres!$A$1:$I$89,3,0)*0.475*44/12</f>
        <v>4.6580492973514414</v>
      </c>
      <c r="BR130" s="23">
        <f>EXP(-LN(2)/2)*BR129+(1-EXP(-LN(2)/2))/(LN(2)/2)*BL130*BO130*VLOOKUP('Données projet'!$B$11,Paramètres!$A$1:$I$89,3,0)*0.475*44/12</f>
        <v>7.8522854189260495E-10</v>
      </c>
      <c r="BS130" s="24">
        <f t="shared" si="63"/>
        <v>59.811377315980344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112.34884104798977</v>
      </c>
      <c r="CE130" s="62">
        <f t="shared" si="94"/>
        <v>18.665658139749326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50.201382693184343</v>
      </c>
      <c r="CL130" s="23">
        <f>EXP(-LN(2)/25)*CL129+(1-EXP(-LN(2)/25))/(LN(2)/25)*Calculateur!CG130*Calculateur!CI130*VLOOKUP('Données projet'!$B$12,Paramètres!$A$1:$I$89,3,0)*0.475*44/12</f>
        <v>3.2032618709025482</v>
      </c>
      <c r="CM130" s="23">
        <f>EXP(-LN(2)/2)*CM129+(1-EXP(-LN(2)/2))/(LN(2)/2)*CG130*CJ130*VLOOKUP('Données projet'!$B$12,Paramètres!$A$1:$I$89,3,0)*0.475*44/12</f>
        <v>9.9952723984602573E-12</v>
      </c>
      <c r="CN130" s="24">
        <f t="shared" si="66"/>
        <v>53.404644564096891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-1.1368683772161603E-13</v>
      </c>
      <c r="CU130" s="18">
        <f>CT130*VLOOKUP('Données projet'!$B$13,Paramètres!$A$1:$I$89,3,0)*VLOOKUP('Données projet'!$B$13,Paramètres!$A$1:$I$89,5,0)</f>
        <v>-1.2414602679200469E-13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205.21073681197737</v>
      </c>
      <c r="CZ130" s="62">
        <f t="shared" si="96"/>
        <v>175.16446313750316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18.940724913370385</v>
      </c>
      <c r="DG130" s="23">
        <f>EXP(-LN(2)/25)*DG129+(1-EXP(-LN(2)/25))/(LN(2)/25)*Calculateur!DB130*Calculateur!DD130*VLOOKUP('Données projet'!$B$13,Paramètres!$A$1:$I$89,3,0)*0.475*44/12</f>
        <v>4.9512890578563784</v>
      </c>
      <c r="DH130" s="23">
        <f>EXP(-LN(2)/2)*DH129+(1-EXP(-LN(2)/2))/(LN(2)/2)*DB130*DE130*VLOOKUP('Données projet'!$B$13,Paramètres!$A$1:$I$89,3,0)*0.475*44/12</f>
        <v>8.9310082601411007E-12</v>
      </c>
      <c r="DI130" s="24">
        <f t="shared" si="69"/>
        <v>23.892013971235695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2.2737367544323206E-13</v>
      </c>
      <c r="DP130" s="18">
        <f>DO130*VLOOKUP('Données projet'!$B$14,Paramètres!$A$1:$I$89,3,0)*VLOOKUP('Données projet'!$B$14,Paramètres!$A$1:$I$89,5,0)</f>
        <v>1.8444552551954985E-13</v>
      </c>
      <c r="DQ130" s="14">
        <f t="shared" si="97"/>
        <v>2.580317449479618E-12</v>
      </c>
      <c r="DR130" s="22">
        <f t="shared" si="70"/>
        <v>4.8152955147902165E-12</v>
      </c>
      <c r="DS130" s="62">
        <f t="shared" si="71"/>
        <v>293.33333333333815</v>
      </c>
      <c r="DT130" s="62">
        <f ca="1">AVERAGE(OFFSET($DS$3,0,0,'Données projet'!$E$14+1,1))-AVERAGE(OFFSET($H$3,0,0,'Données projet'!$E$14+1,1))</f>
        <v>223.63222290670075</v>
      </c>
      <c r="DU130" s="62">
        <f t="shared" si="98"/>
        <v>290.02663909417248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20.16910535418565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7.8439599899066341E-9</v>
      </c>
      <c r="ED130" s="24">
        <f t="shared" si="72"/>
        <v>20.169105362029608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412.60442549487129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192.24617268603629</v>
      </c>
      <c r="T131" s="62">
        <f t="shared" si="88"/>
        <v>192.48585280662832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22.886243641718881</v>
      </c>
      <c r="AA131" s="23">
        <f>EXP(-LN(2)/25)*AA130+(1-EXP(-LN(2)/25))/(LN(2)/25)*Calculateur!V131*Calculateur!X131*VLOOKUP('Données projet'!$B$9,Paramètres!$A$1:$I$89,3,0)*0.475*44/12</f>
        <v>4.8114809489531591</v>
      </c>
      <c r="AB131" s="23">
        <f>EXP(-LN(2)/2)*AB130+(1-EXP(-LN(2)/2))/(LN(2)/2)*V131*Y131*VLOOKUP('Données projet'!$B$9,Paramètres!$A$1:$I$89,3,0)*0.475*44/12</f>
        <v>2.4427760053226956E-9</v>
      </c>
      <c r="AC131" s="24">
        <f t="shared" si="57"/>
        <v>27.697724593114813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1.9999999998958629E-3</v>
      </c>
      <c r="AJ131" s="14">
        <f>AI131*VLOOKUP('Données projet'!$B$10,Paramètres!$A$1:$I$89,3,0)*VLOOKUP('Données projet'!$B$10,Paramètres!$A$1:$I$89,5,0)</f>
        <v>1.195999999937726E-3</v>
      </c>
      <c r="AK131" s="14">
        <f t="shared" si="89"/>
        <v>1.2062444695752218E-3</v>
      </c>
      <c r="AL131" s="22">
        <f t="shared" si="58"/>
        <v>4.1839091177350513E-3</v>
      </c>
      <c r="AM131" s="62">
        <f t="shared" si="59"/>
        <v>293.33751724245104</v>
      </c>
      <c r="AN131" s="62">
        <f ca="1">AVERAGE(OFFSET($AM$3,0,0,'Données projet'!$E$10+1,1))-AVERAGE(OFFSET($H$3,0,0,'Données projet'!$E$10+1,1))</f>
        <v>164.64952352018145</v>
      </c>
      <c r="AO131" s="62">
        <f t="shared" si="90"/>
        <v>280.08682720086921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11.444981090230563</v>
      </c>
      <c r="AV131" s="23">
        <f>EXP(-LN(2)/25)*AV130+(1-EXP(-LN(2)/25))/(LN(2)/25)*Calculateur!AQ131*Calculateur!AS131*VLOOKUP('Données projet'!$B$10,Paramètres!$A$1:$I$89,3,0)*0.475*44/12</f>
        <v>2.1250972064530038</v>
      </c>
      <c r="AW131" s="23">
        <f>EXP(-LN(2)/2)*AW130+(1-EXP(-LN(2)/2))/(LN(2)/2)*AQ131*AT131*VLOOKUP('Données projet'!$B$10,Paramètres!$A$1:$I$89,3,0)*0.475*44/12</f>
        <v>9.6318167650557019E-13</v>
      </c>
      <c r="AX131" s="23">
        <f t="shared" si="60"/>
        <v>13.57007829668453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8.4949999999999974</v>
      </c>
      <c r="BD131" s="13">
        <f>IF('Données projet'!$A$88&gt;35,BD130+BC131-BL130,IF(A131&lt;'Données projet'!$A$88,$BA$205^A131,IF(A131='Données projet'!$A$88,'Données projet'!$B$88,BD130+BC131-BL130)))</f>
        <v>394.4100000000002</v>
      </c>
      <c r="BE131" s="14">
        <f>BD131*VLOOKUP('Données projet'!$B$11,Paramètres!$A$1:$I$89,3,0)*VLOOKUP('Données projet'!$B$11,Paramètres!$A$1:$I$89,5,0)</f>
        <v>332.25098400000019</v>
      </c>
      <c r="BF131" s="14">
        <f t="shared" si="91"/>
        <v>77.896808783197088</v>
      </c>
      <c r="BG131" s="22">
        <f t="shared" si="61"/>
        <v>714.34073909740175</v>
      </c>
      <c r="BH131" s="62">
        <f t="shared" si="62"/>
        <v>1007.6740724307351</v>
      </c>
      <c r="BI131" s="62">
        <f ca="1">AVERAGE(OFFSET($BH$3,0,0,'Données projet'!$E$11+1,1))-AVERAGE(OFFSET($H$3,0,0,'Données projet'!$E$11+1,1))</f>
        <v>339.58585574836434</v>
      </c>
      <c r="BJ131" s="62">
        <f t="shared" si="92"/>
        <v>42.267525972379588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54.071804895622158</v>
      </c>
      <c r="BQ131" s="23">
        <f>EXP(-LN(2)/25)*BQ130+(1-EXP(-LN(2)/25))/(LN(2)/25)*Calculateur!BL131*Calculateur!BN131*VLOOKUP('Données projet'!$B$11,Paramètres!$A$1:$I$89,3,0)*0.475*44/12</f>
        <v>4.5306746943591998</v>
      </c>
      <c r="BR131" s="23">
        <f>EXP(-LN(2)/2)*BR130+(1-EXP(-LN(2)/2))/(LN(2)/2)*BL131*BO131*VLOOKUP('Données projet'!$B$11,Paramètres!$A$1:$I$89,3,0)*0.475*44/12</f>
        <v>5.5524042675348597E-10</v>
      </c>
      <c r="BS131" s="24">
        <f t="shared" si="63"/>
        <v>58.602479590536596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112.34884104798977</v>
      </c>
      <c r="CE131" s="62">
        <f t="shared" si="94"/>
        <v>18.665658139749326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49.216964198390983</v>
      </c>
      <c r="CL131" s="23">
        <f>EXP(-LN(2)/25)*CL130+(1-EXP(-LN(2)/25))/(LN(2)/25)*Calculateur!CG131*Calculateur!CI131*VLOOKUP('Données projet'!$B$12,Paramètres!$A$1:$I$89,3,0)*0.475*44/12</f>
        <v>3.1156685065904974</v>
      </c>
      <c r="CM131" s="23">
        <f>EXP(-LN(2)/2)*CM130+(1-EXP(-LN(2)/2))/(LN(2)/2)*CG131*CJ131*VLOOKUP('Données projet'!$B$12,Paramètres!$A$1:$I$89,3,0)*0.475*44/12</f>
        <v>7.0677248927579753E-12</v>
      </c>
      <c r="CN131" s="24">
        <f t="shared" si="66"/>
        <v>52.332632704988548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-1.1368683772161603E-13</v>
      </c>
      <c r="CU131" s="18">
        <f>CT131*VLOOKUP('Données projet'!$B$13,Paramètres!$A$1:$I$89,3,0)*VLOOKUP('Données projet'!$B$13,Paramètres!$A$1:$I$89,5,0)</f>
        <v>-1.2414602679200469E-13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205.21073681197737</v>
      </c>
      <c r="CZ131" s="62">
        <f t="shared" si="96"/>
        <v>175.16446313750316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18.569308850520656</v>
      </c>
      <c r="DG131" s="23">
        <f>EXP(-LN(2)/25)*DG130+(1-EXP(-LN(2)/25))/(LN(2)/25)*Calculateur!DB131*Calculateur!DD131*VLOOKUP('Données projet'!$B$13,Paramètres!$A$1:$I$89,3,0)*0.475*44/12</f>
        <v>4.8158957981923205</v>
      </c>
      <c r="DH131" s="23">
        <f>EXP(-LN(2)/2)*DH130+(1-EXP(-LN(2)/2))/(LN(2)/2)*DB131*DE131*VLOOKUP('Données projet'!$B$13,Paramètres!$A$1:$I$89,3,0)*0.475*44/12</f>
        <v>6.3151765035788419E-12</v>
      </c>
      <c r="DI131" s="24">
        <f t="shared" si="69"/>
        <v>23.385204648719295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2.2737367544323206E-13</v>
      </c>
      <c r="DP131" s="18">
        <f>DO131*VLOOKUP('Données projet'!$B$14,Paramètres!$A$1:$I$89,3,0)*VLOOKUP('Données projet'!$B$14,Paramètres!$A$1:$I$89,5,0)</f>
        <v>1.8444552551954985E-13</v>
      </c>
      <c r="DQ131" s="14">
        <f t="shared" si="97"/>
        <v>2.580317449479618E-12</v>
      </c>
      <c r="DR131" s="22">
        <f t="shared" si="70"/>
        <v>4.8152955147902165E-12</v>
      </c>
      <c r="DS131" s="62">
        <f t="shared" si="71"/>
        <v>293.33333333333815</v>
      </c>
      <c r="DT131" s="62">
        <f ca="1">AVERAGE(OFFSET($DS$3,0,0,'Données projet'!$E$14+1,1))-AVERAGE(OFFSET($H$3,0,0,'Données projet'!$E$14+1,1))</f>
        <v>223.63222290670075</v>
      </c>
      <c r="DU131" s="62">
        <f t="shared" si="98"/>
        <v>290.02663909417248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19.773601500129619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5.5465173002189439E-9</v>
      </c>
      <c r="ED131" s="24">
        <f t="shared" si="72"/>
        <v>19.773601505676137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413.79146683076101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192.24617268603629</v>
      </c>
      <c r="T132" s="62">
        <f t="shared" si="88"/>
        <v>192.48585280662832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22.437458363135036</v>
      </c>
      <c r="AA132" s="23">
        <f>EXP(-LN(2)/25)*AA131+(1-EXP(-LN(2)/25))/(LN(2)/25)*Calculateur!V132*Calculateur!X132*VLOOKUP('Données projet'!$B$9,Paramètres!$A$1:$I$89,3,0)*0.475*44/12</f>
        <v>4.6799107493792489</v>
      </c>
      <c r="AB132" s="23">
        <f>EXP(-LN(2)/2)*AB131+(1-EXP(-LN(2)/2))/(LN(2)/2)*V132*Y132*VLOOKUP('Données projet'!$B$9,Paramètres!$A$1:$I$89,3,0)*0.475*44/12</f>
        <v>1.727303478283464E-9</v>
      </c>
      <c r="AC132" s="24">
        <f t="shared" ref="AC132:AC153" si="111">SUM(Z132:AB132)</f>
        <v>27.11736911424159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1.9999999998958629E-3</v>
      </c>
      <c r="AJ132" s="14">
        <f>AI132*VLOOKUP('Données projet'!$B$10,Paramètres!$A$1:$I$89,3,0)*VLOOKUP('Données projet'!$B$10,Paramètres!$A$1:$I$89,5,0)</f>
        <v>1.195999999937726E-3</v>
      </c>
      <c r="AK132" s="14">
        <f t="shared" si="89"/>
        <v>1.2062444695752218E-3</v>
      </c>
      <c r="AL132" s="22">
        <f t="shared" ref="AL132:AL153" si="112">(AJ132+AK132)*0.475*44/12</f>
        <v>4.1839091177350513E-3</v>
      </c>
      <c r="AM132" s="62">
        <f t="shared" ref="AM132:AM195" si="113">AL132+(AD132+AE132)*44/12</f>
        <v>293.33751724245104</v>
      </c>
      <c r="AN132" s="62">
        <f ca="1">AVERAGE(OFFSET($AM$3,0,0,'Données projet'!$E$10+1,1))-AVERAGE(OFFSET($H$3,0,0,'Données projet'!$E$10+1,1))</f>
        <v>164.64952352018145</v>
      </c>
      <c r="AO132" s="62">
        <f t="shared" si="90"/>
        <v>280.08682720086921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11.220551991800315</v>
      </c>
      <c r="AV132" s="23">
        <f>EXP(-LN(2)/25)*AV131+(1-EXP(-LN(2)/25))/(LN(2)/25)*Calculateur!AQ132*Calculateur!AS132*VLOOKUP('Données projet'!$B$10,Paramètres!$A$1:$I$89,3,0)*0.475*44/12</f>
        <v>2.0669863115885412</v>
      </c>
      <c r="AW132" s="23">
        <f>EXP(-LN(2)/2)*AW131+(1-EXP(-LN(2)/2))/(LN(2)/2)*AQ132*AT132*VLOOKUP('Données projet'!$B$10,Paramètres!$A$1:$I$89,3,0)*0.475*44/12</f>
        <v>6.8107229497171624E-13</v>
      </c>
      <c r="AX132" s="23">
        <f t="shared" ref="AX132:AX153" si="114">SUM(AU132:AW132)</f>
        <v>13.287538303389537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8.4949999999999974</v>
      </c>
      <c r="BD132" s="13">
        <f>IF('Données projet'!$A$88&gt;35,BD131+BC132-BL131,IF(A132&lt;'Données projet'!$A$88,$BA$205^A132,IF(A132='Données projet'!$A$88,'Données projet'!$B$88,BD131+BC132-BL131)))</f>
        <v>402.9050000000002</v>
      </c>
      <c r="BE132" s="14">
        <f>BD132*VLOOKUP('Données projet'!$B$11,Paramètres!$A$1:$I$89,3,0)*VLOOKUP('Données projet'!$B$11,Paramètres!$A$1:$I$89,5,0)</f>
        <v>339.40717200000017</v>
      </c>
      <c r="BF132" s="14">
        <f t="shared" si="91"/>
        <v>79.377451966267586</v>
      </c>
      <c r="BG132" s="22">
        <f t="shared" ref="BG132:BG153" si="115">(BE132+BF132)*0.475*44/12</f>
        <v>729.38322007458294</v>
      </c>
      <c r="BH132" s="62">
        <f t="shared" ref="BH132:BH195" si="116">BG132+(AY132+AZ132)*44/12</f>
        <v>1022.7165534079163</v>
      </c>
      <c r="BI132" s="62">
        <f ca="1">AVERAGE(OFFSET($BH$3,0,0,'Données projet'!$E$11+1,1))-AVERAGE(OFFSET($H$3,0,0,'Données projet'!$E$11+1,1))</f>
        <v>339.58585574836434</v>
      </c>
      <c r="BJ132" s="62">
        <f t="shared" si="92"/>
        <v>42.267525972379588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53.011489782163437</v>
      </c>
      <c r="BQ132" s="23">
        <f>EXP(-LN(2)/25)*BQ131+(1-EXP(-LN(2)/25))/(LN(2)/25)*Calculateur!BL132*Calculateur!BN132*VLOOKUP('Données projet'!$B$11,Paramètres!$A$1:$I$89,3,0)*0.475*44/12</f>
        <v>4.4067831565841207</v>
      </c>
      <c r="BR132" s="23">
        <f>EXP(-LN(2)/2)*BR131+(1-EXP(-LN(2)/2))/(LN(2)/2)*BL132*BO132*VLOOKUP('Données projet'!$B$11,Paramètres!$A$1:$I$89,3,0)*0.475*44/12</f>
        <v>3.9261427094630248E-10</v>
      </c>
      <c r="BS132" s="24">
        <f t="shared" ref="BS132:BS153" si="117">SUM(BP132:BR132)</f>
        <v>57.418272939140174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112.34884104798977</v>
      </c>
      <c r="CE132" s="62">
        <f t="shared" si="94"/>
        <v>18.665658139749326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48.251849549844529</v>
      </c>
      <c r="CL132" s="23">
        <f>EXP(-LN(2)/25)*CL131+(1-EXP(-LN(2)/25))/(LN(2)/25)*Calculateur!CG132*Calculateur!CI132*VLOOKUP('Données projet'!$B$12,Paramètres!$A$1:$I$89,3,0)*0.475*44/12</f>
        <v>3.0304703874318943</v>
      </c>
      <c r="CM132" s="23">
        <f>EXP(-LN(2)/2)*CM131+(1-EXP(-LN(2)/2))/(LN(2)/2)*CG132*CJ132*VLOOKUP('Données projet'!$B$12,Paramètres!$A$1:$I$89,3,0)*0.475*44/12</f>
        <v>4.9976361992301286E-12</v>
      </c>
      <c r="CN132" s="24">
        <f t="shared" ref="CN132:CN153" si="120">SUM(CK132:CM132)</f>
        <v>51.282319937281422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-1.1368683772161603E-13</v>
      </c>
      <c r="CU132" s="18">
        <f>CT132*VLOOKUP('Données projet'!$B$13,Paramètres!$A$1:$I$89,3,0)*VLOOKUP('Données projet'!$B$13,Paramètres!$A$1:$I$89,5,0)</f>
        <v>-1.2414602679200469E-13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205.21073681197737</v>
      </c>
      <c r="CZ132" s="62">
        <f t="shared" si="96"/>
        <v>175.16446313750316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18.205176030121979</v>
      </c>
      <c r="DG132" s="23">
        <f>EXP(-LN(2)/25)*DG131+(1-EXP(-LN(2)/25))/(LN(2)/25)*Calculateur!DB132*Calculateur!DD132*VLOOKUP('Données projet'!$B$13,Paramètres!$A$1:$I$89,3,0)*0.475*44/12</f>
        <v>4.6842048743337985</v>
      </c>
      <c r="DH132" s="23">
        <f>EXP(-LN(2)/2)*DH131+(1-EXP(-LN(2)/2))/(LN(2)/2)*DB132*DE132*VLOOKUP('Données projet'!$B$13,Paramètres!$A$1:$I$89,3,0)*0.475*44/12</f>
        <v>4.4655041300705504E-12</v>
      </c>
      <c r="DI132" s="24">
        <f t="shared" ref="DI132:DI153" si="123">SUM(DF132:DH132)</f>
        <v>22.889380904460243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2.2737367544323206E-13</v>
      </c>
      <c r="DP132" s="18">
        <f>DO132*VLOOKUP('Données projet'!$B$14,Paramètres!$A$1:$I$89,3,0)*VLOOKUP('Données projet'!$B$14,Paramètres!$A$1:$I$89,5,0)</f>
        <v>1.8444552551954985E-13</v>
      </c>
      <c r="DQ132" s="14">
        <f t="shared" si="97"/>
        <v>2.580317449479618E-12</v>
      </c>
      <c r="DR132" s="22">
        <f t="shared" ref="DR132:DR153" si="124">(DP132+DQ132)*0.475*44/12</f>
        <v>4.8152955147902165E-12</v>
      </c>
      <c r="DS132" s="62">
        <f t="shared" ref="DS132:DS195" si="125">DR132+(DJ132+DK132)*44/12</f>
        <v>293.33333333333815</v>
      </c>
      <c r="DT132" s="62">
        <f ca="1">AVERAGE(OFFSET($DS$3,0,0,'Données projet'!$E$14+1,1))-AVERAGE(OFFSET($H$3,0,0,'Données projet'!$E$14+1,1))</f>
        <v>223.63222290670075</v>
      </c>
      <c r="DU132" s="62">
        <f t="shared" si="98"/>
        <v>290.02663909417248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19.385853235418097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3.921979994953317E-9</v>
      </c>
      <c r="ED132" s="24">
        <f t="shared" ref="ED132:ED153" si="126">SUM(EA132:EC132)</f>
        <v>19.385853239340076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414.97829522922581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192.24617268603629</v>
      </c>
      <c r="T133" s="62">
        <f t="shared" ref="T133:T196" si="142">$T$3</f>
        <v>192.48585280662832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21.997473490132229</v>
      </c>
      <c r="AA133" s="23">
        <f>EXP(-LN(2)/25)*AA132+(1-EXP(-LN(2)/25))/(LN(2)/25)*Calculateur!V133*Calculateur!X133*VLOOKUP('Données projet'!$B$9,Paramètres!$A$1:$I$89,3,0)*0.475*44/12</f>
        <v>4.5519383438316634</v>
      </c>
      <c r="AB133" s="23">
        <f>EXP(-LN(2)/2)*AB132+(1-EXP(-LN(2)/2))/(LN(2)/2)*V133*Y133*VLOOKUP('Données projet'!$B$9,Paramètres!$A$1:$I$89,3,0)*0.475*44/12</f>
        <v>1.2213880026613478E-9</v>
      </c>
      <c r="AC133" s="24">
        <f t="shared" si="111"/>
        <v>26.549411835185282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1.9999999998958629E-3</v>
      </c>
      <c r="AJ133" s="14">
        <f>AI133*VLOOKUP('Données projet'!$B$10,Paramètres!$A$1:$I$89,3,0)*VLOOKUP('Données projet'!$B$10,Paramètres!$A$1:$I$89,5,0)</f>
        <v>1.195999999937726E-3</v>
      </c>
      <c r="AK133" s="14">
        <f t="shared" ref="AK133:AK153" si="143">EXP(-1.0587+0.8836*LN(AJ133)+0.284)</f>
        <v>1.2062444695752218E-3</v>
      </c>
      <c r="AL133" s="22">
        <f t="shared" si="112"/>
        <v>4.1839091177350513E-3</v>
      </c>
      <c r="AM133" s="62">
        <f t="shared" si="113"/>
        <v>293.33751724245104</v>
      </c>
      <c r="AN133" s="62">
        <f ca="1">AVERAGE(OFFSET($AM$3,0,0,'Données projet'!$E$10+1,1))-AVERAGE(OFFSET($H$3,0,0,'Données projet'!$E$10+1,1))</f>
        <v>164.64952352018145</v>
      </c>
      <c r="AO133" s="62">
        <f t="shared" ref="AO133:AO196" si="144">$AO$3</f>
        <v>280.08682720086921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11.000523811102051</v>
      </c>
      <c r="AV133" s="23">
        <f>EXP(-LN(2)/25)*AV132+(1-EXP(-LN(2)/25))/(LN(2)/25)*Calculateur!AQ133*Calculateur!AS133*VLOOKUP('Données projet'!$B$10,Paramètres!$A$1:$I$89,3,0)*0.475*44/12</f>
        <v>2.0104644622000665</v>
      </c>
      <c r="AW133" s="23">
        <f>EXP(-LN(2)/2)*AW132+(1-EXP(-LN(2)/2))/(LN(2)/2)*AQ133*AT133*VLOOKUP('Données projet'!$B$10,Paramètres!$A$1:$I$89,3,0)*0.475*44/12</f>
        <v>4.815908382527851E-13</v>
      </c>
      <c r="AX133" s="23">
        <f t="shared" si="114"/>
        <v>13.010988273302599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411.40000000000003</v>
      </c>
      <c r="BB133" s="13">
        <f>VLOOKUP(A133,'Données projet'!$A$87:$I$107,9,0)</f>
        <v>8.4949999999999974</v>
      </c>
      <c r="BC133" s="13">
        <f t="array" ref="BC133">INDEX(BB:BB,MIN(IF(ISNUMBER(BB133:BB329),ROW(BB133:BB329),"")))</f>
        <v>8.4949999999999974</v>
      </c>
      <c r="BD133" s="13">
        <f>IF('Données projet'!$A$88&gt;35,BD132+BC133-BL132,IF(A133&lt;'Données projet'!$A$88,$BA$205^A133,IF(A133='Données projet'!$A$88,'Données projet'!$B$88,BD132+BC133-BL132)))</f>
        <v>411.4000000000002</v>
      </c>
      <c r="BE133" s="14">
        <f>BD133*VLOOKUP('Données projet'!$B$11,Paramètres!$A$1:$I$89,3,0)*VLOOKUP('Données projet'!$B$11,Paramètres!$A$1:$I$89,5,0)</f>
        <v>346.56336000000022</v>
      </c>
      <c r="BF133" s="14">
        <f t="shared" ref="BF133:BF153" si="145">EXP(-1.0587+0.8836*LN(BE133)+0.284)</f>
        <v>80.854465494621124</v>
      </c>
      <c r="BG133" s="22">
        <f t="shared" si="115"/>
        <v>744.4193794031321</v>
      </c>
      <c r="BH133" s="62">
        <f t="shared" si="116"/>
        <v>1037.7527127364654</v>
      </c>
      <c r="BI133" s="62">
        <f ca="1">AVERAGE(OFFSET($BH$3,0,0,'Données projet'!$E$11+1,1))-AVERAGE(OFFSET($H$3,0,0,'Données projet'!$E$11+1,1))</f>
        <v>339.58585574836434</v>
      </c>
      <c r="BJ133" s="62">
        <f t="shared" ref="BJ133:BJ196" si="146">$BJ$3</f>
        <v>42.267525972379588</v>
      </c>
      <c r="BK133" s="16">
        <f>IF(ISNA(VLOOKUP(A133,'Données projet'!$A$87:$I$107,3,0)),0,VLOOKUP(A133,'Données projet'!$A$87:$I$107,3,0))</f>
        <v>16</v>
      </c>
      <c r="BL133" s="16">
        <f>IF(ISNA(VLOOKUP(A133,'Données projet'!$A$87:$I$107,4,0)),0,VLOOKUP(A133,'Données projet'!$A$87:$I$107,4,0))</f>
        <v>44.88</v>
      </c>
      <c r="BM133" s="17">
        <f>IF(ISNA(VLOOKUP(A133,'Données projet'!$A$87:$I$107,5,0)),0%,VLOOKUP(A133,'Données projet'!$A$87:$I$107,5,0)*VLOOKUP('Données projet'!$B$11,Paramètres!$A$1:$I$89,7,0))</f>
        <v>0.34400000000000003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66.349247748368725</v>
      </c>
      <c r="BQ133" s="23">
        <f>EXP(-LN(2)/25)*BQ132+(1-EXP(-LN(2)/25))/(LN(2)/25)*Calculateur!BL133*Calculateur!BN133*VLOOKUP('Données projet'!$B$11,Paramètres!$A$1:$I$89,3,0)*0.475*44/12</f>
        <v>4.2862794394246739</v>
      </c>
      <c r="BR133" s="23">
        <f>EXP(-LN(2)/2)*BR132+(1-EXP(-LN(2)/2))/(LN(2)/2)*BL133*BO133*VLOOKUP('Données projet'!$B$11,Paramètres!$A$1:$I$89,3,0)*0.475*44/12</f>
        <v>2.7762021337674298E-10</v>
      </c>
      <c r="BS133" s="24">
        <f t="shared" si="117"/>
        <v>70.635527188071023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112.34884104798977</v>
      </c>
      <c r="CE133" s="62">
        <f t="shared" ref="CE133:CE196" si="148">$CE$3</f>
        <v>18.665658139749326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47.30566021089426</v>
      </c>
      <c r="CL133" s="23">
        <f>EXP(-LN(2)/25)*CL132+(1-EXP(-LN(2)/25))/(LN(2)/25)*Calculateur!CG133*Calculateur!CI133*VLOOKUP('Données projet'!$B$12,Paramètres!$A$1:$I$89,3,0)*0.475*44/12</f>
        <v>2.9476020153220577</v>
      </c>
      <c r="CM133" s="23">
        <f>EXP(-LN(2)/2)*CM132+(1-EXP(-LN(2)/2))/(LN(2)/2)*CG133*CJ133*VLOOKUP('Données projet'!$B$12,Paramètres!$A$1:$I$89,3,0)*0.475*44/12</f>
        <v>3.5338624463789876E-12</v>
      </c>
      <c r="CN133" s="24">
        <f t="shared" si="120"/>
        <v>50.253262226219846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-1.1368683772161603E-13</v>
      </c>
      <c r="CU133" s="18">
        <f>CT133*VLOOKUP('Données projet'!$B$13,Paramètres!$A$1:$I$89,3,0)*VLOOKUP('Données projet'!$B$13,Paramètres!$A$1:$I$89,5,0)</f>
        <v>-1.2414602679200469E-13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205.21073681197737</v>
      </c>
      <c r="CZ133" s="62">
        <f t="shared" ref="CZ133:CZ196" si="150">$CZ$3</f>
        <v>175.16446313750316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17.848183632232232</v>
      </c>
      <c r="DG133" s="23">
        <f>EXP(-LN(2)/25)*DG132+(1-EXP(-LN(2)/25))/(LN(2)/25)*Calculateur!DB133*Calculateur!DD133*VLOOKUP('Données projet'!$B$13,Paramètres!$A$1:$I$89,3,0)*0.475*44/12</f>
        <v>4.5561150457135122</v>
      </c>
      <c r="DH133" s="23">
        <f>EXP(-LN(2)/2)*DH132+(1-EXP(-LN(2)/2))/(LN(2)/2)*DB133*DE133*VLOOKUP('Données projet'!$B$13,Paramètres!$A$1:$I$89,3,0)*0.475*44/12</f>
        <v>3.157588251789421E-12</v>
      </c>
      <c r="DI133" s="24">
        <f t="shared" si="123"/>
        <v>22.404298677948901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2.2737367544323206E-13</v>
      </c>
      <c r="DP133" s="18">
        <f>DO133*VLOOKUP('Données projet'!$B$14,Paramètres!$A$1:$I$89,3,0)*VLOOKUP('Données projet'!$B$14,Paramètres!$A$1:$I$89,5,0)</f>
        <v>1.8444552551954985E-13</v>
      </c>
      <c r="DQ133" s="14">
        <f t="shared" ref="DQ133:DQ153" si="151">EXP(-1.0587+0.8836*LN(DP133)+0.284)</f>
        <v>2.580317449479618E-12</v>
      </c>
      <c r="DR133" s="22">
        <f t="shared" si="124"/>
        <v>4.8152955147902165E-12</v>
      </c>
      <c r="DS133" s="62">
        <f t="shared" si="125"/>
        <v>293.33333333333815</v>
      </c>
      <c r="DT133" s="62">
        <f ca="1">AVERAGE(OFFSET($DS$3,0,0,'Données projet'!$E$14+1,1))-AVERAGE(OFFSET($H$3,0,0,'Données projet'!$E$14+1,1))</f>
        <v>223.63222290670075</v>
      </c>
      <c r="DU133" s="62">
        <f t="shared" ref="DU133:DU196" si="152">$DU$3</f>
        <v>290.02663909417248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19.005708477674478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2.773258650109472E-9</v>
      </c>
      <c r="ED133" s="24">
        <f t="shared" si="126"/>
        <v>19.005708480447737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416.16491251812465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192.24617268603629</v>
      </c>
      <c r="T134" s="62">
        <f t="shared" si="142"/>
        <v>192.48585280662832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21.566116452124735</v>
      </c>
      <c r="AA134" s="23">
        <f>EXP(-LN(2)/25)*AA133+(1-EXP(-LN(2)/25))/(LN(2)/25)*Calculateur!V134*Calculateur!X134*VLOOKUP('Données projet'!$B$9,Paramètres!$A$1:$I$89,3,0)*0.475*44/12</f>
        <v>4.427465350443553</v>
      </c>
      <c r="AB134" s="23">
        <f>EXP(-LN(2)/2)*AB133+(1-EXP(-LN(2)/2))/(LN(2)/2)*V134*Y134*VLOOKUP('Données projet'!$B$9,Paramètres!$A$1:$I$89,3,0)*0.475*44/12</f>
        <v>8.6365173914173198E-10</v>
      </c>
      <c r="AC134" s="24">
        <f t="shared" si="111"/>
        <v>25.993581803431937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1.9999999998958629E-3</v>
      </c>
      <c r="AJ134" s="14">
        <f>AI134*VLOOKUP('Données projet'!$B$10,Paramètres!$A$1:$I$89,3,0)*VLOOKUP('Données projet'!$B$10,Paramètres!$A$1:$I$89,5,0)</f>
        <v>1.195999999937726E-3</v>
      </c>
      <c r="AK134" s="14">
        <f t="shared" si="143"/>
        <v>1.2062444695752218E-3</v>
      </c>
      <c r="AL134" s="22">
        <f t="shared" si="112"/>
        <v>4.1839091177350513E-3</v>
      </c>
      <c r="AM134" s="62">
        <f t="shared" si="113"/>
        <v>293.33751724245104</v>
      </c>
      <c r="AN134" s="62">
        <f ca="1">AVERAGE(OFFSET($AM$3,0,0,'Données projet'!$E$10+1,1))-AVERAGE(OFFSET($H$3,0,0,'Données projet'!$E$10+1,1))</f>
        <v>164.64952352018145</v>
      </c>
      <c r="AO134" s="62">
        <f t="shared" si="144"/>
        <v>280.08682720086921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10.784810248823341</v>
      </c>
      <c r="AV134" s="23">
        <f>EXP(-LN(2)/25)*AV133+(1-EXP(-LN(2)/25))/(LN(2)/25)*Calculateur!AQ134*Calculateur!AS134*VLOOKUP('Données projet'!$B$10,Paramètres!$A$1:$I$89,3,0)*0.475*44/12</f>
        <v>1.9554882057554746</v>
      </c>
      <c r="AW134" s="23">
        <f>EXP(-LN(2)/2)*AW133+(1-EXP(-LN(2)/2))/(LN(2)/2)*AQ134*AT134*VLOOKUP('Données projet'!$B$10,Paramètres!$A$1:$I$89,3,0)*0.475*44/12</f>
        <v>3.4053614748585812E-13</v>
      </c>
      <c r="AX134" s="23">
        <f t="shared" si="114"/>
        <v>12.740298454579156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7.3859999999999957</v>
      </c>
      <c r="BD134" s="13">
        <f>IF('Données projet'!$A$88&gt;35,BD133+BC134-BL133,IF(A134&lt;'Données projet'!$A$88,$BA$205^A134,IF(A134='Données projet'!$A$88,'Données projet'!$B$88,BD133+BC134-BL133)))</f>
        <v>373.90600000000018</v>
      </c>
      <c r="BE134" s="14">
        <f>BD134*VLOOKUP('Données projet'!$B$11,Paramètres!$A$1:$I$89,3,0)*VLOOKUP('Données projet'!$B$11,Paramètres!$A$1:$I$89,5,0)</f>
        <v>314.97841440000013</v>
      </c>
      <c r="BF134" s="14">
        <f t="shared" si="145"/>
        <v>74.307555248730651</v>
      </c>
      <c r="BG134" s="22">
        <f t="shared" si="115"/>
        <v>678.00639713820601</v>
      </c>
      <c r="BH134" s="62">
        <f t="shared" si="116"/>
        <v>971.33973047153927</v>
      </c>
      <c r="BI134" s="62">
        <f ca="1">AVERAGE(OFFSET($BH$3,0,0,'Données projet'!$E$11+1,1))-AVERAGE(OFFSET($H$3,0,0,'Données projet'!$E$11+1,1))</f>
        <v>339.58585574836434</v>
      </c>
      <c r="BJ134" s="62">
        <f t="shared" si="146"/>
        <v>42.267525972379588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65.048179469068359</v>
      </c>
      <c r="BQ134" s="23">
        <f>EXP(-LN(2)/25)*BQ133+(1-EXP(-LN(2)/25))/(LN(2)/25)*Calculateur!BL134*Calculateur!BN134*VLOOKUP('Données projet'!$B$11,Paramètres!$A$1:$I$89,3,0)*0.475*44/12</f>
        <v>4.1690709027479667</v>
      </c>
      <c r="BR134" s="23">
        <f>EXP(-LN(2)/2)*BR133+(1-EXP(-LN(2)/2))/(LN(2)/2)*BL134*BO134*VLOOKUP('Données projet'!$B$11,Paramètres!$A$1:$I$89,3,0)*0.475*44/12</f>
        <v>1.9630713547315124E-10</v>
      </c>
      <c r="BS134" s="24">
        <f t="shared" si="117"/>
        <v>69.217250372012629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112.34884104798977</v>
      </c>
      <c r="CE134" s="62">
        <f t="shared" si="148"/>
        <v>18.665658139749326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46.378025067762294</v>
      </c>
      <c r="CL134" s="23">
        <f>EXP(-LN(2)/25)*CL133+(1-EXP(-LN(2)/25))/(LN(2)/25)*Calculateur!CG134*Calculateur!CI134*VLOOKUP('Données projet'!$B$12,Paramètres!$A$1:$I$89,3,0)*0.475*44/12</f>
        <v>2.8669996832054228</v>
      </c>
      <c r="CM134" s="23">
        <f>EXP(-LN(2)/2)*CM133+(1-EXP(-LN(2)/2))/(LN(2)/2)*CG134*CJ134*VLOOKUP('Données projet'!$B$12,Paramètres!$A$1:$I$89,3,0)*0.475*44/12</f>
        <v>2.4988180996150643E-12</v>
      </c>
      <c r="CN134" s="24">
        <f t="shared" si="120"/>
        <v>49.245024750970217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-1.1368683772161603E-13</v>
      </c>
      <c r="CU134" s="18">
        <f>CT134*VLOOKUP('Données projet'!$B$13,Paramètres!$A$1:$I$89,3,0)*VLOOKUP('Données projet'!$B$13,Paramètres!$A$1:$I$89,5,0)</f>
        <v>-1.2414602679200469E-13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205.21073681197737</v>
      </c>
      <c r="CZ134" s="62">
        <f t="shared" si="150"/>
        <v>175.16446313750316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17.498191637521238</v>
      </c>
      <c r="DG134" s="23">
        <f>EXP(-LN(2)/25)*DG133+(1-EXP(-LN(2)/25))/(LN(2)/25)*Calculateur!DB134*Calculateur!DD134*VLOOKUP('Données projet'!$B$13,Paramètres!$A$1:$I$89,3,0)*0.475*44/12</f>
        <v>4.4315278401927989</v>
      </c>
      <c r="DH134" s="23">
        <f>EXP(-LN(2)/2)*DH133+(1-EXP(-LN(2)/2))/(LN(2)/2)*DB134*DE134*VLOOKUP('Données projet'!$B$13,Paramètres!$A$1:$I$89,3,0)*0.475*44/12</f>
        <v>2.2327520650352752E-12</v>
      </c>
      <c r="DI134" s="24">
        <f t="shared" si="123"/>
        <v>21.929719477716269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2.2737367544323206E-13</v>
      </c>
      <c r="DP134" s="18">
        <f>DO134*VLOOKUP('Données projet'!$B$14,Paramètres!$A$1:$I$89,3,0)*VLOOKUP('Données projet'!$B$14,Paramètres!$A$1:$I$89,5,0)</f>
        <v>1.8444552551954985E-13</v>
      </c>
      <c r="DQ134" s="14">
        <f t="shared" si="151"/>
        <v>2.580317449479618E-12</v>
      </c>
      <c r="DR134" s="22">
        <f t="shared" si="124"/>
        <v>4.8152955147902165E-12</v>
      </c>
      <c r="DS134" s="62">
        <f t="shared" si="125"/>
        <v>293.33333333333815</v>
      </c>
      <c r="DT134" s="62">
        <f ca="1">AVERAGE(OFFSET($DS$3,0,0,'Données projet'!$E$14+1,1))-AVERAGE(OFFSET($H$3,0,0,'Données projet'!$E$14+1,1))</f>
        <v>223.63222290670075</v>
      </c>
      <c r="DU134" s="62">
        <f t="shared" si="152"/>
        <v>290.02663909417248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18.633018126764803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1.9609899974766585E-9</v>
      </c>
      <c r="ED134" s="24">
        <f t="shared" si="126"/>
        <v>18.633018128725794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417.35132049579823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192.24617268603629</v>
      </c>
      <c r="T135" s="62">
        <f t="shared" si="142"/>
        <v>192.48585280662832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21.143218062530753</v>
      </c>
      <c r="AA135" s="23">
        <f>EXP(-LN(2)/25)*AA134+(1-EXP(-LN(2)/25))/(LN(2)/25)*Calculateur!V135*Calculateur!X135*VLOOKUP('Données projet'!$B$9,Paramètres!$A$1:$I$89,3,0)*0.475*44/12</f>
        <v>4.30639607760539</v>
      </c>
      <c r="AB135" s="23">
        <f>EXP(-LN(2)/2)*AB134+(1-EXP(-LN(2)/2))/(LN(2)/2)*V135*Y135*VLOOKUP('Données projet'!$B$9,Paramètres!$A$1:$I$89,3,0)*0.475*44/12</f>
        <v>6.1069400133067389E-10</v>
      </c>
      <c r="AC135" s="24">
        <f t="shared" si="111"/>
        <v>25.449614140746835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1.9999999998958629E-3</v>
      </c>
      <c r="AJ135" s="14">
        <f>AI135*VLOOKUP('Données projet'!$B$10,Paramètres!$A$1:$I$89,3,0)*VLOOKUP('Données projet'!$B$10,Paramètres!$A$1:$I$89,5,0)</f>
        <v>1.195999999937726E-3</v>
      </c>
      <c r="AK135" s="14">
        <f t="shared" si="143"/>
        <v>1.2062444695752218E-3</v>
      </c>
      <c r="AL135" s="22">
        <f t="shared" si="112"/>
        <v>4.1839091177350513E-3</v>
      </c>
      <c r="AM135" s="62">
        <f t="shared" si="113"/>
        <v>293.33751724245104</v>
      </c>
      <c r="AN135" s="62">
        <f ca="1">AVERAGE(OFFSET($AM$3,0,0,'Données projet'!$E$10+1,1))-AVERAGE(OFFSET($H$3,0,0,'Données projet'!$E$10+1,1))</f>
        <v>164.64952352018145</v>
      </c>
      <c r="AO135" s="62">
        <f t="shared" si="144"/>
        <v>280.08682720086921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10.573326697928636</v>
      </c>
      <c r="AV135" s="23">
        <f>EXP(-LN(2)/25)*AV134+(1-EXP(-LN(2)/25))/(LN(2)/25)*Calculateur!AQ135*Calculateur!AS135*VLOOKUP('Données projet'!$B$10,Paramètres!$A$1:$I$89,3,0)*0.475*44/12</f>
        <v>1.9020152779344357</v>
      </c>
      <c r="AW135" s="23">
        <f>EXP(-LN(2)/2)*AW134+(1-EXP(-LN(2)/2))/(LN(2)/2)*AQ135*AT135*VLOOKUP('Données projet'!$B$10,Paramètres!$A$1:$I$89,3,0)*0.475*44/12</f>
        <v>2.4079541912639255E-13</v>
      </c>
      <c r="AX135" s="23">
        <f t="shared" si="114"/>
        <v>12.475341975863312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7.3859999999999957</v>
      </c>
      <c r="BD135" s="13">
        <f>IF('Données projet'!$A$88&gt;35,BD134+BC135-BL134,IF(A135&lt;'Données projet'!$A$88,$BA$205^A135,IF(A135='Données projet'!$A$88,'Données projet'!$B$88,BD134+BC135-BL134)))</f>
        <v>381.29200000000014</v>
      </c>
      <c r="BE135" s="14">
        <f>BD135*VLOOKUP('Données projet'!$B$11,Paramètres!$A$1:$I$89,3,0)*VLOOKUP('Données projet'!$B$11,Paramètres!$A$1:$I$89,5,0)</f>
        <v>321.20038080000018</v>
      </c>
      <c r="BF135" s="14">
        <f t="shared" si="145"/>
        <v>75.603061781024891</v>
      </c>
      <c r="BG135" s="22">
        <f t="shared" si="115"/>
        <v>691.09932916195203</v>
      </c>
      <c r="BH135" s="62">
        <f t="shared" si="116"/>
        <v>984.43266249528529</v>
      </c>
      <c r="BI135" s="62">
        <f ca="1">AVERAGE(OFFSET($BH$3,0,0,'Données projet'!$E$11+1,1))-AVERAGE(OFFSET($H$3,0,0,'Données projet'!$E$11+1,1))</f>
        <v>339.58585574836434</v>
      </c>
      <c r="BJ135" s="62">
        <f t="shared" si="146"/>
        <v>42.267525972379588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63.772624345151776</v>
      </c>
      <c r="BQ135" s="23">
        <f>EXP(-LN(2)/25)*BQ134+(1-EXP(-LN(2)/25))/(LN(2)/25)*Calculateur!BL135*Calculateur!BN135*VLOOKUP('Données projet'!$B$11,Paramètres!$A$1:$I$89,3,0)*0.475*44/12</f>
        <v>4.0550674396704132</v>
      </c>
      <c r="BR135" s="23">
        <f>EXP(-LN(2)/2)*BR134+(1-EXP(-LN(2)/2))/(LN(2)/2)*BL135*BO135*VLOOKUP('Données projet'!$B$11,Paramètres!$A$1:$I$89,3,0)*0.475*44/12</f>
        <v>1.3881010668837149E-10</v>
      </c>
      <c r="BS135" s="24">
        <f t="shared" si="117"/>
        <v>67.827691784961004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112.34884104798977</v>
      </c>
      <c r="CE135" s="62">
        <f t="shared" si="148"/>
        <v>18.665658139749326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45.468580283985581</v>
      </c>
      <c r="CL135" s="23">
        <f>EXP(-LN(2)/25)*CL134+(1-EXP(-LN(2)/25))/(LN(2)/25)*Calculateur!CG135*Calculateur!CI135*VLOOKUP('Données projet'!$B$12,Paramètres!$A$1:$I$89,3,0)*0.475*44/12</f>
        <v>2.7886014260992096</v>
      </c>
      <c r="CM135" s="23">
        <f>EXP(-LN(2)/2)*CM134+(1-EXP(-LN(2)/2))/(LN(2)/2)*CG135*CJ135*VLOOKUP('Données projet'!$B$12,Paramètres!$A$1:$I$89,3,0)*0.475*44/12</f>
        <v>1.7669312231894938E-12</v>
      </c>
      <c r="CN135" s="24">
        <f t="shared" si="120"/>
        <v>48.257181710086563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-1.1368683772161603E-13</v>
      </c>
      <c r="CU135" s="18">
        <f>CT135*VLOOKUP('Données projet'!$B$13,Paramètres!$A$1:$I$89,3,0)*VLOOKUP('Données projet'!$B$13,Paramètres!$A$1:$I$89,5,0)</f>
        <v>-1.2414602679200469E-13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205.21073681197737</v>
      </c>
      <c r="CZ135" s="62">
        <f t="shared" si="150"/>
        <v>175.16446313750316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17.15506277235249</v>
      </c>
      <c r="DG135" s="23">
        <f>EXP(-LN(2)/25)*DG134+(1-EXP(-LN(2)/25))/(LN(2)/25)*Calculateur!DB135*Calculateur!DD135*VLOOKUP('Données projet'!$B$13,Paramètres!$A$1:$I$89,3,0)*0.475*44/12</f>
        <v>4.3103474783588061</v>
      </c>
      <c r="DH135" s="23">
        <f>EXP(-LN(2)/2)*DH134+(1-EXP(-LN(2)/2))/(LN(2)/2)*DB135*DE135*VLOOKUP('Données projet'!$B$13,Paramètres!$A$1:$I$89,3,0)*0.475*44/12</f>
        <v>1.5787941258947105E-12</v>
      </c>
      <c r="DI135" s="24">
        <f t="shared" si="123"/>
        <v>21.465410250712875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2.2737367544323206E-13</v>
      </c>
      <c r="DP135" s="18">
        <f>DO135*VLOOKUP('Données projet'!$B$14,Paramètres!$A$1:$I$89,3,0)*VLOOKUP('Données projet'!$B$14,Paramètres!$A$1:$I$89,5,0)</f>
        <v>1.8444552551954985E-13</v>
      </c>
      <c r="DQ135" s="14">
        <f t="shared" si="151"/>
        <v>2.580317449479618E-12</v>
      </c>
      <c r="DR135" s="22">
        <f t="shared" si="124"/>
        <v>4.8152955147902165E-12</v>
      </c>
      <c r="DS135" s="62">
        <f t="shared" si="125"/>
        <v>293.33333333333815</v>
      </c>
      <c r="DT135" s="62">
        <f ca="1">AVERAGE(OFFSET($DS$3,0,0,'Données projet'!$E$14+1,1))-AVERAGE(OFFSET($H$3,0,0,'Données projet'!$E$14+1,1))</f>
        <v>223.63222290670075</v>
      </c>
      <c r="DU135" s="62">
        <f t="shared" si="152"/>
        <v>290.02663909417248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18.267636006317801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1.386629325054736E-9</v>
      </c>
      <c r="ED135" s="24">
        <f t="shared" si="126"/>
        <v>18.267636007704429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418.5375209317657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192.24617268603629</v>
      </c>
      <c r="T136" s="62">
        <f t="shared" si="142"/>
        <v>192.48585280662832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20.728612452414161</v>
      </c>
      <c r="AA136" s="23">
        <f>EXP(-LN(2)/25)*AA135+(1-EXP(-LN(2)/25))/(LN(2)/25)*Calculateur!V136*Calculateur!X136*VLOOKUP('Données projet'!$B$9,Paramètres!$A$1:$I$89,3,0)*0.475*44/12</f>
        <v>4.1886374503997432</v>
      </c>
      <c r="AB136" s="23">
        <f>EXP(-LN(2)/2)*AB135+(1-EXP(-LN(2)/2))/(LN(2)/2)*V136*Y136*VLOOKUP('Données projet'!$B$9,Paramètres!$A$1:$I$89,3,0)*0.475*44/12</f>
        <v>4.3182586957086599E-10</v>
      </c>
      <c r="AC136" s="24">
        <f t="shared" si="111"/>
        <v>24.917249903245729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1.9999999998958629E-3</v>
      </c>
      <c r="AJ136" s="14">
        <f>AI136*VLOOKUP('Données projet'!$B$10,Paramètres!$A$1:$I$89,3,0)*VLOOKUP('Données projet'!$B$10,Paramètres!$A$1:$I$89,5,0)</f>
        <v>1.195999999937726E-3</v>
      </c>
      <c r="AK136" s="14">
        <f t="shared" si="143"/>
        <v>1.2062444695752218E-3</v>
      </c>
      <c r="AL136" s="22">
        <f t="shared" si="112"/>
        <v>4.1839091177350513E-3</v>
      </c>
      <c r="AM136" s="62">
        <f t="shared" si="113"/>
        <v>293.33751724245104</v>
      </c>
      <c r="AN136" s="62">
        <f ca="1">AVERAGE(OFFSET($AM$3,0,0,'Données projet'!$E$10+1,1))-AVERAGE(OFFSET($H$3,0,0,'Données projet'!$E$10+1,1))</f>
        <v>164.64952352018145</v>
      </c>
      <c r="AO136" s="62">
        <f t="shared" si="144"/>
        <v>280.08682720086921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10.365990210474745</v>
      </c>
      <c r="AV136" s="23">
        <f>EXP(-LN(2)/25)*AV135+(1-EXP(-LN(2)/25))/(LN(2)/25)*Calculateur!AQ136*Calculateur!AS136*VLOOKUP('Données projet'!$B$10,Paramètres!$A$1:$I$89,3,0)*0.475*44/12</f>
        <v>1.8500045701366823</v>
      </c>
      <c r="AW136" s="23">
        <f>EXP(-LN(2)/2)*AW135+(1-EXP(-LN(2)/2))/(LN(2)/2)*AQ136*AT136*VLOOKUP('Données projet'!$B$10,Paramètres!$A$1:$I$89,3,0)*0.475*44/12</f>
        <v>1.7026807374292906E-13</v>
      </c>
      <c r="AX136" s="23">
        <f t="shared" si="114"/>
        <v>12.215994780611599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7.3859999999999957</v>
      </c>
      <c r="BD136" s="13">
        <f>IF('Données projet'!$A$88&gt;35,BD135+BC136-BL135,IF(A136&lt;'Données projet'!$A$88,$BA$205^A136,IF(A136='Données projet'!$A$88,'Données projet'!$B$88,BD135+BC136-BL135)))</f>
        <v>388.67800000000011</v>
      </c>
      <c r="BE136" s="14">
        <f>BD136*VLOOKUP('Données projet'!$B$11,Paramètres!$A$1:$I$89,3,0)*VLOOKUP('Données projet'!$B$11,Paramètres!$A$1:$I$89,5,0)</f>
        <v>327.4223472000001</v>
      </c>
      <c r="BF136" s="14">
        <f t="shared" si="145"/>
        <v>76.895650326122052</v>
      </c>
      <c r="BG136" s="22">
        <f t="shared" si="115"/>
        <v>704.18717902466267</v>
      </c>
      <c r="BH136" s="62">
        <f t="shared" si="116"/>
        <v>997.52051235799604</v>
      </c>
      <c r="BI136" s="62">
        <f ca="1">AVERAGE(OFFSET($BH$3,0,0,'Données projet'!$E$11+1,1))-AVERAGE(OFFSET($H$3,0,0,'Données projet'!$E$11+1,1))</f>
        <v>339.58585574836434</v>
      </c>
      <c r="BJ136" s="62">
        <f t="shared" si="146"/>
        <v>42.267525972379588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62.522082079203393</v>
      </c>
      <c r="BQ136" s="23">
        <f>EXP(-LN(2)/25)*BQ135+(1-EXP(-LN(2)/25))/(LN(2)/25)*Calculateur!BL136*Calculateur!BN136*VLOOKUP('Données projet'!$B$11,Paramètres!$A$1:$I$89,3,0)*0.475*44/12</f>
        <v>3.9441814072858969</v>
      </c>
      <c r="BR136" s="23">
        <f>EXP(-LN(2)/2)*BR135+(1-EXP(-LN(2)/2))/(LN(2)/2)*BL136*BO136*VLOOKUP('Données projet'!$B$11,Paramètres!$A$1:$I$89,3,0)*0.475*44/12</f>
        <v>9.8153567736575619E-11</v>
      </c>
      <c r="BS136" s="24">
        <f t="shared" si="117"/>
        <v>66.466263486587451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112.34884104798977</v>
      </c>
      <c r="CE136" s="62">
        <f t="shared" si="148"/>
        <v>18.665658139749326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44.576969157712185</v>
      </c>
      <c r="CL136" s="23">
        <f>EXP(-LN(2)/25)*CL135+(1-EXP(-LN(2)/25))/(LN(2)/25)*Calculateur!CG136*Calculateur!CI136*VLOOKUP('Données projet'!$B$12,Paramètres!$A$1:$I$89,3,0)*0.475*44/12</f>
        <v>2.7123469734563512</v>
      </c>
      <c r="CM136" s="23">
        <f>EXP(-LN(2)/2)*CM135+(1-EXP(-LN(2)/2))/(LN(2)/2)*CG136*CJ136*VLOOKUP('Données projet'!$B$12,Paramètres!$A$1:$I$89,3,0)*0.475*44/12</f>
        <v>1.2494090498075322E-12</v>
      </c>
      <c r="CN136" s="24">
        <f t="shared" si="120"/>
        <v>47.289316131169784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-1.1368683772161603E-13</v>
      </c>
      <c r="CU136" s="18">
        <f>CT136*VLOOKUP('Données projet'!$B$13,Paramètres!$A$1:$I$89,3,0)*VLOOKUP('Données projet'!$B$13,Paramètres!$A$1:$I$89,5,0)</f>
        <v>-1.2414602679200469E-13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205.21073681197737</v>
      </c>
      <c r="CZ136" s="62">
        <f t="shared" si="150"/>
        <v>175.16446313750316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16.818662454941759</v>
      </c>
      <c r="DG136" s="23">
        <f>EXP(-LN(2)/25)*DG135+(1-EXP(-LN(2)/25))/(LN(2)/25)*Calculateur!DB136*Calculateur!DD136*VLOOKUP('Données projet'!$B$13,Paramètres!$A$1:$I$89,3,0)*0.475*44/12</f>
        <v>4.1924807998917624</v>
      </c>
      <c r="DH136" s="23">
        <f>EXP(-LN(2)/2)*DH135+(1-EXP(-LN(2)/2))/(LN(2)/2)*DB136*DE136*VLOOKUP('Données projet'!$B$13,Paramètres!$A$1:$I$89,3,0)*0.475*44/12</f>
        <v>1.1163760325176376E-12</v>
      </c>
      <c r="DI136" s="24">
        <f t="shared" si="123"/>
        <v>21.011143254834636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2.2737367544323206E-13</v>
      </c>
      <c r="DP136" s="18">
        <f>DO136*VLOOKUP('Données projet'!$B$14,Paramètres!$A$1:$I$89,3,0)*VLOOKUP('Données projet'!$B$14,Paramètres!$A$1:$I$89,5,0)</f>
        <v>1.8444552551954985E-13</v>
      </c>
      <c r="DQ136" s="14">
        <f t="shared" si="151"/>
        <v>2.580317449479618E-12</v>
      </c>
      <c r="DR136" s="22">
        <f t="shared" si="124"/>
        <v>4.8152955147902165E-12</v>
      </c>
      <c r="DS136" s="62">
        <f t="shared" si="125"/>
        <v>293.33333333333815</v>
      </c>
      <c r="DT136" s="62">
        <f ca="1">AVERAGE(OFFSET($DS$3,0,0,'Données projet'!$E$14+1,1))-AVERAGE(OFFSET($H$3,0,0,'Données projet'!$E$14+1,1))</f>
        <v>223.63222290670075</v>
      </c>
      <c r="DU136" s="62">
        <f t="shared" si="152"/>
        <v>290.02663909417248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17.909418806391677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9.8049499873832926E-10</v>
      </c>
      <c r="ED136" s="24">
        <f t="shared" si="126"/>
        <v>17.909418807372173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419.72351556739994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192.24617268603629</v>
      </c>
      <c r="T137" s="62">
        <f t="shared" si="142"/>
        <v>192.48585280662832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20.322137005427503</v>
      </c>
      <c r="AA137" s="23">
        <f>EXP(-LN(2)/25)*AA136+(1-EXP(-LN(2)/25))/(LN(2)/25)*Calculateur!V137*Calculateur!X137*VLOOKUP('Données projet'!$B$9,Paramètres!$A$1:$I$89,3,0)*0.475*44/12</f>
        <v>4.0740989390476923</v>
      </c>
      <c r="AB137" s="23">
        <f>EXP(-LN(2)/2)*AB136+(1-EXP(-LN(2)/2))/(LN(2)/2)*V137*Y137*VLOOKUP('Données projet'!$B$9,Paramètres!$A$1:$I$89,3,0)*0.475*44/12</f>
        <v>3.0534700066533695E-10</v>
      </c>
      <c r="AC137" s="24">
        <f t="shared" si="111"/>
        <v>24.396235944780543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1.9999999998958629E-3</v>
      </c>
      <c r="AJ137" s="14">
        <f>AI137*VLOOKUP('Données projet'!$B$10,Paramètres!$A$1:$I$89,3,0)*VLOOKUP('Données projet'!$B$10,Paramètres!$A$1:$I$89,5,0)</f>
        <v>1.195999999937726E-3</v>
      </c>
      <c r="AK137" s="14">
        <f t="shared" si="143"/>
        <v>1.2062444695752218E-3</v>
      </c>
      <c r="AL137" s="22">
        <f t="shared" si="112"/>
        <v>4.1839091177350513E-3</v>
      </c>
      <c r="AM137" s="62">
        <f t="shared" si="113"/>
        <v>293.33751724245104</v>
      </c>
      <c r="AN137" s="62">
        <f ca="1">AVERAGE(OFFSET($AM$3,0,0,'Données projet'!$E$10+1,1))-AVERAGE(OFFSET($H$3,0,0,'Données projet'!$E$10+1,1))</f>
        <v>164.64952352018145</v>
      </c>
      <c r="AO137" s="62">
        <f t="shared" si="144"/>
        <v>280.08682720086921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10.162719465077055</v>
      </c>
      <c r="AV137" s="23">
        <f>EXP(-LN(2)/25)*AV136+(1-EXP(-LN(2)/25))/(LN(2)/25)*Calculateur!AQ137*Calculateur!AS137*VLOOKUP('Données projet'!$B$10,Paramètres!$A$1:$I$89,3,0)*0.475*44/12</f>
        <v>1.7994160978787825</v>
      </c>
      <c r="AW137" s="23">
        <f>EXP(-LN(2)/2)*AW136+(1-EXP(-LN(2)/2))/(LN(2)/2)*AQ137*AT137*VLOOKUP('Données projet'!$B$10,Paramètres!$A$1:$I$89,3,0)*0.475*44/12</f>
        <v>1.2039770956319627E-13</v>
      </c>
      <c r="AX137" s="23">
        <f t="shared" si="114"/>
        <v>11.962135562955959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7.3859999999999957</v>
      </c>
      <c r="BD137" s="13">
        <f>IF('Données projet'!$A$88&gt;35,BD136+BC137-BL136,IF(A137&lt;'Données projet'!$A$88,$BA$205^A137,IF(A137='Données projet'!$A$88,'Données projet'!$B$88,BD136+BC137-BL136)))</f>
        <v>396.06400000000008</v>
      </c>
      <c r="BE137" s="14">
        <f>BD137*VLOOKUP('Données projet'!$B$11,Paramètres!$A$1:$I$89,3,0)*VLOOKUP('Données projet'!$B$11,Paramètres!$A$1:$I$89,5,0)</f>
        <v>333.64431360000009</v>
      </c>
      <c r="BF137" s="14">
        <f t="shared" si="145"/>
        <v>78.185382727664191</v>
      </c>
      <c r="BG137" s="22">
        <f t="shared" si="115"/>
        <v>717.27005443734868</v>
      </c>
      <c r="BH137" s="62">
        <f t="shared" si="116"/>
        <v>1010.603387770682</v>
      </c>
      <c r="BI137" s="62">
        <f ca="1">AVERAGE(OFFSET($BH$3,0,0,'Données projet'!$E$11+1,1))-AVERAGE(OFFSET($H$3,0,0,'Données projet'!$E$11+1,1))</f>
        <v>339.58585574836434</v>
      </c>
      <c r="BJ137" s="62">
        <f t="shared" si="146"/>
        <v>42.267525972379588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61.296062184334794</v>
      </c>
      <c r="BQ137" s="23">
        <f>EXP(-LN(2)/25)*BQ136+(1-EXP(-LN(2)/25))/(LN(2)/25)*Calculateur!BL137*Calculateur!BN137*VLOOKUP('Données projet'!$B$11,Paramètres!$A$1:$I$89,3,0)*0.475*44/12</f>
        <v>3.8363275592881783</v>
      </c>
      <c r="BR137" s="23">
        <f>EXP(-LN(2)/2)*BR136+(1-EXP(-LN(2)/2))/(LN(2)/2)*BL137*BO137*VLOOKUP('Données projet'!$B$11,Paramètres!$A$1:$I$89,3,0)*0.475*44/12</f>
        <v>6.9405053344185746E-11</v>
      </c>
      <c r="BS137" s="24">
        <f t="shared" si="117"/>
        <v>65.132389743692372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112.34884104798977</v>
      </c>
      <c r="CE137" s="62">
        <f t="shared" si="148"/>
        <v>18.665658139749326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43.70284198179592</v>
      </c>
      <c r="CL137" s="23">
        <f>EXP(-LN(2)/25)*CL136+(1-EXP(-LN(2)/25))/(LN(2)/25)*Calculateur!CG137*Calculateur!CI137*VLOOKUP('Données projet'!$B$12,Paramètres!$A$1:$I$89,3,0)*0.475*44/12</f>
        <v>2.6381777028310589</v>
      </c>
      <c r="CM137" s="23">
        <f>EXP(-LN(2)/2)*CM136+(1-EXP(-LN(2)/2))/(LN(2)/2)*CG137*CJ137*VLOOKUP('Données projet'!$B$12,Paramètres!$A$1:$I$89,3,0)*0.475*44/12</f>
        <v>8.8346561159474691E-13</v>
      </c>
      <c r="CN137" s="24">
        <f t="shared" si="120"/>
        <v>46.341019684627859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-1.1368683772161603E-13</v>
      </c>
      <c r="CU137" s="18">
        <f>CT137*VLOOKUP('Données projet'!$B$13,Paramètres!$A$1:$I$89,3,0)*VLOOKUP('Données projet'!$B$13,Paramètres!$A$1:$I$89,5,0)</f>
        <v>-1.2414602679200469E-13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205.21073681197737</v>
      </c>
      <c r="CZ137" s="62">
        <f t="shared" si="150"/>
        <v>175.16446313750316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16.488858742571519</v>
      </c>
      <c r="DG137" s="23">
        <f>EXP(-LN(2)/25)*DG136+(1-EXP(-LN(2)/25))/(LN(2)/25)*Calculateur!DB137*Calculateur!DD137*VLOOKUP('Données projet'!$B$13,Paramètres!$A$1:$I$89,3,0)*0.475*44/12</f>
        <v>4.077837191945739</v>
      </c>
      <c r="DH137" s="23">
        <f>EXP(-LN(2)/2)*DH136+(1-EXP(-LN(2)/2))/(LN(2)/2)*DB137*DE137*VLOOKUP('Données projet'!$B$13,Paramètres!$A$1:$I$89,3,0)*0.475*44/12</f>
        <v>7.8939706294735524E-13</v>
      </c>
      <c r="DI137" s="24">
        <f t="shared" si="123"/>
        <v>20.566695934518048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2.2737367544323206E-13</v>
      </c>
      <c r="DP137" s="18">
        <f>DO137*VLOOKUP('Données projet'!$B$14,Paramètres!$A$1:$I$89,3,0)*VLOOKUP('Données projet'!$B$14,Paramètres!$A$1:$I$89,5,0)</f>
        <v>1.8444552551954985E-13</v>
      </c>
      <c r="DQ137" s="14">
        <f t="shared" si="151"/>
        <v>2.580317449479618E-12</v>
      </c>
      <c r="DR137" s="22">
        <f t="shared" si="124"/>
        <v>4.8152955147902165E-12</v>
      </c>
      <c r="DS137" s="62">
        <f t="shared" si="125"/>
        <v>293.33333333333815</v>
      </c>
      <c r="DT137" s="62">
        <f ca="1">AVERAGE(OFFSET($DS$3,0,0,'Données projet'!$E$14+1,1))-AVERAGE(OFFSET($H$3,0,0,'Données projet'!$E$14+1,1))</f>
        <v>223.63222290670075</v>
      </c>
      <c r="DU137" s="62">
        <f t="shared" si="152"/>
        <v>290.02663909417248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17.558226027265185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6.9331466252736799E-10</v>
      </c>
      <c r="ED137" s="24">
        <f t="shared" si="126"/>
        <v>17.558226027958501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420.90930611658149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192.24617268603629</v>
      </c>
      <c r="T138" s="62">
        <f t="shared" si="142"/>
        <v>192.48585280662832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19.92363229403071</v>
      </c>
      <c r="AA138" s="23">
        <f>EXP(-LN(2)/25)*AA137+(1-EXP(-LN(2)/25))/(LN(2)/25)*Calculateur!V138*Calculateur!X138*VLOOKUP('Données projet'!$B$9,Paramètres!$A$1:$I$89,3,0)*0.475*44/12</f>
        <v>3.9626924893118813</v>
      </c>
      <c r="AB138" s="23">
        <f>EXP(-LN(2)/2)*AB137+(1-EXP(-LN(2)/2))/(LN(2)/2)*V138*Y138*VLOOKUP('Données projet'!$B$9,Paramètres!$A$1:$I$89,3,0)*0.475*44/12</f>
        <v>2.15912934785433E-10</v>
      </c>
      <c r="AC138" s="24">
        <f t="shared" si="111"/>
        <v>23.886324783558504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1.9999999998958629E-3</v>
      </c>
      <c r="AJ138" s="14">
        <f>AI138*VLOOKUP('Données projet'!$B$10,Paramètres!$A$1:$I$89,3,0)*VLOOKUP('Données projet'!$B$10,Paramètres!$A$1:$I$89,5,0)</f>
        <v>1.195999999937726E-3</v>
      </c>
      <c r="AK138" s="14">
        <f t="shared" si="143"/>
        <v>1.2062444695752218E-3</v>
      </c>
      <c r="AL138" s="22">
        <f t="shared" si="112"/>
        <v>4.1839091177350513E-3</v>
      </c>
      <c r="AM138" s="62">
        <f t="shared" si="113"/>
        <v>293.33751724245104</v>
      </c>
      <c r="AN138" s="62">
        <f ca="1">AVERAGE(OFFSET($AM$3,0,0,'Données projet'!$E$10+1,1))-AVERAGE(OFFSET($H$3,0,0,'Données projet'!$E$10+1,1))</f>
        <v>164.64952352018145</v>
      </c>
      <c r="AO138" s="62">
        <f t="shared" si="144"/>
        <v>280.08682720086921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9.9634347350137027</v>
      </c>
      <c r="AV138" s="23">
        <f>EXP(-LN(2)/25)*AV137+(1-EXP(-LN(2)/25))/(LN(2)/25)*Calculateur!AQ138*Calculateur!AS138*VLOOKUP('Données projet'!$B$10,Paramètres!$A$1:$I$89,3,0)*0.475*44/12</f>
        <v>1.7502109700551072</v>
      </c>
      <c r="AW138" s="23">
        <f>EXP(-LN(2)/2)*AW137+(1-EXP(-LN(2)/2))/(LN(2)/2)*AQ138*AT138*VLOOKUP('Données projet'!$B$10,Paramètres!$A$1:$I$89,3,0)*0.475*44/12</f>
        <v>8.513403687146453E-14</v>
      </c>
      <c r="AX138" s="23">
        <f t="shared" si="114"/>
        <v>11.713645705068895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7.3859999999999957</v>
      </c>
      <c r="BD138" s="13">
        <f>IF('Données projet'!$A$88&gt;35,BD137+BC138-BL137,IF(A138&lt;'Données projet'!$A$88,$BA$205^A138,IF(A138='Données projet'!$A$88,'Données projet'!$B$88,BD137+BC138-BL137)))</f>
        <v>403.45000000000005</v>
      </c>
      <c r="BE138" s="14">
        <f>BD138*VLOOKUP('Données projet'!$B$11,Paramètres!$A$1:$I$89,3,0)*VLOOKUP('Données projet'!$B$11,Paramètres!$A$1:$I$89,5,0)</f>
        <v>339.86628000000007</v>
      </c>
      <c r="BF138" s="14">
        <f t="shared" si="145"/>
        <v>79.472318390691683</v>
      </c>
      <c r="BG138" s="22">
        <f t="shared" si="115"/>
        <v>730.34805886378808</v>
      </c>
      <c r="BH138" s="62">
        <f t="shared" si="116"/>
        <v>1023.6813921971213</v>
      </c>
      <c r="BI138" s="62">
        <f ca="1">AVERAGE(OFFSET($BH$3,0,0,'Données projet'!$E$11+1,1))-AVERAGE(OFFSET($H$3,0,0,'Données projet'!$E$11+1,1))</f>
        <v>339.58585574836434</v>
      </c>
      <c r="BJ138" s="62">
        <f t="shared" si="146"/>
        <v>42.267525972379588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60.09408379180627</v>
      </c>
      <c r="BQ138" s="23">
        <f>EXP(-LN(2)/25)*BQ137+(1-EXP(-LN(2)/25))/(LN(2)/25)*Calculateur!BL138*Calculateur!BN138*VLOOKUP('Données projet'!$B$11,Paramètres!$A$1:$I$89,3,0)*0.475*44/12</f>
        <v>3.7314229804357448</v>
      </c>
      <c r="BR138" s="23">
        <f>EXP(-LN(2)/2)*BR137+(1-EXP(-LN(2)/2))/(LN(2)/2)*BL138*BO138*VLOOKUP('Données projet'!$B$11,Paramètres!$A$1:$I$89,3,0)*0.475*44/12</f>
        <v>4.907678386828781E-11</v>
      </c>
      <c r="BS138" s="24">
        <f t="shared" si="117"/>
        <v>63.825506772291092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112.34884104798977</v>
      </c>
      <c r="CE138" s="62">
        <f t="shared" si="148"/>
        <v>18.665658139749326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42.845855906634441</v>
      </c>
      <c r="CL138" s="23">
        <f>EXP(-LN(2)/25)*CL137+(1-EXP(-LN(2)/25))/(LN(2)/25)*Calculateur!CG138*Calculateur!CI138*VLOOKUP('Données projet'!$B$12,Paramètres!$A$1:$I$89,3,0)*0.475*44/12</f>
        <v>2.5660365948114077</v>
      </c>
      <c r="CM138" s="23">
        <f>EXP(-LN(2)/2)*CM137+(1-EXP(-LN(2)/2))/(LN(2)/2)*CG138*CJ138*VLOOKUP('Données projet'!$B$12,Paramètres!$A$1:$I$89,3,0)*0.475*44/12</f>
        <v>6.2470452490376608E-13</v>
      </c>
      <c r="CN138" s="24">
        <f t="shared" si="120"/>
        <v>45.411892501446474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-1.1368683772161603E-13</v>
      </c>
      <c r="CU138" s="18">
        <f>CT138*VLOOKUP('Données projet'!$B$13,Paramètres!$A$1:$I$89,3,0)*VLOOKUP('Données projet'!$B$13,Paramètres!$A$1:$I$89,5,0)</f>
        <v>-1.2414602679200469E-13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205.21073681197737</v>
      </c>
      <c r="CZ138" s="62">
        <f t="shared" si="150"/>
        <v>175.16446313750316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16.165522279840459</v>
      </c>
      <c r="DG138" s="23">
        <f>EXP(-LN(2)/25)*DG137+(1-EXP(-LN(2)/25))/(LN(2)/25)*Calculateur!DB138*Calculateur!DD138*VLOOKUP('Données projet'!$B$13,Paramètres!$A$1:$I$89,3,0)*0.475*44/12</f>
        <v>3.966328519487845</v>
      </c>
      <c r="DH138" s="23">
        <f>EXP(-LN(2)/2)*DH137+(1-EXP(-LN(2)/2))/(LN(2)/2)*DB138*DE138*VLOOKUP('Données projet'!$B$13,Paramètres!$A$1:$I$89,3,0)*0.475*44/12</f>
        <v>5.581880162588188E-13</v>
      </c>
      <c r="DI138" s="24">
        <f t="shared" si="123"/>
        <v>20.131850799328863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2.2737367544323206E-13</v>
      </c>
      <c r="DP138" s="18">
        <f>DO138*VLOOKUP('Données projet'!$B$14,Paramètres!$A$1:$I$89,3,0)*VLOOKUP('Données projet'!$B$14,Paramètres!$A$1:$I$89,5,0)</f>
        <v>1.8444552551954985E-13</v>
      </c>
      <c r="DQ138" s="14">
        <f t="shared" si="151"/>
        <v>2.580317449479618E-12</v>
      </c>
      <c r="DR138" s="22">
        <f t="shared" si="124"/>
        <v>4.8152955147902165E-12</v>
      </c>
      <c r="DS138" s="62">
        <f t="shared" si="125"/>
        <v>293.33333333333815</v>
      </c>
      <c r="DT138" s="62">
        <f ca="1">AVERAGE(OFFSET($DS$3,0,0,'Données projet'!$E$14+1,1))-AVERAGE(OFFSET($H$3,0,0,'Données projet'!$E$14+1,1))</f>
        <v>223.63222290670075</v>
      </c>
      <c r="DU138" s="62">
        <f t="shared" si="152"/>
        <v>290.02663909417248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17.21391992433092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4.9024749936916463E-10</v>
      </c>
      <c r="ED138" s="24">
        <f t="shared" si="126"/>
        <v>17.213919924821166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422.09489426633343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192.24617268603629</v>
      </c>
      <c r="T139" s="62">
        <f t="shared" si="142"/>
        <v>192.48585280662832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19.532942016960536</v>
      </c>
      <c r="AA139" s="23">
        <f>EXP(-LN(2)/25)*AA138+(1-EXP(-LN(2)/25))/(LN(2)/25)*Calculateur!V139*Calculateur!X139*VLOOKUP('Données projet'!$B$9,Paramètres!$A$1:$I$89,3,0)*0.475*44/12</f>
        <v>3.8543324548027069</v>
      </c>
      <c r="AB139" s="23">
        <f>EXP(-LN(2)/2)*AB138+(1-EXP(-LN(2)/2))/(LN(2)/2)*V139*Y139*VLOOKUP('Données projet'!$B$9,Paramètres!$A$1:$I$89,3,0)*0.475*44/12</f>
        <v>1.5267350033266847E-10</v>
      </c>
      <c r="AC139" s="24">
        <f t="shared" si="111"/>
        <v>23.387274471915916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1.9999999998958629E-3</v>
      </c>
      <c r="AJ139" s="14">
        <f>AI139*VLOOKUP('Données projet'!$B$10,Paramètres!$A$1:$I$89,3,0)*VLOOKUP('Données projet'!$B$10,Paramètres!$A$1:$I$89,5,0)</f>
        <v>1.195999999937726E-3</v>
      </c>
      <c r="AK139" s="14">
        <f t="shared" si="143"/>
        <v>1.2062444695752218E-3</v>
      </c>
      <c r="AL139" s="22">
        <f t="shared" si="112"/>
        <v>4.1839091177350513E-3</v>
      </c>
      <c r="AM139" s="62">
        <f t="shared" si="113"/>
        <v>293.33751724245104</v>
      </c>
      <c r="AN139" s="62">
        <f ca="1">AVERAGE(OFFSET($AM$3,0,0,'Données projet'!$E$10+1,1))-AVERAGE(OFFSET($H$3,0,0,'Données projet'!$E$10+1,1))</f>
        <v>164.64952352018145</v>
      </c>
      <c r="AO139" s="62">
        <f t="shared" si="144"/>
        <v>280.08682720086921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9.7680578569552097</v>
      </c>
      <c r="AV139" s="23">
        <f>EXP(-LN(2)/25)*AV138+(1-EXP(-LN(2)/25))/(LN(2)/25)*Calculateur!AQ139*Calculateur!AS139*VLOOKUP('Données projet'!$B$10,Paramètres!$A$1:$I$89,3,0)*0.475*44/12</f>
        <v>1.7023513590393555</v>
      </c>
      <c r="AW139" s="23">
        <f>EXP(-LN(2)/2)*AW138+(1-EXP(-LN(2)/2))/(LN(2)/2)*AQ139*AT139*VLOOKUP('Données projet'!$B$10,Paramètres!$A$1:$I$89,3,0)*0.475*44/12</f>
        <v>6.0198854781598137E-14</v>
      </c>
      <c r="AX139" s="23">
        <f t="shared" si="114"/>
        <v>11.470409215994625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7.3859999999999957</v>
      </c>
      <c r="BD139" s="13">
        <f>IF('Données projet'!$A$88&gt;35,BD138+BC139-BL138,IF(A139&lt;'Données projet'!$A$88,$BA$205^A139,IF(A139='Données projet'!$A$88,'Données projet'!$B$88,BD138+BC139-BL138)))</f>
        <v>410.83600000000001</v>
      </c>
      <c r="BE139" s="14">
        <f>BD139*VLOOKUP('Données projet'!$B$11,Paramètres!$A$1:$I$89,3,0)*VLOOKUP('Données projet'!$B$11,Paramètres!$A$1:$I$89,5,0)</f>
        <v>346.08824640000006</v>
      </c>
      <c r="BF139" s="14">
        <f t="shared" si="145"/>
        <v>80.756514420653744</v>
      </c>
      <c r="BG139" s="22">
        <f t="shared" si="115"/>
        <v>743.4212917626387</v>
      </c>
      <c r="BH139" s="62">
        <f t="shared" si="116"/>
        <v>1036.754625095972</v>
      </c>
      <c r="BI139" s="62">
        <f ca="1">AVERAGE(OFFSET($BH$3,0,0,'Données projet'!$E$11+1,1))-AVERAGE(OFFSET($H$3,0,0,'Données projet'!$E$11+1,1))</f>
        <v>339.58585574836434</v>
      </c>
      <c r="BJ139" s="62">
        <f t="shared" si="146"/>
        <v>42.267525972379588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58.915675462420801</v>
      </c>
      <c r="BQ139" s="23">
        <f>EXP(-LN(2)/25)*BQ138+(1-EXP(-LN(2)/25))/(LN(2)/25)*Calculateur!BL139*Calculateur!BN139*VLOOKUP('Données projet'!$B$11,Paramètres!$A$1:$I$89,3,0)*0.475*44/12</f>
        <v>3.6293870228087233</v>
      </c>
      <c r="BR139" s="23">
        <f>EXP(-LN(2)/2)*BR138+(1-EXP(-LN(2)/2))/(LN(2)/2)*BL139*BO139*VLOOKUP('Données projet'!$B$11,Paramètres!$A$1:$I$89,3,0)*0.475*44/12</f>
        <v>3.4702526672092873E-11</v>
      </c>
      <c r="BS139" s="24">
        <f t="shared" si="117"/>
        <v>62.545062485264225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112.34884104798977</v>
      </c>
      <c r="CE139" s="62">
        <f t="shared" si="148"/>
        <v>18.665658139749326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42.005674805696984</v>
      </c>
      <c r="CL139" s="23">
        <f>EXP(-LN(2)/25)*CL138+(1-EXP(-LN(2)/25))/(LN(2)/25)*Calculateur!CG139*Calculateur!CI139*VLOOKUP('Données projet'!$B$12,Paramètres!$A$1:$I$89,3,0)*0.475*44/12</f>
        <v>2.4958681891842898</v>
      </c>
      <c r="CM139" s="23">
        <f>EXP(-LN(2)/2)*CM138+(1-EXP(-LN(2)/2))/(LN(2)/2)*CG139*CJ139*VLOOKUP('Données projet'!$B$12,Paramètres!$A$1:$I$89,3,0)*0.475*44/12</f>
        <v>4.4173280579737345E-13</v>
      </c>
      <c r="CN139" s="24">
        <f t="shared" si="120"/>
        <v>44.501542994881717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-1.1368683772161603E-13</v>
      </c>
      <c r="CU139" s="18">
        <f>CT139*VLOOKUP('Données projet'!$B$13,Paramètres!$A$1:$I$89,3,0)*VLOOKUP('Données projet'!$B$13,Paramètres!$A$1:$I$89,5,0)</f>
        <v>-1.2414602679200469E-13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205.21073681197737</v>
      </c>
      <c r="CZ139" s="62">
        <f t="shared" si="150"/>
        <v>175.16446313750316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15.848526247927785</v>
      </c>
      <c r="DG139" s="23">
        <f>EXP(-LN(2)/25)*DG138+(1-EXP(-LN(2)/25))/(LN(2)/25)*Calculateur!DB139*Calculateur!DD139*VLOOKUP('Données projet'!$B$13,Paramètres!$A$1:$I$89,3,0)*0.475*44/12</f>
        <v>3.857869057542298</v>
      </c>
      <c r="DH139" s="23">
        <f>EXP(-LN(2)/2)*DH138+(1-EXP(-LN(2)/2))/(LN(2)/2)*DB139*DE139*VLOOKUP('Données projet'!$B$13,Paramètres!$A$1:$I$89,3,0)*0.475*44/12</f>
        <v>3.9469853147367762E-13</v>
      </c>
      <c r="DI139" s="24">
        <f t="shared" si="123"/>
        <v>19.706395305470476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2.2737367544323206E-13</v>
      </c>
      <c r="DP139" s="18">
        <f>DO139*VLOOKUP('Données projet'!$B$14,Paramètres!$A$1:$I$89,3,0)*VLOOKUP('Données projet'!$B$14,Paramètres!$A$1:$I$89,5,0)</f>
        <v>1.8444552551954985E-13</v>
      </c>
      <c r="DQ139" s="14">
        <f t="shared" si="151"/>
        <v>2.580317449479618E-12</v>
      </c>
      <c r="DR139" s="22">
        <f t="shared" si="124"/>
        <v>4.8152955147902165E-12</v>
      </c>
      <c r="DS139" s="62">
        <f t="shared" si="125"/>
        <v>293.33333333333815</v>
      </c>
      <c r="DT139" s="62">
        <f ca="1">AVERAGE(OFFSET($DS$3,0,0,'Données projet'!$E$14+1,1))-AVERAGE(OFFSET($H$3,0,0,'Données projet'!$E$14+1,1))</f>
        <v>223.63222290670075</v>
      </c>
      <c r="DU139" s="62">
        <f t="shared" si="152"/>
        <v>290.02663909417248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16.876365454069209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3.4665733126368399E-10</v>
      </c>
      <c r="ED139" s="24">
        <f t="shared" si="126"/>
        <v>16.876365454415865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423.28028167743605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192.24617268603629</v>
      </c>
      <c r="T140" s="62">
        <f t="shared" si="142"/>
        <v>192.48585280662832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19.149912937926167</v>
      </c>
      <c r="AA140" s="23">
        <f>EXP(-LN(2)/25)*AA139+(1-EXP(-LN(2)/25))/(LN(2)/25)*Calculateur!V140*Calculateur!X140*VLOOKUP('Données projet'!$B$9,Paramètres!$A$1:$I$89,3,0)*0.475*44/12</f>
        <v>3.7489355311355923</v>
      </c>
      <c r="AB140" s="23">
        <f>EXP(-LN(2)/2)*AB139+(1-EXP(-LN(2)/2))/(LN(2)/2)*V140*Y140*VLOOKUP('Données projet'!$B$9,Paramètres!$A$1:$I$89,3,0)*0.475*44/12</f>
        <v>1.079564673927165E-10</v>
      </c>
      <c r="AC140" s="24">
        <f t="shared" si="111"/>
        <v>22.898848469169717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1.9999999998958629E-3</v>
      </c>
      <c r="AJ140" s="14">
        <f>AI140*VLOOKUP('Données projet'!$B$10,Paramètres!$A$1:$I$89,3,0)*VLOOKUP('Données projet'!$B$10,Paramètres!$A$1:$I$89,5,0)</f>
        <v>1.195999999937726E-3</v>
      </c>
      <c r="AK140" s="14">
        <f t="shared" si="143"/>
        <v>1.2062444695752218E-3</v>
      </c>
      <c r="AL140" s="22">
        <f t="shared" si="112"/>
        <v>4.1839091177350513E-3</v>
      </c>
      <c r="AM140" s="62">
        <f t="shared" si="113"/>
        <v>293.33751724245104</v>
      </c>
      <c r="AN140" s="62">
        <f ca="1">AVERAGE(OFFSET($AM$3,0,0,'Données projet'!$E$10+1,1))-AVERAGE(OFFSET($H$3,0,0,'Données projet'!$E$10+1,1))</f>
        <v>164.64952352018145</v>
      </c>
      <c r="AO140" s="62">
        <f t="shared" si="144"/>
        <v>280.08682720086921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9.5765122003073149</v>
      </c>
      <c r="AV140" s="23">
        <f>EXP(-LN(2)/25)*AV139+(1-EXP(-LN(2)/25))/(LN(2)/25)*Calculateur!AQ140*Calculateur!AS140*VLOOKUP('Données projet'!$B$10,Paramètres!$A$1:$I$89,3,0)*0.475*44/12</f>
        <v>1.6558004716036572</v>
      </c>
      <c r="AW140" s="23">
        <f>EXP(-LN(2)/2)*AW139+(1-EXP(-LN(2)/2))/(LN(2)/2)*AQ140*AT140*VLOOKUP('Données projet'!$B$10,Paramètres!$A$1:$I$89,3,0)*0.475*44/12</f>
        <v>4.2567018435732265E-14</v>
      </c>
      <c r="AX140" s="23">
        <f t="shared" si="114"/>
        <v>11.232312671911014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7.3859999999999957</v>
      </c>
      <c r="BD140" s="13">
        <f>IF('Données projet'!$A$88&gt;35,BD139+BC140-BL139,IF(A140&lt;'Données projet'!$A$88,$BA$205^A140,IF(A140='Données projet'!$A$88,'Données projet'!$B$88,BD139+BC140-BL139)))</f>
        <v>418.22199999999998</v>
      </c>
      <c r="BE140" s="14">
        <f>BD140*VLOOKUP('Données projet'!$B$11,Paramètres!$A$1:$I$89,3,0)*VLOOKUP('Données projet'!$B$11,Paramètres!$A$1:$I$89,5,0)</f>
        <v>352.31021279999999</v>
      </c>
      <c r="BF140" s="14">
        <f t="shared" si="145"/>
        <v>82.03802575213966</v>
      </c>
      <c r="BG140" s="22">
        <f t="shared" si="115"/>
        <v>756.48984881164324</v>
      </c>
      <c r="BH140" s="62">
        <f t="shared" si="116"/>
        <v>1049.8231821449765</v>
      </c>
      <c r="BI140" s="62">
        <f ca="1">AVERAGE(OFFSET($BH$3,0,0,'Données projet'!$E$11+1,1))-AVERAGE(OFFSET($H$3,0,0,'Données projet'!$E$11+1,1))</f>
        <v>339.58585574836434</v>
      </c>
      <c r="BJ140" s="62">
        <f t="shared" si="146"/>
        <v>42.267525972379588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57.760375001616474</v>
      </c>
      <c r="BQ140" s="23">
        <f>EXP(-LN(2)/25)*BQ139+(1-EXP(-LN(2)/25))/(LN(2)/25)*Calculateur!BL140*Calculateur!BN140*VLOOKUP('Données projet'!$B$11,Paramètres!$A$1:$I$89,3,0)*0.475*44/12</f>
        <v>3.5301412438088504</v>
      </c>
      <c r="BR140" s="23">
        <f>EXP(-LN(2)/2)*BR139+(1-EXP(-LN(2)/2))/(LN(2)/2)*BL140*BO140*VLOOKUP('Données projet'!$B$11,Paramètres!$A$1:$I$89,3,0)*0.475*44/12</f>
        <v>2.4538391934143905E-11</v>
      </c>
      <c r="BS140" s="24">
        <f t="shared" si="117"/>
        <v>61.290516245449858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112.34884104798977</v>
      </c>
      <c r="CE140" s="62">
        <f t="shared" si="148"/>
        <v>18.665658139749326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41.181969143689038</v>
      </c>
      <c r="CL140" s="23">
        <f>EXP(-LN(2)/25)*CL139+(1-EXP(-LN(2)/25))/(LN(2)/25)*Calculateur!CG140*Calculateur!CI140*VLOOKUP('Données projet'!$B$12,Paramètres!$A$1:$I$89,3,0)*0.475*44/12</f>
        <v>2.4276185422990415</v>
      </c>
      <c r="CM140" s="23">
        <f>EXP(-LN(2)/2)*CM139+(1-EXP(-LN(2)/2))/(LN(2)/2)*CG140*CJ140*VLOOKUP('Données projet'!$B$12,Paramètres!$A$1:$I$89,3,0)*0.475*44/12</f>
        <v>3.1235226245188304E-13</v>
      </c>
      <c r="CN140" s="24">
        <f t="shared" si="120"/>
        <v>43.609587685988394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-1.1368683772161603E-13</v>
      </c>
      <c r="CU140" s="18">
        <f>CT140*VLOOKUP('Données projet'!$B$13,Paramètres!$A$1:$I$89,3,0)*VLOOKUP('Données projet'!$B$13,Paramètres!$A$1:$I$89,5,0)</f>
        <v>-1.2414602679200469E-13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205.21073681197737</v>
      </c>
      <c r="CZ140" s="62">
        <f t="shared" si="150"/>
        <v>175.16446313750316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15.537746314852431</v>
      </c>
      <c r="DG140" s="23">
        <f>EXP(-LN(2)/25)*DG139+(1-EXP(-LN(2)/25))/(LN(2)/25)*Calculateur!DB140*Calculateur!DD140*VLOOKUP('Données projet'!$B$13,Paramètres!$A$1:$I$89,3,0)*0.475*44/12</f>
        <v>3.7523754252872874</v>
      </c>
      <c r="DH140" s="23">
        <f>EXP(-LN(2)/2)*DH139+(1-EXP(-LN(2)/2))/(LN(2)/2)*DB140*DE140*VLOOKUP('Données projet'!$B$13,Paramètres!$A$1:$I$89,3,0)*0.475*44/12</f>
        <v>2.790940081294094E-13</v>
      </c>
      <c r="DI140" s="24">
        <f t="shared" si="123"/>
        <v>19.290121740139998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2.2737367544323206E-13</v>
      </c>
      <c r="DP140" s="18">
        <f>DO140*VLOOKUP('Données projet'!$B$14,Paramètres!$A$1:$I$89,3,0)*VLOOKUP('Données projet'!$B$14,Paramètres!$A$1:$I$89,5,0)</f>
        <v>1.8444552551954985E-13</v>
      </c>
      <c r="DQ140" s="14">
        <f t="shared" si="151"/>
        <v>2.580317449479618E-12</v>
      </c>
      <c r="DR140" s="22">
        <f t="shared" si="124"/>
        <v>4.8152955147902165E-12</v>
      </c>
      <c r="DS140" s="62">
        <f t="shared" si="125"/>
        <v>293.33333333333815</v>
      </c>
      <c r="DT140" s="62">
        <f ca="1">AVERAGE(OFFSET($DS$3,0,0,'Données projet'!$E$14+1,1))-AVERAGE(OFFSET($H$3,0,0,'Données projet'!$E$14+1,1))</f>
        <v>223.63222290670075</v>
      </c>
      <c r="DU140" s="62">
        <f t="shared" si="152"/>
        <v>290.02663909417248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16.545430221081432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2.4512374968458232E-10</v>
      </c>
      <c r="ED140" s="24">
        <f t="shared" si="126"/>
        <v>16.545430221326555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424.46546998502401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192.24617268603629</v>
      </c>
      <c r="T141" s="62">
        <f t="shared" si="142"/>
        <v>192.48585280662832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18.774394825506995</v>
      </c>
      <c r="AA141" s="23">
        <f>EXP(-LN(2)/25)*AA140+(1-EXP(-LN(2)/25))/(LN(2)/25)*Calculateur!V141*Calculateur!X141*VLOOKUP('Données projet'!$B$9,Paramètres!$A$1:$I$89,3,0)*0.475*44/12</f>
        <v>3.6464206918887383</v>
      </c>
      <c r="AB141" s="23">
        <f>EXP(-LN(2)/2)*AB140+(1-EXP(-LN(2)/2))/(LN(2)/2)*V141*Y141*VLOOKUP('Données projet'!$B$9,Paramètres!$A$1:$I$89,3,0)*0.475*44/12</f>
        <v>7.6336750166334237E-11</v>
      </c>
      <c r="AC141" s="24">
        <f t="shared" si="111"/>
        <v>22.420815517472072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1.9999999998958629E-3</v>
      </c>
      <c r="AJ141" s="14">
        <f>AI141*VLOOKUP('Données projet'!$B$10,Paramètres!$A$1:$I$89,3,0)*VLOOKUP('Données projet'!$B$10,Paramètres!$A$1:$I$89,5,0)</f>
        <v>1.195999999937726E-3</v>
      </c>
      <c r="AK141" s="14">
        <f t="shared" si="143"/>
        <v>1.2062444695752218E-3</v>
      </c>
      <c r="AL141" s="22">
        <f t="shared" si="112"/>
        <v>4.1839091177350513E-3</v>
      </c>
      <c r="AM141" s="62">
        <f t="shared" si="113"/>
        <v>293.33751724245104</v>
      </c>
      <c r="AN141" s="62">
        <f ca="1">AVERAGE(OFFSET($AM$3,0,0,'Données projet'!$E$10+1,1))-AVERAGE(OFFSET($H$3,0,0,'Données projet'!$E$10+1,1))</f>
        <v>164.64952352018145</v>
      </c>
      <c r="AO141" s="62">
        <f t="shared" si="144"/>
        <v>280.08682720086921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9.3887226371549701</v>
      </c>
      <c r="AV141" s="23">
        <f>EXP(-LN(2)/25)*AV140+(1-EXP(-LN(2)/25))/(LN(2)/25)*Calculateur!AQ141*Calculateur!AS141*VLOOKUP('Données projet'!$B$10,Paramètres!$A$1:$I$89,3,0)*0.475*44/12</f>
        <v>1.6105225206328928</v>
      </c>
      <c r="AW141" s="23">
        <f>EXP(-LN(2)/2)*AW140+(1-EXP(-LN(2)/2))/(LN(2)/2)*AQ141*AT141*VLOOKUP('Données projet'!$B$10,Paramètres!$A$1:$I$89,3,0)*0.475*44/12</f>
        <v>3.0099427390799069E-14</v>
      </c>
      <c r="AX141" s="23">
        <f t="shared" si="114"/>
        <v>10.999245157787893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7.3859999999999957</v>
      </c>
      <c r="BD141" s="13">
        <f>IF('Données projet'!$A$88&gt;35,BD140+BC141-BL140,IF(A141&lt;'Données projet'!$A$88,$BA$205^A141,IF(A141='Données projet'!$A$88,'Données projet'!$B$88,BD140+BC141-BL140)))</f>
        <v>425.60799999999995</v>
      </c>
      <c r="BE141" s="14">
        <f>BD141*VLOOKUP('Données projet'!$B$11,Paramètres!$A$1:$I$89,3,0)*VLOOKUP('Données projet'!$B$11,Paramètres!$A$1:$I$89,5,0)</f>
        <v>358.53217919999997</v>
      </c>
      <c r="BF141" s="14">
        <f t="shared" si="145"/>
        <v>83.316905268258409</v>
      </c>
      <c r="BG141" s="22">
        <f t="shared" si="115"/>
        <v>769.55382211555013</v>
      </c>
      <c r="BH141" s="62">
        <f t="shared" si="116"/>
        <v>1062.8871554488835</v>
      </c>
      <c r="BI141" s="62">
        <f ca="1">AVERAGE(OFFSET($BH$3,0,0,'Données projet'!$E$11+1,1))-AVERAGE(OFFSET($H$3,0,0,'Données projet'!$E$11+1,1))</f>
        <v>339.58585574836434</v>
      </c>
      <c r="BJ141" s="62">
        <f t="shared" si="146"/>
        <v>42.267525972379588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56.627729278184816</v>
      </c>
      <c r="BQ141" s="23">
        <f>EXP(-LN(2)/25)*BQ140+(1-EXP(-LN(2)/25))/(LN(2)/25)*Calculateur!BL141*Calculateur!BN141*VLOOKUP('Données projet'!$B$11,Paramètres!$A$1:$I$89,3,0)*0.475*44/12</f>
        <v>3.4336093458548378</v>
      </c>
      <c r="BR141" s="23">
        <f>EXP(-LN(2)/2)*BR140+(1-EXP(-LN(2)/2))/(LN(2)/2)*BL141*BO141*VLOOKUP('Données projet'!$B$11,Paramètres!$A$1:$I$89,3,0)*0.475*44/12</f>
        <v>1.7351263336046436E-11</v>
      </c>
      <c r="BS141" s="24">
        <f t="shared" si="117"/>
        <v>60.061338624057008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112.34884104798977</v>
      </c>
      <c r="CE141" s="62">
        <f t="shared" si="148"/>
        <v>18.665658139749326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40.374415847302224</v>
      </c>
      <c r="CL141" s="23">
        <f>EXP(-LN(2)/25)*CL140+(1-EXP(-LN(2)/25))/(LN(2)/25)*Calculateur!CG141*Calculateur!CI141*VLOOKUP('Données projet'!$B$12,Paramètres!$A$1:$I$89,3,0)*0.475*44/12</f>
        <v>2.3612351855969633</v>
      </c>
      <c r="CM141" s="23">
        <f>EXP(-LN(2)/2)*CM140+(1-EXP(-LN(2)/2))/(LN(2)/2)*CG141*CJ141*VLOOKUP('Données projet'!$B$12,Paramètres!$A$1:$I$89,3,0)*0.475*44/12</f>
        <v>2.2086640289868673E-13</v>
      </c>
      <c r="CN141" s="24">
        <f t="shared" si="120"/>
        <v>42.735651032899405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-1.1368683772161603E-13</v>
      </c>
      <c r="CU141" s="18">
        <f>CT141*VLOOKUP('Données projet'!$B$13,Paramètres!$A$1:$I$89,3,0)*VLOOKUP('Données projet'!$B$13,Paramètres!$A$1:$I$89,5,0)</f>
        <v>-1.2414602679200469E-13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205.21073681197737</v>
      </c>
      <c r="CZ141" s="62">
        <f t="shared" si="150"/>
        <v>175.16446313750316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15.233060586707643</v>
      </c>
      <c r="DG141" s="23">
        <f>EXP(-LN(2)/25)*DG140+(1-EXP(-LN(2)/25))/(LN(2)/25)*Calculateur!DB141*Calculateur!DD141*VLOOKUP('Données projet'!$B$13,Paramètres!$A$1:$I$89,3,0)*0.475*44/12</f>
        <v>3.6497665219539592</v>
      </c>
      <c r="DH141" s="23">
        <f>EXP(-LN(2)/2)*DH140+(1-EXP(-LN(2)/2))/(LN(2)/2)*DB141*DE141*VLOOKUP('Données projet'!$B$13,Paramètres!$A$1:$I$89,3,0)*0.475*44/12</f>
        <v>1.9734926573683881E-13</v>
      </c>
      <c r="DI141" s="24">
        <f t="shared" si="123"/>
        <v>18.8828271086618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2.2737367544323206E-13</v>
      </c>
      <c r="DP141" s="18">
        <f>DO141*VLOOKUP('Données projet'!$B$14,Paramètres!$A$1:$I$89,3,0)*VLOOKUP('Données projet'!$B$14,Paramètres!$A$1:$I$89,5,0)</f>
        <v>1.8444552551954985E-13</v>
      </c>
      <c r="DQ141" s="14">
        <f t="shared" si="151"/>
        <v>2.580317449479618E-12</v>
      </c>
      <c r="DR141" s="22">
        <f t="shared" si="124"/>
        <v>4.8152955147902165E-12</v>
      </c>
      <c r="DS141" s="62">
        <f t="shared" si="125"/>
        <v>293.33333333333815</v>
      </c>
      <c r="DT141" s="62">
        <f ca="1">AVERAGE(OFFSET($DS$3,0,0,'Données projet'!$E$14+1,1))-AVERAGE(OFFSET($H$3,0,0,'Données projet'!$E$14+1,1))</f>
        <v>223.63222290670075</v>
      </c>
      <c r="DU141" s="62">
        <f t="shared" si="152"/>
        <v>290.02663909417248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16.220984426161987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1.73328665631842E-10</v>
      </c>
      <c r="ED141" s="24">
        <f t="shared" si="126"/>
        <v>16.220984426335317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425.6504607991651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192.24617268603629</v>
      </c>
      <c r="T142" s="62">
        <f t="shared" si="142"/>
        <v>192.48585280662832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18.406240394228931</v>
      </c>
      <c r="AA142" s="23">
        <f>EXP(-LN(2)/25)*AA141+(1-EXP(-LN(2)/25))/(LN(2)/25)*Calculateur!V142*Calculateur!X142*VLOOKUP('Données projet'!$B$9,Paramètres!$A$1:$I$89,3,0)*0.475*44/12</f>
        <v>3.5467091263121104</v>
      </c>
      <c r="AB142" s="23">
        <f>EXP(-LN(2)/2)*AB141+(1-EXP(-LN(2)/2))/(LN(2)/2)*V142*Y142*VLOOKUP('Données projet'!$B$9,Paramètres!$A$1:$I$89,3,0)*0.475*44/12</f>
        <v>5.3978233696358249E-11</v>
      </c>
      <c r="AC142" s="24">
        <f t="shared" si="111"/>
        <v>21.95294952059502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1.9999999998958629E-3</v>
      </c>
      <c r="AJ142" s="14">
        <f>AI142*VLOOKUP('Données projet'!$B$10,Paramètres!$A$1:$I$89,3,0)*VLOOKUP('Données projet'!$B$10,Paramètres!$A$1:$I$89,5,0)</f>
        <v>1.195999999937726E-3</v>
      </c>
      <c r="AK142" s="14">
        <f t="shared" si="143"/>
        <v>1.2062444695752218E-3</v>
      </c>
      <c r="AL142" s="22">
        <f t="shared" si="112"/>
        <v>4.1839091177350513E-3</v>
      </c>
      <c r="AM142" s="62">
        <f t="shared" si="113"/>
        <v>293.33751724245104</v>
      </c>
      <c r="AN142" s="62">
        <f ca="1">AVERAGE(OFFSET($AM$3,0,0,'Données projet'!$E$10+1,1))-AVERAGE(OFFSET($H$3,0,0,'Données projet'!$E$10+1,1))</f>
        <v>164.64952352018145</v>
      </c>
      <c r="AO142" s="62">
        <f t="shared" si="144"/>
        <v>280.08682720086921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9.2046155127957192</v>
      </c>
      <c r="AV142" s="23">
        <f>EXP(-LN(2)/25)*AV141+(1-EXP(-LN(2)/25))/(LN(2)/25)*Calculateur!AQ142*Calculateur!AS142*VLOOKUP('Données projet'!$B$10,Paramètres!$A$1:$I$89,3,0)*0.475*44/12</f>
        <v>1.5664826976124879</v>
      </c>
      <c r="AW142" s="23">
        <f>EXP(-LN(2)/2)*AW141+(1-EXP(-LN(2)/2))/(LN(2)/2)*AQ142*AT142*VLOOKUP('Données projet'!$B$10,Paramètres!$A$1:$I$89,3,0)*0.475*44/12</f>
        <v>2.1283509217866132E-14</v>
      </c>
      <c r="AX142" s="23">
        <f t="shared" si="114"/>
        <v>10.771098210408228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7.3859999999999957</v>
      </c>
      <c r="BD142" s="13">
        <f>IF('Données projet'!$A$88&gt;35,BD141+BC142-BL141,IF(A142&lt;'Données projet'!$A$88,$BA$205^A142,IF(A142='Données projet'!$A$88,'Données projet'!$B$88,BD141+BC142-BL141)))</f>
        <v>432.99399999999991</v>
      </c>
      <c r="BE142" s="14">
        <f>BD142*VLOOKUP('Données projet'!$B$11,Paramètres!$A$1:$I$89,3,0)*VLOOKUP('Données projet'!$B$11,Paramètres!$A$1:$I$89,5,0)</f>
        <v>364.75414559999996</v>
      </c>
      <c r="BF142" s="14">
        <f t="shared" si="145"/>
        <v>84.593203911497255</v>
      </c>
      <c r="BG142" s="22">
        <f t="shared" si="115"/>
        <v>782.61330039919096</v>
      </c>
      <c r="BH142" s="62">
        <f t="shared" si="116"/>
        <v>1075.9466337325243</v>
      </c>
      <c r="BI142" s="62">
        <f ca="1">AVERAGE(OFFSET($BH$3,0,0,'Données projet'!$E$11+1,1))-AVERAGE(OFFSET($H$3,0,0,'Données projet'!$E$11+1,1))</f>
        <v>339.58585574836434</v>
      </c>
      <c r="BJ142" s="62">
        <f t="shared" si="146"/>
        <v>42.267525972379588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55.517294046543981</v>
      </c>
      <c r="BQ142" s="23">
        <f>EXP(-LN(2)/25)*BQ141+(1-EXP(-LN(2)/25))/(LN(2)/25)*Calculateur!BL142*Calculateur!BN142*VLOOKUP('Données projet'!$B$11,Paramètres!$A$1:$I$89,3,0)*0.475*44/12</f>
        <v>3.3397171177267695</v>
      </c>
      <c r="BR142" s="23">
        <f>EXP(-LN(2)/2)*BR141+(1-EXP(-LN(2)/2))/(LN(2)/2)*BL142*BO142*VLOOKUP('Données projet'!$B$11,Paramètres!$A$1:$I$89,3,0)*0.475*44/12</f>
        <v>1.2269195967071952E-11</v>
      </c>
      <c r="BS142" s="24">
        <f t="shared" si="117"/>
        <v>58.857011164283023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112.34884104798977</v>
      </c>
      <c r="CE142" s="62">
        <f t="shared" si="148"/>
        <v>18.665658139749326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39.582698178498681</v>
      </c>
      <c r="CL142" s="23">
        <f>EXP(-LN(2)/25)*CL141+(1-EXP(-LN(2)/25))/(LN(2)/25)*Calculateur!CG142*Calculateur!CI142*VLOOKUP('Données projet'!$B$12,Paramètres!$A$1:$I$89,3,0)*0.475*44/12</f>
        <v>2.2966670852748527</v>
      </c>
      <c r="CM142" s="23">
        <f>EXP(-LN(2)/2)*CM141+(1-EXP(-LN(2)/2))/(LN(2)/2)*CG142*CJ142*VLOOKUP('Données projet'!$B$12,Paramètres!$A$1:$I$89,3,0)*0.475*44/12</f>
        <v>1.5617613122594152E-13</v>
      </c>
      <c r="CN142" s="24">
        <f t="shared" si="120"/>
        <v>41.879365263773693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-1.1368683772161603E-13</v>
      </c>
      <c r="CU142" s="18">
        <f>CT142*VLOOKUP('Données projet'!$B$13,Paramètres!$A$1:$I$89,3,0)*VLOOKUP('Données projet'!$B$13,Paramètres!$A$1:$I$89,5,0)</f>
        <v>-1.2414602679200469E-13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205.21073681197737</v>
      </c>
      <c r="CZ142" s="62">
        <f t="shared" si="150"/>
        <v>175.16446313750316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14.934349559851828</v>
      </c>
      <c r="DG142" s="23">
        <f>EXP(-LN(2)/25)*DG141+(1-EXP(-LN(2)/25))/(LN(2)/25)*Calculateur!DB142*Calculateur!DD142*VLOOKUP('Données projet'!$B$13,Paramètres!$A$1:$I$89,3,0)*0.475*44/12</f>
        <v>3.5499634644782483</v>
      </c>
      <c r="DH142" s="23">
        <f>EXP(-LN(2)/2)*DH141+(1-EXP(-LN(2)/2))/(LN(2)/2)*DB142*DE142*VLOOKUP('Données projet'!$B$13,Paramètres!$A$1:$I$89,3,0)*0.475*44/12</f>
        <v>1.395470040647047E-13</v>
      </c>
      <c r="DI142" s="24">
        <f t="shared" si="123"/>
        <v>18.484313024330216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2.2737367544323206E-13</v>
      </c>
      <c r="DP142" s="18">
        <f>DO142*VLOOKUP('Données projet'!$B$14,Paramètres!$A$1:$I$89,3,0)*VLOOKUP('Données projet'!$B$14,Paramètres!$A$1:$I$89,5,0)</f>
        <v>1.8444552551954985E-13</v>
      </c>
      <c r="DQ142" s="14">
        <f t="shared" si="151"/>
        <v>2.580317449479618E-12</v>
      </c>
      <c r="DR142" s="22">
        <f t="shared" si="124"/>
        <v>4.8152955147902165E-12</v>
      </c>
      <c r="DS142" s="62">
        <f t="shared" si="125"/>
        <v>293.33333333333815</v>
      </c>
      <c r="DT142" s="62">
        <f ca="1">AVERAGE(OFFSET($DS$3,0,0,'Données projet'!$E$14+1,1))-AVERAGE(OFFSET($H$3,0,0,'Données projet'!$E$14+1,1))</f>
        <v>223.63222290670075</v>
      </c>
      <c r="DU142" s="62">
        <f t="shared" si="152"/>
        <v>290.02663909417248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15.902900815388517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1.2256187484229116E-10</v>
      </c>
      <c r="ED142" s="24">
        <f t="shared" si="126"/>
        <v>15.902900815511078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426.8352557054219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192.24617268603629</v>
      </c>
      <c r="T143" s="62">
        <f t="shared" si="142"/>
        <v>192.48585280662832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18.045305246796197</v>
      </c>
      <c r="AA143" s="23">
        <f>EXP(-LN(2)/25)*AA142+(1-EXP(-LN(2)/25))/(LN(2)/25)*Calculateur!V143*Calculateur!X143*VLOOKUP('Données projet'!$B$9,Paramètres!$A$1:$I$89,3,0)*0.475*44/12</f>
        <v>3.4497241787397788</v>
      </c>
      <c r="AB143" s="23">
        <f>EXP(-LN(2)/2)*AB142+(1-EXP(-LN(2)/2))/(LN(2)/2)*V143*Y143*VLOOKUP('Données projet'!$B$9,Paramètres!$A$1:$I$89,3,0)*0.475*44/12</f>
        <v>3.8168375083167118E-11</v>
      </c>
      <c r="AC143" s="24">
        <f t="shared" si="111"/>
        <v>21.495029425574142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1.9999999998958629E-3</v>
      </c>
      <c r="AJ143" s="14">
        <f>AI143*VLOOKUP('Données projet'!$B$10,Paramètres!$A$1:$I$89,3,0)*VLOOKUP('Données projet'!$B$10,Paramètres!$A$1:$I$89,5,0)</f>
        <v>1.195999999937726E-3</v>
      </c>
      <c r="AK143" s="14">
        <f t="shared" si="143"/>
        <v>1.2062444695752218E-3</v>
      </c>
      <c r="AL143" s="22">
        <f t="shared" si="112"/>
        <v>4.1839091177350513E-3</v>
      </c>
      <c r="AM143" s="62">
        <f t="shared" si="113"/>
        <v>293.33751724245104</v>
      </c>
      <c r="AN143" s="62">
        <f ca="1">AVERAGE(OFFSET($AM$3,0,0,'Données projet'!$E$10+1,1))-AVERAGE(OFFSET($H$3,0,0,'Données projet'!$E$10+1,1))</f>
        <v>164.64952352018145</v>
      </c>
      <c r="AO143" s="62">
        <f t="shared" si="144"/>
        <v>280.08682720086921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9.0241186168508953</v>
      </c>
      <c r="AV143" s="23">
        <f>EXP(-LN(2)/25)*AV142+(1-EXP(-LN(2)/25))/(LN(2)/25)*Calculateur!AQ143*Calculateur!AS143*VLOOKUP('Données projet'!$B$10,Paramètres!$A$1:$I$89,3,0)*0.475*44/12</f>
        <v>1.5236471458685297</v>
      </c>
      <c r="AW143" s="23">
        <f>EXP(-LN(2)/2)*AW142+(1-EXP(-LN(2)/2))/(LN(2)/2)*AQ143*AT143*VLOOKUP('Données projet'!$B$10,Paramètres!$A$1:$I$89,3,0)*0.475*44/12</f>
        <v>1.5049713695399534E-14</v>
      </c>
      <c r="AX143" s="23">
        <f t="shared" si="114"/>
        <v>10.54776576271944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440.38</v>
      </c>
      <c r="BB143" s="13">
        <f>VLOOKUP(A143,'Données projet'!$A$87:$I$107,9,0)</f>
        <v>7.3859999999999957</v>
      </c>
      <c r="BC143" s="13">
        <f t="array" ref="BC143">INDEX(BB:BB,MIN(IF(ISNUMBER(BB143:BB339),ROW(BB143:BB339),"")))</f>
        <v>7.3859999999999957</v>
      </c>
      <c r="BD143" s="13">
        <f>IF('Données projet'!$A$88&gt;35,BD142+BC143-BL142,IF(A143&lt;'Données projet'!$A$88,$BA$205^A143,IF(A143='Données projet'!$A$88,'Données projet'!$B$88,BD142+BC143-BL142)))</f>
        <v>440.37999999999988</v>
      </c>
      <c r="BE143" s="14">
        <f>BD143*VLOOKUP('Données projet'!$B$11,Paramètres!$A$1:$I$89,3,0)*VLOOKUP('Données projet'!$B$11,Paramètres!$A$1:$I$89,5,0)</f>
        <v>370.97611199999994</v>
      </c>
      <c r="BF143" s="14">
        <f t="shared" si="145"/>
        <v>85.866970786801716</v>
      </c>
      <c r="BG143" s="22">
        <f t="shared" si="115"/>
        <v>795.6683691870129</v>
      </c>
      <c r="BH143" s="62">
        <f t="shared" si="116"/>
        <v>1089.0017025203463</v>
      </c>
      <c r="BI143" s="62">
        <f ca="1">AVERAGE(OFFSET($BH$3,0,0,'Données projet'!$E$11+1,1))-AVERAGE(OFFSET($H$3,0,0,'Données projet'!$E$11+1,1))</f>
        <v>339.58585574836434</v>
      </c>
      <c r="BJ143" s="62">
        <f t="shared" si="146"/>
        <v>42.267525972379588</v>
      </c>
      <c r="BK143" s="16">
        <f>IF(ISNA(VLOOKUP(A143,'Données projet'!$A$87:$I$107,3,0)),0,VLOOKUP(A143,'Données projet'!$A$87:$I$107,3,0))</f>
        <v>17</v>
      </c>
      <c r="BL143" s="16">
        <f>IF(ISNA(VLOOKUP(A143,'Données projet'!$A$87:$I$107,4,0)),0,VLOOKUP(A143,'Données projet'!$A$87:$I$107,4,0))</f>
        <v>59.02</v>
      </c>
      <c r="BM143" s="17">
        <f>IF(ISNA(VLOOKUP(A143,'Données projet'!$A$87:$I$107,5,0)),0%,VLOOKUP(A143,'Données projet'!$A$87:$I$107,5,0)*VLOOKUP('Données projet'!$B$11,Paramètres!$A$1:$I$89,7,0))</f>
        <v>0.34400000000000003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73.335655196137154</v>
      </c>
      <c r="BQ143" s="23">
        <f>EXP(-LN(2)/25)*BQ142+(1-EXP(-LN(2)/25))/(LN(2)/25)*Calculateur!BL143*Calculateur!BN143*VLOOKUP('Données projet'!$B$11,Paramètres!$A$1:$I$89,3,0)*0.475*44/12</f>
        <v>3.248392377514441</v>
      </c>
      <c r="BR143" s="23">
        <f>EXP(-LN(2)/2)*BR142+(1-EXP(-LN(2)/2))/(LN(2)/2)*BL143*BO143*VLOOKUP('Données projet'!$B$11,Paramètres!$A$1:$I$89,3,0)*0.475*44/12</f>
        <v>8.6756316680232182E-12</v>
      </c>
      <c r="BS143" s="24">
        <f t="shared" si="117"/>
        <v>76.584047573660257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112.34884104798977</v>
      </c>
      <c r="CE143" s="62">
        <f t="shared" si="148"/>
        <v>18.665658139749326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38.806505610280283</v>
      </c>
      <c r="CL143" s="23">
        <f>EXP(-LN(2)/25)*CL142+(1-EXP(-LN(2)/25))/(LN(2)/25)*Calculateur!CG143*Calculateur!CI143*VLOOKUP('Données projet'!$B$12,Paramètres!$A$1:$I$89,3,0)*0.475*44/12</f>
        <v>2.233864603051539</v>
      </c>
      <c r="CM143" s="23">
        <f>EXP(-LN(2)/2)*CM142+(1-EXP(-LN(2)/2))/(LN(2)/2)*CG143*CJ143*VLOOKUP('Données projet'!$B$12,Paramètres!$A$1:$I$89,3,0)*0.475*44/12</f>
        <v>1.1043320144934336E-13</v>
      </c>
      <c r="CN143" s="24">
        <f t="shared" si="120"/>
        <v>41.040370213331933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-1.1368683772161603E-13</v>
      </c>
      <c r="CU143" s="18">
        <f>CT143*VLOOKUP('Données projet'!$B$13,Paramètres!$A$1:$I$89,3,0)*VLOOKUP('Données projet'!$B$13,Paramètres!$A$1:$I$89,5,0)</f>
        <v>-1.2414602679200469E-13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205.21073681197737</v>
      </c>
      <c r="CZ143" s="62">
        <f t="shared" si="150"/>
        <v>175.16446313750316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14.641496074036921</v>
      </c>
      <c r="DG143" s="23">
        <f>EXP(-LN(2)/25)*DG142+(1-EXP(-LN(2)/25))/(LN(2)/25)*Calculateur!DB143*Calculateur!DD143*VLOOKUP('Données projet'!$B$13,Paramètres!$A$1:$I$89,3,0)*0.475*44/12</f>
        <v>3.4528895268576254</v>
      </c>
      <c r="DH143" s="23">
        <f>EXP(-LN(2)/2)*DH142+(1-EXP(-LN(2)/2))/(LN(2)/2)*DB143*DE143*VLOOKUP('Données projet'!$B$13,Paramètres!$A$1:$I$89,3,0)*0.475*44/12</f>
        <v>9.8674632868419405E-14</v>
      </c>
      <c r="DI143" s="24">
        <f t="shared" si="123"/>
        <v>18.094385600894647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2.2737367544323206E-13</v>
      </c>
      <c r="DP143" s="18">
        <f>DO143*VLOOKUP('Données projet'!$B$14,Paramètres!$A$1:$I$89,3,0)*VLOOKUP('Données projet'!$B$14,Paramètres!$A$1:$I$89,5,0)</f>
        <v>1.8444552551954985E-13</v>
      </c>
      <c r="DQ143" s="14">
        <f t="shared" si="151"/>
        <v>2.580317449479618E-12</v>
      </c>
      <c r="DR143" s="22">
        <f t="shared" si="124"/>
        <v>4.8152955147902165E-12</v>
      </c>
      <c r="DS143" s="62">
        <f t="shared" si="125"/>
        <v>293.33333333333815</v>
      </c>
      <c r="DT143" s="62">
        <f ca="1">AVERAGE(OFFSET($DS$3,0,0,'Données projet'!$E$14+1,1))-AVERAGE(OFFSET($H$3,0,0,'Données projet'!$E$14+1,1))</f>
        <v>223.63222290670075</v>
      </c>
      <c r="DU143" s="62">
        <f t="shared" si="152"/>
        <v>290.02663909417248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15.591054630210468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8.6664332815920999E-11</v>
      </c>
      <c r="ED143" s="24">
        <f t="shared" si="126"/>
        <v>15.591054630297133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428.01985626539732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192.24617268603629</v>
      </c>
      <c r="T144" s="62">
        <f t="shared" si="142"/>
        <v>192.48585280662832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17.691447817455916</v>
      </c>
      <c r="AA144" s="23">
        <f>EXP(-LN(2)/25)*AA143+(1-EXP(-LN(2)/25))/(LN(2)/25)*Calculateur!V144*Calculateur!X144*VLOOKUP('Données projet'!$B$9,Paramètres!$A$1:$I$89,3,0)*0.475*44/12</f>
        <v>3.3553912896590292</v>
      </c>
      <c r="AB144" s="23">
        <f>EXP(-LN(2)/2)*AB143+(1-EXP(-LN(2)/2))/(LN(2)/2)*V144*Y144*VLOOKUP('Données projet'!$B$9,Paramètres!$A$1:$I$89,3,0)*0.475*44/12</f>
        <v>2.6989116848179124E-11</v>
      </c>
      <c r="AC144" s="24">
        <f t="shared" si="111"/>
        <v>21.046839107141935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1.9999999998958629E-3</v>
      </c>
      <c r="AJ144" s="14">
        <f>AI144*VLOOKUP('Données projet'!$B$10,Paramètres!$A$1:$I$89,3,0)*VLOOKUP('Données projet'!$B$10,Paramètres!$A$1:$I$89,5,0)</f>
        <v>1.195999999937726E-3</v>
      </c>
      <c r="AK144" s="14">
        <f t="shared" si="143"/>
        <v>1.2062444695752218E-3</v>
      </c>
      <c r="AL144" s="22">
        <f t="shared" si="112"/>
        <v>4.1839091177350513E-3</v>
      </c>
      <c r="AM144" s="62">
        <f t="shared" si="113"/>
        <v>293.33751724245104</v>
      </c>
      <c r="AN144" s="62">
        <f ca="1">AVERAGE(OFFSET($AM$3,0,0,'Données projet'!$E$10+1,1))-AVERAGE(OFFSET($H$3,0,0,'Données projet'!$E$10+1,1))</f>
        <v>164.64952352018145</v>
      </c>
      <c r="AO144" s="62">
        <f t="shared" si="144"/>
        <v>280.08682720086921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8.8471611549433149</v>
      </c>
      <c r="AV144" s="23">
        <f>EXP(-LN(2)/25)*AV143+(1-EXP(-LN(2)/25))/(LN(2)/25)*Calculateur!AQ144*Calculateur!AS144*VLOOKUP('Données projet'!$B$10,Paramètres!$A$1:$I$89,3,0)*0.475*44/12</f>
        <v>1.4819829345396336</v>
      </c>
      <c r="AW144" s="23">
        <f>EXP(-LN(2)/2)*AW143+(1-EXP(-LN(2)/2))/(LN(2)/2)*AQ144*AT144*VLOOKUP('Données projet'!$B$10,Paramètres!$A$1:$I$89,3,0)*0.475*44/12</f>
        <v>1.0641754608933066E-14</v>
      </c>
      <c r="AX144" s="23">
        <f t="shared" si="114"/>
        <v>10.329144089482959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8.6800000000000015</v>
      </c>
      <c r="BD144" s="13">
        <f>IF('Données projet'!$A$88&gt;35,BD143+BC144-BL143,IF(A144&lt;'Données projet'!$A$88,$BA$205^A144,IF(A144='Données projet'!$A$88,'Données projet'!$B$88,BD143+BC144-BL143)))</f>
        <v>390.03999999999991</v>
      </c>
      <c r="BE144" s="14">
        <f>BD144*VLOOKUP('Données projet'!$B$11,Paramètres!$A$1:$I$89,3,0)*VLOOKUP('Données projet'!$B$11,Paramètres!$A$1:$I$89,5,0)</f>
        <v>328.56969599999996</v>
      </c>
      <c r="BF144" s="14">
        <f t="shared" si="145"/>
        <v>77.133693736885533</v>
      </c>
      <c r="BG144" s="22">
        <f t="shared" si="115"/>
        <v>706.60007045840894</v>
      </c>
      <c r="BH144" s="62">
        <f t="shared" si="116"/>
        <v>999.93340379174219</v>
      </c>
      <c r="BI144" s="62">
        <f ca="1">AVERAGE(OFFSET($BH$3,0,0,'Données projet'!$E$11+1,1))-AVERAGE(OFFSET($H$3,0,0,'Données projet'!$E$11+1,1))</f>
        <v>339.58585574836434</v>
      </c>
      <c r="BJ144" s="62">
        <f t="shared" si="146"/>
        <v>42.267525972379588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71.897587728073816</v>
      </c>
      <c r="BQ144" s="23">
        <f>EXP(-LN(2)/25)*BQ143+(1-EXP(-LN(2)/25))/(LN(2)/25)*Calculateur!BL144*Calculateur!BN144*VLOOKUP('Données projet'!$B$11,Paramètres!$A$1:$I$89,3,0)*0.475*44/12</f>
        <v>3.1595649171257776</v>
      </c>
      <c r="BR144" s="23">
        <f>EXP(-LN(2)/2)*BR143+(1-EXP(-LN(2)/2))/(LN(2)/2)*BL144*BO144*VLOOKUP('Données projet'!$B$11,Paramètres!$A$1:$I$89,3,0)*0.475*44/12</f>
        <v>6.1345979835359762E-12</v>
      </c>
      <c r="BS144" s="24">
        <f t="shared" si="117"/>
        <v>75.057152645205733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112.34884104798977</v>
      </c>
      <c r="CE144" s="62">
        <f t="shared" si="148"/>
        <v>18.665658139749326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38.045533704893927</v>
      </c>
      <c r="CL144" s="23">
        <f>EXP(-LN(2)/25)*CL143+(1-EXP(-LN(2)/25))/(LN(2)/25)*Calculateur!CG144*Calculateur!CI144*VLOOKUP('Données projet'!$B$12,Paramètres!$A$1:$I$89,3,0)*0.475*44/12</f>
        <v>2.1727794580072608</v>
      </c>
      <c r="CM144" s="23">
        <f>EXP(-LN(2)/2)*CM143+(1-EXP(-LN(2)/2))/(LN(2)/2)*CG144*CJ144*VLOOKUP('Données projet'!$B$12,Paramètres!$A$1:$I$89,3,0)*0.475*44/12</f>
        <v>7.808806561297076E-14</v>
      </c>
      <c r="CN144" s="24">
        <f t="shared" si="120"/>
        <v>40.218313162901268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-1.1368683772161603E-13</v>
      </c>
      <c r="CU144" s="18">
        <f>CT144*VLOOKUP('Données projet'!$B$13,Paramètres!$A$1:$I$89,3,0)*VLOOKUP('Données projet'!$B$13,Paramètres!$A$1:$I$89,5,0)</f>
        <v>-1.2414602679200469E-13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205.21073681197737</v>
      </c>
      <c r="CZ144" s="62">
        <f t="shared" si="150"/>
        <v>175.16446313750316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14.354385266455855</v>
      </c>
      <c r="DG144" s="23">
        <f>EXP(-LN(2)/25)*DG143+(1-EXP(-LN(2)/25))/(LN(2)/25)*Calculateur!DB144*Calculateur!DD144*VLOOKUP('Données projet'!$B$13,Paramètres!$A$1:$I$89,3,0)*0.475*44/12</f>
        <v>3.3584700811661352</v>
      </c>
      <c r="DH144" s="23">
        <f>EXP(-LN(2)/2)*DH143+(1-EXP(-LN(2)/2))/(LN(2)/2)*DB144*DE144*VLOOKUP('Données projet'!$B$13,Paramètres!$A$1:$I$89,3,0)*0.475*44/12</f>
        <v>6.977350203235235E-14</v>
      </c>
      <c r="DI144" s="24">
        <f t="shared" si="123"/>
        <v>17.71285534762206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2.2737367544323206E-13</v>
      </c>
      <c r="DP144" s="18">
        <f>DO144*VLOOKUP('Données projet'!$B$14,Paramètres!$A$1:$I$89,3,0)*VLOOKUP('Données projet'!$B$14,Paramètres!$A$1:$I$89,5,0)</f>
        <v>1.8444552551954985E-13</v>
      </c>
      <c r="DQ144" s="14">
        <f t="shared" si="151"/>
        <v>2.580317449479618E-12</v>
      </c>
      <c r="DR144" s="22">
        <f t="shared" si="124"/>
        <v>4.8152955147902165E-12</v>
      </c>
      <c r="DS144" s="62">
        <f t="shared" si="125"/>
        <v>293.33333333333815</v>
      </c>
      <c r="DT144" s="62">
        <f ca="1">AVERAGE(OFFSET($DS$3,0,0,'Données projet'!$E$14+1,1))-AVERAGE(OFFSET($H$3,0,0,'Données projet'!$E$14+1,1))</f>
        <v>223.63222290670075</v>
      </c>
      <c r="DU144" s="62">
        <f t="shared" si="152"/>
        <v>290.02663909417248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15.285323558516371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6.1280937421145579E-11</v>
      </c>
      <c r="ED144" s="24">
        <f t="shared" si="126"/>
        <v>15.285323558577652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429.20426401726365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192.24617268603629</v>
      </c>
      <c r="T145" s="62">
        <f t="shared" si="142"/>
        <v>192.48585280662832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17.344529316473281</v>
      </c>
      <c r="AA145" s="23">
        <f>EXP(-LN(2)/25)*AA144+(1-EXP(-LN(2)/25))/(LN(2)/25)*Calculateur!V145*Calculateur!X145*VLOOKUP('Données projet'!$B$9,Paramètres!$A$1:$I$89,3,0)*0.475*44/12</f>
        <v>3.2636379383909442</v>
      </c>
      <c r="AB145" s="23">
        <f>EXP(-LN(2)/2)*AB144+(1-EXP(-LN(2)/2))/(LN(2)/2)*V145*Y145*VLOOKUP('Données projet'!$B$9,Paramètres!$A$1:$I$89,3,0)*0.475*44/12</f>
        <v>1.9084187541583559E-11</v>
      </c>
      <c r="AC145" s="24">
        <f t="shared" si="111"/>
        <v>20.608167254883309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1.9999999998958629E-3</v>
      </c>
      <c r="AJ145" s="14">
        <f>AI145*VLOOKUP('Données projet'!$B$10,Paramètres!$A$1:$I$89,3,0)*VLOOKUP('Données projet'!$B$10,Paramètres!$A$1:$I$89,5,0)</f>
        <v>1.195999999937726E-3</v>
      </c>
      <c r="AK145" s="14">
        <f t="shared" si="143"/>
        <v>1.2062444695752218E-3</v>
      </c>
      <c r="AL145" s="22">
        <f t="shared" si="112"/>
        <v>4.1839091177350513E-3</v>
      </c>
      <c r="AM145" s="62">
        <f t="shared" si="113"/>
        <v>293.33751724245104</v>
      </c>
      <c r="AN145" s="62">
        <f ca="1">AVERAGE(OFFSET($AM$3,0,0,'Données projet'!$E$10+1,1))-AVERAGE(OFFSET($H$3,0,0,'Données projet'!$E$10+1,1))</f>
        <v>164.64952352018145</v>
      </c>
      <c r="AO145" s="62">
        <f t="shared" si="144"/>
        <v>280.08682720086921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8.6736737209303474</v>
      </c>
      <c r="AV145" s="23">
        <f>EXP(-LN(2)/25)*AV144+(1-EXP(-LN(2)/25))/(LN(2)/25)*Calculateur!AQ145*Calculateur!AS145*VLOOKUP('Données projet'!$B$10,Paramètres!$A$1:$I$89,3,0)*0.475*44/12</f>
        <v>1.441458033260552</v>
      </c>
      <c r="AW145" s="23">
        <f>EXP(-LN(2)/2)*AW144+(1-EXP(-LN(2)/2))/(LN(2)/2)*AQ145*AT145*VLOOKUP('Données projet'!$B$10,Paramètres!$A$1:$I$89,3,0)*0.475*44/12</f>
        <v>7.5248568476997671E-15</v>
      </c>
      <c r="AX145" s="23">
        <f t="shared" si="114"/>
        <v>10.115131754190907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8.6800000000000015</v>
      </c>
      <c r="BD145" s="13">
        <f>IF('Données projet'!$A$88&gt;35,BD144+BC145-BL144,IF(A145&lt;'Données projet'!$A$88,$BA$205^A145,IF(A145='Données projet'!$A$88,'Données projet'!$B$88,BD144+BC145-BL144)))</f>
        <v>398.71999999999991</v>
      </c>
      <c r="BE145" s="14">
        <f>BD145*VLOOKUP('Données projet'!$B$11,Paramètres!$A$1:$I$89,3,0)*VLOOKUP('Données projet'!$B$11,Paramètres!$A$1:$I$89,5,0)</f>
        <v>335.88172799999995</v>
      </c>
      <c r="BF145" s="14">
        <f t="shared" si="145"/>
        <v>78.648482815673347</v>
      </c>
      <c r="BG145" s="22">
        <f t="shared" si="115"/>
        <v>721.97345050396427</v>
      </c>
      <c r="BH145" s="62">
        <f t="shared" si="116"/>
        <v>1015.3067838372976</v>
      </c>
      <c r="BI145" s="62">
        <f ca="1">AVERAGE(OFFSET($BH$3,0,0,'Données projet'!$E$11+1,1))-AVERAGE(OFFSET($H$3,0,0,'Données projet'!$E$11+1,1))</f>
        <v>339.58585574836434</v>
      </c>
      <c r="BJ145" s="62">
        <f t="shared" si="146"/>
        <v>42.267525972379588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70.487719885924662</v>
      </c>
      <c r="BQ145" s="23">
        <f>EXP(-LN(2)/25)*BQ144+(1-EXP(-LN(2)/25))/(LN(2)/25)*Calculateur!BL145*Calculateur!BN145*VLOOKUP('Données projet'!$B$11,Paramètres!$A$1:$I$89,3,0)*0.475*44/12</f>
        <v>3.0731664483126755</v>
      </c>
      <c r="BR145" s="23">
        <f>EXP(-LN(2)/2)*BR144+(1-EXP(-LN(2)/2))/(LN(2)/2)*BL145*BO145*VLOOKUP('Données projet'!$B$11,Paramètres!$A$1:$I$89,3,0)*0.475*44/12</f>
        <v>4.3378158340116091E-12</v>
      </c>
      <c r="BS145" s="24">
        <f t="shared" si="117"/>
        <v>73.560886334241673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112.34884104798977</v>
      </c>
      <c r="CE145" s="62">
        <f t="shared" si="148"/>
        <v>18.665658139749326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37.299483994425167</v>
      </c>
      <c r="CL145" s="23">
        <f>EXP(-LN(2)/25)*CL144+(1-EXP(-LN(2)/25))/(LN(2)/25)*Calculateur!CG145*Calculateur!CI145*VLOOKUP('Données projet'!$B$12,Paramètres!$A$1:$I$89,3,0)*0.475*44/12</f>
        <v>2.1133646894665463</v>
      </c>
      <c r="CM145" s="23">
        <f>EXP(-LN(2)/2)*CM144+(1-EXP(-LN(2)/2))/(LN(2)/2)*CG145*CJ145*VLOOKUP('Données projet'!$B$12,Paramètres!$A$1:$I$89,3,0)*0.475*44/12</f>
        <v>5.5216600724671682E-14</v>
      </c>
      <c r="CN145" s="24">
        <f t="shared" si="120"/>
        <v>39.412848683891767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-1.1368683772161603E-13</v>
      </c>
      <c r="CU145" s="18">
        <f>CT145*VLOOKUP('Données projet'!$B$13,Paramètres!$A$1:$I$89,3,0)*VLOOKUP('Données projet'!$B$13,Paramètres!$A$1:$I$89,5,0)</f>
        <v>-1.2414602679200469E-13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205.21073681197737</v>
      </c>
      <c r="CZ145" s="62">
        <f t="shared" si="150"/>
        <v>175.16446313750316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14.072904526691154</v>
      </c>
      <c r="DG145" s="23">
        <f>EXP(-LN(2)/25)*DG144+(1-EXP(-LN(2)/25))/(LN(2)/25)*Calculateur!DB145*Calculateur!DD145*VLOOKUP('Données projet'!$B$13,Paramètres!$A$1:$I$89,3,0)*0.475*44/12</f>
        <v>3.2666325401823815</v>
      </c>
      <c r="DH145" s="23">
        <f>EXP(-LN(2)/2)*DH144+(1-EXP(-LN(2)/2))/(LN(2)/2)*DB145*DE145*VLOOKUP('Données projet'!$B$13,Paramètres!$A$1:$I$89,3,0)*0.475*44/12</f>
        <v>4.9337316434209702E-14</v>
      </c>
      <c r="DI145" s="24">
        <f t="shared" si="123"/>
        <v>17.339537066873586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2.2737367544323206E-13</v>
      </c>
      <c r="DP145" s="18">
        <f>DO145*VLOOKUP('Données projet'!$B$14,Paramètres!$A$1:$I$89,3,0)*VLOOKUP('Données projet'!$B$14,Paramètres!$A$1:$I$89,5,0)</f>
        <v>1.8444552551954985E-13</v>
      </c>
      <c r="DQ145" s="14">
        <f t="shared" si="151"/>
        <v>2.580317449479618E-12</v>
      </c>
      <c r="DR145" s="22">
        <f t="shared" si="124"/>
        <v>4.8152955147902165E-12</v>
      </c>
      <c r="DS145" s="62">
        <f t="shared" si="125"/>
        <v>293.33333333333815</v>
      </c>
      <c r="DT145" s="62">
        <f ca="1">AVERAGE(OFFSET($DS$3,0,0,'Données projet'!$E$14+1,1))-AVERAGE(OFFSET($H$3,0,0,'Données projet'!$E$14+1,1))</f>
        <v>223.63222290670075</v>
      </c>
      <c r="DU145" s="62">
        <f t="shared" si="152"/>
        <v>290.02663909417248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14.985587686660653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4.3332166407960499E-11</v>
      </c>
      <c r="ED145" s="24">
        <f t="shared" si="126"/>
        <v>14.985587686703985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430.38848047627687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192.24617268603629</v>
      </c>
      <c r="T146" s="62">
        <f t="shared" si="142"/>
        <v>192.48585280662832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17.00441367569552</v>
      </c>
      <c r="AA146" s="23">
        <f>EXP(-LN(2)/25)*AA145+(1-EXP(-LN(2)/25))/(LN(2)/25)*Calculateur!V146*Calculateur!X146*VLOOKUP('Données projet'!$B$9,Paramètres!$A$1:$I$89,3,0)*0.475*44/12</f>
        <v>3.1743935873383839</v>
      </c>
      <c r="AB146" s="23">
        <f>EXP(-LN(2)/2)*AB145+(1-EXP(-LN(2)/2))/(LN(2)/2)*V146*Y146*VLOOKUP('Données projet'!$B$9,Paramètres!$A$1:$I$89,3,0)*0.475*44/12</f>
        <v>1.3494558424089562E-11</v>
      </c>
      <c r="AC146" s="24">
        <f t="shared" si="111"/>
        <v>20.178807263047396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1.9999999998958629E-3</v>
      </c>
      <c r="AJ146" s="14">
        <f>AI146*VLOOKUP('Données projet'!$B$10,Paramètres!$A$1:$I$89,3,0)*VLOOKUP('Données projet'!$B$10,Paramètres!$A$1:$I$89,5,0)</f>
        <v>1.195999999937726E-3</v>
      </c>
      <c r="AK146" s="14">
        <f t="shared" si="143"/>
        <v>1.2062444695752218E-3</v>
      </c>
      <c r="AL146" s="22">
        <f t="shared" si="112"/>
        <v>4.1839091177350513E-3</v>
      </c>
      <c r="AM146" s="62">
        <f t="shared" si="113"/>
        <v>293.33751724245104</v>
      </c>
      <c r="AN146" s="62">
        <f ca="1">AVERAGE(OFFSET($AM$3,0,0,'Données projet'!$E$10+1,1))-AVERAGE(OFFSET($H$3,0,0,'Données projet'!$E$10+1,1))</f>
        <v>164.64952352018145</v>
      </c>
      <c r="AO146" s="62">
        <f t="shared" si="144"/>
        <v>280.08682720086921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8.5035882696814884</v>
      </c>
      <c r="AV146" s="23">
        <f>EXP(-LN(2)/25)*AV145+(1-EXP(-LN(2)/25))/(LN(2)/25)*Calculateur!AQ146*Calculateur!AS146*VLOOKUP('Données projet'!$B$10,Paramètres!$A$1:$I$89,3,0)*0.475*44/12</f>
        <v>1.4020412875380588</v>
      </c>
      <c r="AW146" s="23">
        <f>EXP(-LN(2)/2)*AW145+(1-EXP(-LN(2)/2))/(LN(2)/2)*AQ146*AT146*VLOOKUP('Données projet'!$B$10,Paramètres!$A$1:$I$89,3,0)*0.475*44/12</f>
        <v>5.3208773044665331E-15</v>
      </c>
      <c r="AX146" s="23">
        <f t="shared" si="114"/>
        <v>9.9056295572195534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8.6800000000000015</v>
      </c>
      <c r="BD146" s="13">
        <f>IF('Données projet'!$A$88&gt;35,BD145+BC146-BL145,IF(A146&lt;'Données projet'!$A$88,$BA$205^A146,IF(A146='Données projet'!$A$88,'Données projet'!$B$88,BD145+BC146-BL145)))</f>
        <v>407.39999999999992</v>
      </c>
      <c r="BE146" s="14">
        <f>BD146*VLOOKUP('Données projet'!$B$11,Paramètres!$A$1:$I$89,3,0)*VLOOKUP('Données projet'!$B$11,Paramètres!$A$1:$I$89,5,0)</f>
        <v>343.19376</v>
      </c>
      <c r="BF146" s="14">
        <f t="shared" si="145"/>
        <v>80.159437975072791</v>
      </c>
      <c r="BG146" s="22">
        <f t="shared" si="115"/>
        <v>737.34015313991847</v>
      </c>
      <c r="BH146" s="62">
        <f t="shared" si="116"/>
        <v>1030.6734864732518</v>
      </c>
      <c r="BI146" s="62">
        <f ca="1">AVERAGE(OFFSET($BH$3,0,0,'Données projet'!$E$11+1,1))-AVERAGE(OFFSET($H$3,0,0,'Données projet'!$E$11+1,1))</f>
        <v>339.58585574836434</v>
      </c>
      <c r="BJ146" s="62">
        <f t="shared" si="146"/>
        <v>42.267525972379588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69.105498692225581</v>
      </c>
      <c r="BQ146" s="23">
        <f>EXP(-LN(2)/25)*BQ145+(1-EXP(-LN(2)/25))/(LN(2)/25)*Calculateur!BL146*Calculateur!BN146*VLOOKUP('Données projet'!$B$11,Paramètres!$A$1:$I$89,3,0)*0.475*44/12</f>
        <v>2.9891305501727659</v>
      </c>
      <c r="BR146" s="23">
        <f>EXP(-LN(2)/2)*BR145+(1-EXP(-LN(2)/2))/(LN(2)/2)*BL146*BO146*VLOOKUP('Données projet'!$B$11,Paramètres!$A$1:$I$89,3,0)*0.475*44/12</f>
        <v>3.0672989917679881E-12</v>
      </c>
      <c r="BS146" s="24">
        <f t="shared" si="117"/>
        <v>72.09462924240141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112.34884104798977</v>
      </c>
      <c r="CE146" s="62">
        <f t="shared" si="148"/>
        <v>18.665658139749326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36.568063863733308</v>
      </c>
      <c r="CL146" s="23">
        <f>EXP(-LN(2)/25)*CL145+(1-EXP(-LN(2)/25))/(LN(2)/25)*Calculateur!CG146*Calculateur!CI146*VLOOKUP('Données projet'!$B$12,Paramètres!$A$1:$I$89,3,0)*0.475*44/12</f>
        <v>2.0555746208960648</v>
      </c>
      <c r="CM146" s="23">
        <f>EXP(-LN(2)/2)*CM145+(1-EXP(-LN(2)/2))/(LN(2)/2)*CG146*CJ146*VLOOKUP('Données projet'!$B$12,Paramètres!$A$1:$I$89,3,0)*0.475*44/12</f>
        <v>3.904403280648538E-14</v>
      </c>
      <c r="CN146" s="24">
        <f t="shared" si="120"/>
        <v>38.62363848462941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-1.1368683772161603E-13</v>
      </c>
      <c r="CU146" s="18">
        <f>CT146*VLOOKUP('Données projet'!$B$13,Paramètres!$A$1:$I$89,3,0)*VLOOKUP('Données projet'!$B$13,Paramètres!$A$1:$I$89,5,0)</f>
        <v>-1.2414602679200469E-13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205.21073681197737</v>
      </c>
      <c r="CZ146" s="62">
        <f t="shared" si="150"/>
        <v>175.16446313750316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13.796943452546939</v>
      </c>
      <c r="DG146" s="23">
        <f>EXP(-LN(2)/25)*DG145+(1-EXP(-LN(2)/25))/(LN(2)/25)*Calculateur!DB146*Calculateur!DD146*VLOOKUP('Données projet'!$B$13,Paramètres!$A$1:$I$89,3,0)*0.475*44/12</f>
        <v>3.1773063015863547</v>
      </c>
      <c r="DH146" s="23">
        <f>EXP(-LN(2)/2)*DH145+(1-EXP(-LN(2)/2))/(LN(2)/2)*DB146*DE146*VLOOKUP('Données projet'!$B$13,Paramètres!$A$1:$I$89,3,0)*0.475*44/12</f>
        <v>3.4886751016176175E-14</v>
      </c>
      <c r="DI146" s="24">
        <f t="shared" si="123"/>
        <v>16.974249754133329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2.2737367544323206E-13</v>
      </c>
      <c r="DP146" s="18">
        <f>DO146*VLOOKUP('Données projet'!$B$14,Paramètres!$A$1:$I$89,3,0)*VLOOKUP('Données projet'!$B$14,Paramètres!$A$1:$I$89,5,0)</f>
        <v>1.8444552551954985E-13</v>
      </c>
      <c r="DQ146" s="14">
        <f t="shared" si="151"/>
        <v>2.580317449479618E-12</v>
      </c>
      <c r="DR146" s="22">
        <f t="shared" si="124"/>
        <v>4.8152955147902165E-12</v>
      </c>
      <c r="DS146" s="62">
        <f t="shared" si="125"/>
        <v>293.33333333333815</v>
      </c>
      <c r="DT146" s="62">
        <f ca="1">AVERAGE(OFFSET($DS$3,0,0,'Données projet'!$E$14+1,1))-AVERAGE(OFFSET($H$3,0,0,'Données projet'!$E$14+1,1))</f>
        <v>223.63222290670075</v>
      </c>
      <c r="DU146" s="62">
        <f t="shared" si="152"/>
        <v>290.02663909417248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14.691729452431195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3.0640468710572789E-11</v>
      </c>
      <c r="ED146" s="24">
        <f t="shared" si="126"/>
        <v>14.691729452461836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431.57250713527566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192.24617268603629</v>
      </c>
      <c r="T147" s="62">
        <f t="shared" si="142"/>
        <v>192.48585280662832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16.670967495183355</v>
      </c>
      <c r="AA147" s="23">
        <f>EXP(-LN(2)/25)*AA146+(1-EXP(-LN(2)/25))/(LN(2)/25)*Calculateur!V147*Calculateur!X147*VLOOKUP('Données projet'!$B$9,Paramètres!$A$1:$I$89,3,0)*0.475*44/12</f>
        <v>3.0875896277585122</v>
      </c>
      <c r="AB147" s="23">
        <f>EXP(-LN(2)/2)*AB146+(1-EXP(-LN(2)/2))/(LN(2)/2)*V147*Y147*VLOOKUP('Données projet'!$B$9,Paramètres!$A$1:$I$89,3,0)*0.475*44/12</f>
        <v>9.5420937707917796E-12</v>
      </c>
      <c r="AC147" s="24">
        <f t="shared" si="111"/>
        <v>19.758557122951409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1.9999999998958629E-3</v>
      </c>
      <c r="AJ147" s="14">
        <f>AI147*VLOOKUP('Données projet'!$B$10,Paramètres!$A$1:$I$89,3,0)*VLOOKUP('Données projet'!$B$10,Paramètres!$A$1:$I$89,5,0)</f>
        <v>1.195999999937726E-3</v>
      </c>
      <c r="AK147" s="14">
        <f t="shared" si="143"/>
        <v>1.2062444695752218E-3</v>
      </c>
      <c r="AL147" s="22">
        <f t="shared" si="112"/>
        <v>4.1839091177350513E-3</v>
      </c>
      <c r="AM147" s="62">
        <f t="shared" si="113"/>
        <v>293.33751724245104</v>
      </c>
      <c r="AN147" s="62">
        <f ca="1">AVERAGE(OFFSET($AM$3,0,0,'Données projet'!$E$10+1,1))-AVERAGE(OFFSET($H$3,0,0,'Données projet'!$E$10+1,1))</f>
        <v>164.64952352018145</v>
      </c>
      <c r="AO147" s="62">
        <f t="shared" si="144"/>
        <v>280.08682720086921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8.3368380903897368</v>
      </c>
      <c r="AV147" s="23">
        <f>EXP(-LN(2)/25)*AV146+(1-EXP(-LN(2)/25))/(LN(2)/25)*Calculateur!AQ147*Calculateur!AS147*VLOOKUP('Données projet'!$B$10,Paramètres!$A$1:$I$89,3,0)*0.475*44/12</f>
        <v>1.3637023948001836</v>
      </c>
      <c r="AW147" s="23">
        <f>EXP(-LN(2)/2)*AW146+(1-EXP(-LN(2)/2))/(LN(2)/2)*AQ147*AT147*VLOOKUP('Données projet'!$B$10,Paramètres!$A$1:$I$89,3,0)*0.475*44/12</f>
        <v>3.7624284238498836E-15</v>
      </c>
      <c r="AX147" s="23">
        <f t="shared" si="114"/>
        <v>9.700540485189924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8.6800000000000015</v>
      </c>
      <c r="BD147" s="13">
        <f>IF('Données projet'!$A$88&gt;35,BD146+BC147-BL146,IF(A147&lt;'Données projet'!$A$88,$BA$205^A147,IF(A147='Données projet'!$A$88,'Données projet'!$B$88,BD146+BC147-BL146)))</f>
        <v>416.07999999999993</v>
      </c>
      <c r="BE147" s="14">
        <f>BD147*VLOOKUP('Données projet'!$B$11,Paramètres!$A$1:$I$89,3,0)*VLOOKUP('Données projet'!$B$11,Paramètres!$A$1:$I$89,5,0)</f>
        <v>350.50579199999999</v>
      </c>
      <c r="BF147" s="14">
        <f t="shared" si="145"/>
        <v>81.666650309016632</v>
      </c>
      <c r="BG147" s="22">
        <f t="shared" si="115"/>
        <v>752.70033702153739</v>
      </c>
      <c r="BH147" s="62">
        <f t="shared" si="116"/>
        <v>1046.0336703548708</v>
      </c>
      <c r="BI147" s="62">
        <f ca="1">AVERAGE(OFFSET($BH$3,0,0,'Données projet'!$E$11+1,1))-AVERAGE(OFFSET($H$3,0,0,'Données projet'!$E$11+1,1))</f>
        <v>339.58585574836434</v>
      </c>
      <c r="BJ147" s="62">
        <f t="shared" si="146"/>
        <v>42.267525972379588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67.750382013063259</v>
      </c>
      <c r="BQ147" s="23">
        <f>EXP(-LN(2)/25)*BQ146+(1-EXP(-LN(2)/25))/(LN(2)/25)*Calculateur!BL147*Calculateur!BN147*VLOOKUP('Données projet'!$B$11,Paramètres!$A$1:$I$89,3,0)*0.475*44/12</f>
        <v>2.9073926180867478</v>
      </c>
      <c r="BR147" s="23">
        <f>EXP(-LN(2)/2)*BR146+(1-EXP(-LN(2)/2))/(LN(2)/2)*BL147*BO147*VLOOKUP('Données projet'!$B$11,Paramètres!$A$1:$I$89,3,0)*0.475*44/12</f>
        <v>2.1689079170058046E-12</v>
      </c>
      <c r="BS147" s="24">
        <f t="shared" si="117"/>
        <v>70.657774631152179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112.34884104798977</v>
      </c>
      <c r="CE147" s="62">
        <f t="shared" si="148"/>
        <v>18.665658139749326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35.850986435682088</v>
      </c>
      <c r="CL147" s="23">
        <f>EXP(-LN(2)/25)*CL146+(1-EXP(-LN(2)/25))/(LN(2)/25)*Calculateur!CG147*Calculateur!CI147*VLOOKUP('Données projet'!$B$12,Paramètres!$A$1:$I$89,3,0)*0.475*44/12</f>
        <v>1.9993648247896907</v>
      </c>
      <c r="CM147" s="23">
        <f>EXP(-LN(2)/2)*CM146+(1-EXP(-LN(2)/2))/(LN(2)/2)*CG147*CJ147*VLOOKUP('Données projet'!$B$12,Paramètres!$A$1:$I$89,3,0)*0.475*44/12</f>
        <v>2.7608300362335841E-14</v>
      </c>
      <c r="CN147" s="24">
        <f t="shared" si="120"/>
        <v>37.850351260471811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-1.1368683772161603E-13</v>
      </c>
      <c r="CU147" s="18">
        <f>CT147*VLOOKUP('Données projet'!$B$13,Paramètres!$A$1:$I$89,3,0)*VLOOKUP('Données projet'!$B$13,Paramètres!$A$1:$I$89,5,0)</f>
        <v>-1.2414602679200469E-13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205.21073681197737</v>
      </c>
      <c r="CZ147" s="62">
        <f t="shared" si="150"/>
        <v>175.16446313750316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13.526393806747057</v>
      </c>
      <c r="DG147" s="23">
        <f>EXP(-LN(2)/25)*DG146+(1-EXP(-LN(2)/25))/(LN(2)/25)*Calculateur!DB147*Calculateur!DD147*VLOOKUP('Données projet'!$B$13,Paramètres!$A$1:$I$89,3,0)*0.475*44/12</f>
        <v>3.0904226936821995</v>
      </c>
      <c r="DH147" s="23">
        <f>EXP(-LN(2)/2)*DH146+(1-EXP(-LN(2)/2))/(LN(2)/2)*DB147*DE147*VLOOKUP('Données projet'!$B$13,Paramètres!$A$1:$I$89,3,0)*0.475*44/12</f>
        <v>2.4668658217104851E-14</v>
      </c>
      <c r="DI147" s="24">
        <f t="shared" si="123"/>
        <v>16.61681650042928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2.2737367544323206E-13</v>
      </c>
      <c r="DP147" s="18">
        <f>DO147*VLOOKUP('Données projet'!$B$14,Paramètres!$A$1:$I$89,3,0)*VLOOKUP('Données projet'!$B$14,Paramètres!$A$1:$I$89,5,0)</f>
        <v>1.8444552551954985E-13</v>
      </c>
      <c r="DQ147" s="14">
        <f t="shared" si="151"/>
        <v>2.580317449479618E-12</v>
      </c>
      <c r="DR147" s="22">
        <f t="shared" si="124"/>
        <v>4.8152955147902165E-12</v>
      </c>
      <c r="DS147" s="62">
        <f t="shared" si="125"/>
        <v>293.33333333333815</v>
      </c>
      <c r="DT147" s="62">
        <f ca="1">AVERAGE(OFFSET($DS$3,0,0,'Données projet'!$E$14+1,1))-AVERAGE(OFFSET($H$3,0,0,'Données projet'!$E$14+1,1))</f>
        <v>223.63222290670075</v>
      </c>
      <c r="DU147" s="62">
        <f t="shared" si="152"/>
        <v>290.02663909417248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14.403633598939154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2.166608320398025E-11</v>
      </c>
      <c r="ED147" s="24">
        <f t="shared" si="126"/>
        <v>14.40363359896082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432.75634546516653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192.24617268603629</v>
      </c>
      <c r="T148" s="62">
        <f t="shared" si="142"/>
        <v>192.48585280662832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16.344059990888947</v>
      </c>
      <c r="AA148" s="23">
        <f>EXP(-LN(2)/25)*AA147+(1-EXP(-LN(2)/25))/(LN(2)/25)*Calculateur!V148*Calculateur!X148*VLOOKUP('Données projet'!$B$9,Paramètres!$A$1:$I$89,3,0)*0.475*44/12</f>
        <v>3.003159327018174</v>
      </c>
      <c r="AB148" s="23">
        <f>EXP(-LN(2)/2)*AB147+(1-EXP(-LN(2)/2))/(LN(2)/2)*V148*Y148*VLOOKUP('Données projet'!$B$9,Paramètres!$A$1:$I$89,3,0)*0.475*44/12</f>
        <v>6.7472792120447811E-12</v>
      </c>
      <c r="AC148" s="24">
        <f t="shared" si="111"/>
        <v>19.347219317913869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1.9999999998958629E-3</v>
      </c>
      <c r="AJ148" s="14">
        <f>AI148*VLOOKUP('Données projet'!$B$10,Paramètres!$A$1:$I$89,3,0)*VLOOKUP('Données projet'!$B$10,Paramètres!$A$1:$I$89,5,0)</f>
        <v>1.195999999937726E-3</v>
      </c>
      <c r="AK148" s="14">
        <f t="shared" si="143"/>
        <v>1.2062444695752218E-3</v>
      </c>
      <c r="AL148" s="22">
        <f t="shared" si="112"/>
        <v>4.1839091177350513E-3</v>
      </c>
      <c r="AM148" s="62">
        <f t="shared" si="113"/>
        <v>293.33751724245104</v>
      </c>
      <c r="AN148" s="62">
        <f ca="1">AVERAGE(OFFSET($AM$3,0,0,'Données projet'!$E$10+1,1))-AVERAGE(OFFSET($H$3,0,0,'Données projet'!$E$10+1,1))</f>
        <v>164.64952352018145</v>
      </c>
      <c r="AO148" s="62">
        <f t="shared" si="144"/>
        <v>280.08682720086921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8.1733577804063309</v>
      </c>
      <c r="AV148" s="23">
        <f>EXP(-LN(2)/25)*AV147+(1-EXP(-LN(2)/25))/(LN(2)/25)*Calculateur!AQ148*Calculateur!AS148*VLOOKUP('Données projet'!$B$10,Paramètres!$A$1:$I$89,3,0)*0.475*44/12</f>
        <v>1.3264118811003804</v>
      </c>
      <c r="AW148" s="23">
        <f>EXP(-LN(2)/2)*AW147+(1-EXP(-LN(2)/2))/(LN(2)/2)*AQ148*AT148*VLOOKUP('Données projet'!$B$10,Paramètres!$A$1:$I$89,3,0)*0.475*44/12</f>
        <v>2.6604386522332665E-15</v>
      </c>
      <c r="AX148" s="23">
        <f t="shared" si="114"/>
        <v>9.4997696615067131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8.6800000000000015</v>
      </c>
      <c r="BD148" s="13">
        <f>IF('Données projet'!$A$88&gt;35,BD147+BC148-BL147,IF(A148&lt;'Données projet'!$A$88,$BA$205^A148,IF(A148='Données projet'!$A$88,'Données projet'!$B$88,BD147+BC148-BL147)))</f>
        <v>424.75999999999993</v>
      </c>
      <c r="BE148" s="14">
        <f>BD148*VLOOKUP('Données projet'!$B$11,Paramètres!$A$1:$I$89,3,0)*VLOOKUP('Données projet'!$B$11,Paramètres!$A$1:$I$89,5,0)</f>
        <v>357.81782399999997</v>
      </c>
      <c r="BF148" s="14">
        <f t="shared" si="145"/>
        <v>83.170206893552475</v>
      </c>
      <c r="BG148" s="22">
        <f t="shared" si="115"/>
        <v>768.05415380627039</v>
      </c>
      <c r="BH148" s="62">
        <f t="shared" si="116"/>
        <v>1061.3874871396038</v>
      </c>
      <c r="BI148" s="62">
        <f ca="1">AVERAGE(OFFSET($BH$3,0,0,'Données projet'!$E$11+1,1))-AVERAGE(OFFSET($H$3,0,0,'Données projet'!$E$11+1,1))</f>
        <v>339.58585574836434</v>
      </c>
      <c r="BJ148" s="62">
        <f t="shared" si="146"/>
        <v>42.267525972379588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66.421838345439738</v>
      </c>
      <c r="BQ148" s="23">
        <f>EXP(-LN(2)/25)*BQ147+(1-EXP(-LN(2)/25))/(LN(2)/25)*Calculateur!BL148*Calculateur!BN148*VLOOKUP('Données projet'!$B$11,Paramètres!$A$1:$I$89,3,0)*0.475*44/12</f>
        <v>2.8278898140520328</v>
      </c>
      <c r="BR148" s="23">
        <f>EXP(-LN(2)/2)*BR147+(1-EXP(-LN(2)/2))/(LN(2)/2)*BL148*BO148*VLOOKUP('Données projet'!$B$11,Paramètres!$A$1:$I$89,3,0)*0.475*44/12</f>
        <v>1.5336494958839941E-12</v>
      </c>
      <c r="BS148" s="24">
        <f t="shared" si="117"/>
        <v>69.249728159493301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112.34884104798977</v>
      </c>
      <c r="CE148" s="62">
        <f t="shared" si="148"/>
        <v>18.665658139749326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35.147970458620904</v>
      </c>
      <c r="CL148" s="23">
        <f>EXP(-LN(2)/25)*CL147+(1-EXP(-LN(2)/25))/(LN(2)/25)*Calculateur!CG148*Calculateur!CI148*VLOOKUP('Données projet'!$B$12,Paramètres!$A$1:$I$89,3,0)*0.475*44/12</f>
        <v>1.9446920885137902</v>
      </c>
      <c r="CM148" s="23">
        <f>EXP(-LN(2)/2)*CM147+(1-EXP(-LN(2)/2))/(LN(2)/2)*CG148*CJ148*VLOOKUP('Données projet'!$B$12,Paramètres!$A$1:$I$89,3,0)*0.475*44/12</f>
        <v>1.952201640324269E-14</v>
      </c>
      <c r="CN148" s="24">
        <f t="shared" si="120"/>
        <v>37.092662547134715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-1.1368683772161603E-13</v>
      </c>
      <c r="CU148" s="18">
        <f>CT148*VLOOKUP('Données projet'!$B$13,Paramètres!$A$1:$I$89,3,0)*VLOOKUP('Données projet'!$B$13,Paramètres!$A$1:$I$89,5,0)</f>
        <v>-1.2414602679200469E-13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205.21073681197737</v>
      </c>
      <c r="CZ148" s="62">
        <f t="shared" si="150"/>
        <v>175.16446313750316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13.261149474482322</v>
      </c>
      <c r="DG148" s="23">
        <f>EXP(-LN(2)/25)*DG147+(1-EXP(-LN(2)/25))/(LN(2)/25)*Calculateur!DB148*Calculateur!DD148*VLOOKUP('Données projet'!$B$13,Paramètres!$A$1:$I$89,3,0)*0.475*44/12</f>
        <v>3.0059149226051933</v>
      </c>
      <c r="DH148" s="23">
        <f>EXP(-LN(2)/2)*DH147+(1-EXP(-LN(2)/2))/(LN(2)/2)*DB148*DE148*VLOOKUP('Données projet'!$B$13,Paramètres!$A$1:$I$89,3,0)*0.475*44/12</f>
        <v>1.7443375508088087E-14</v>
      </c>
      <c r="DI148" s="24">
        <f t="shared" si="123"/>
        <v>16.267064397087534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2.2737367544323206E-13</v>
      </c>
      <c r="DP148" s="18">
        <f>DO148*VLOOKUP('Données projet'!$B$14,Paramètres!$A$1:$I$89,3,0)*VLOOKUP('Données projet'!$B$14,Paramètres!$A$1:$I$89,5,0)</f>
        <v>1.8444552551954985E-13</v>
      </c>
      <c r="DQ148" s="14">
        <f t="shared" si="151"/>
        <v>2.580317449479618E-12</v>
      </c>
      <c r="DR148" s="22">
        <f t="shared" si="124"/>
        <v>4.8152955147902165E-12</v>
      </c>
      <c r="DS148" s="62">
        <f t="shared" si="125"/>
        <v>293.33333333333815</v>
      </c>
      <c r="DT148" s="62">
        <f ca="1">AVERAGE(OFFSET($DS$3,0,0,'Données projet'!$E$14+1,1))-AVERAGE(OFFSET($H$3,0,0,'Données projet'!$E$14+1,1))</f>
        <v>223.63222290670075</v>
      </c>
      <c r="DU148" s="62">
        <f t="shared" si="152"/>
        <v>290.02663909417248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14.12118712941297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1.5320234355286395E-11</v>
      </c>
      <c r="ED148" s="24">
        <f t="shared" si="126"/>
        <v>14.121187129428291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433.939996915395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192.24617268603629</v>
      </c>
      <c r="T149" s="62">
        <f t="shared" si="142"/>
        <v>192.48585280662832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16.023562943359863</v>
      </c>
      <c r="AA149" s="23">
        <f>EXP(-LN(2)/25)*AA148+(1-EXP(-LN(2)/25))/(LN(2)/25)*Calculateur!V149*Calculateur!X149*VLOOKUP('Données projet'!$B$9,Paramètres!$A$1:$I$89,3,0)*0.475*44/12</f>
        <v>2.921037777291577</v>
      </c>
      <c r="AB149" s="23">
        <f>EXP(-LN(2)/2)*AB148+(1-EXP(-LN(2)/2))/(LN(2)/2)*V149*Y149*VLOOKUP('Données projet'!$B$9,Paramètres!$A$1:$I$89,3,0)*0.475*44/12</f>
        <v>4.7710468853958898E-12</v>
      </c>
      <c r="AC149" s="24">
        <f t="shared" si="111"/>
        <v>18.944600720656211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1.9999999998958629E-3</v>
      </c>
      <c r="AJ149" s="14">
        <f>AI149*VLOOKUP('Données projet'!$B$10,Paramètres!$A$1:$I$89,3,0)*VLOOKUP('Données projet'!$B$10,Paramètres!$A$1:$I$89,5,0)</f>
        <v>1.195999999937726E-3</v>
      </c>
      <c r="AK149" s="14">
        <f t="shared" si="143"/>
        <v>1.2062444695752218E-3</v>
      </c>
      <c r="AL149" s="22">
        <f t="shared" si="112"/>
        <v>4.1839091177350513E-3</v>
      </c>
      <c r="AM149" s="62">
        <f t="shared" si="113"/>
        <v>293.33751724245104</v>
      </c>
      <c r="AN149" s="62">
        <f ca="1">AVERAGE(OFFSET($AM$3,0,0,'Données projet'!$E$10+1,1))-AVERAGE(OFFSET($H$3,0,0,'Données projet'!$E$10+1,1))</f>
        <v>164.64952352018145</v>
      </c>
      <c r="AO149" s="62">
        <f t="shared" si="144"/>
        <v>280.08682720086921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8.0130832195885553</v>
      </c>
      <c r="AV149" s="23">
        <f>EXP(-LN(2)/25)*AV148+(1-EXP(-LN(2)/25))/(LN(2)/25)*Calculateur!AQ149*Calculateur!AS149*VLOOKUP('Données projet'!$B$10,Paramètres!$A$1:$I$89,3,0)*0.475*44/12</f>
        <v>1.2901410784587213</v>
      </c>
      <c r="AW149" s="23">
        <f>EXP(-LN(2)/2)*AW148+(1-EXP(-LN(2)/2))/(LN(2)/2)*AQ149*AT149*VLOOKUP('Données projet'!$B$10,Paramètres!$A$1:$I$89,3,0)*0.475*44/12</f>
        <v>1.8812142119249418E-15</v>
      </c>
      <c r="AX149" s="23">
        <f t="shared" si="114"/>
        <v>9.3032242980472777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8.6800000000000015</v>
      </c>
      <c r="BD149" s="13">
        <f>IF('Données projet'!$A$88&gt;35,BD148+BC149-BL148,IF(A149&lt;'Données projet'!$A$88,$BA$205^A149,IF(A149='Données projet'!$A$88,'Données projet'!$B$88,BD148+BC149-BL148)))</f>
        <v>433.43999999999994</v>
      </c>
      <c r="BE149" s="14">
        <f>BD149*VLOOKUP('Données projet'!$B$11,Paramètres!$A$1:$I$89,3,0)*VLOOKUP('Données projet'!$B$11,Paramètres!$A$1:$I$89,5,0)</f>
        <v>365.12985599999996</v>
      </c>
      <c r="BF149" s="14">
        <f t="shared" si="145"/>
        <v>84.670191042484987</v>
      </c>
      <c r="BG149" s="22">
        <f t="shared" si="115"/>
        <v>783.40174859899446</v>
      </c>
      <c r="BH149" s="62">
        <f t="shared" si="116"/>
        <v>1076.7350819323278</v>
      </c>
      <c r="BI149" s="62">
        <f ca="1">AVERAGE(OFFSET($BH$3,0,0,'Données projet'!$E$11+1,1))-AVERAGE(OFFSET($H$3,0,0,'Données projet'!$E$11+1,1))</f>
        <v>339.58585574836434</v>
      </c>
      <c r="BJ149" s="62">
        <f t="shared" si="146"/>
        <v>42.267525972379588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65.119346608806694</v>
      </c>
      <c r="BQ149" s="23">
        <f>EXP(-LN(2)/25)*BQ148+(1-EXP(-LN(2)/25))/(LN(2)/25)*Calculateur!BL149*Calculateur!BN149*VLOOKUP('Données projet'!$B$11,Paramètres!$A$1:$I$89,3,0)*0.475*44/12</f>
        <v>2.7505610183745177</v>
      </c>
      <c r="BR149" s="23">
        <f>EXP(-LN(2)/2)*BR148+(1-EXP(-LN(2)/2))/(LN(2)/2)*BL149*BO149*VLOOKUP('Données projet'!$B$11,Paramètres!$A$1:$I$89,3,0)*0.475*44/12</f>
        <v>1.0844539585029023E-12</v>
      </c>
      <c r="BS149" s="24">
        <f t="shared" si="117"/>
        <v>67.869907627182286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112.34884104798977</v>
      </c>
      <c r="CE149" s="62">
        <f t="shared" si="148"/>
        <v>18.665658139749326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34.458740196072483</v>
      </c>
      <c r="CL149" s="23">
        <f>EXP(-LN(2)/25)*CL148+(1-EXP(-LN(2)/25))/(LN(2)/25)*Calculateur!CG149*Calculateur!CI149*VLOOKUP('Données projet'!$B$12,Paramètres!$A$1:$I$89,3,0)*0.475*44/12</f>
        <v>1.8915143810864683</v>
      </c>
      <c r="CM149" s="23">
        <f>EXP(-LN(2)/2)*CM148+(1-EXP(-LN(2)/2))/(LN(2)/2)*CG149*CJ149*VLOOKUP('Données projet'!$B$12,Paramètres!$A$1:$I$89,3,0)*0.475*44/12</f>
        <v>1.380415018116792E-14</v>
      </c>
      <c r="CN149" s="24">
        <f t="shared" si="120"/>
        <v>36.350254577158964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-1.1368683772161603E-13</v>
      </c>
      <c r="CU149" s="18">
        <f>CT149*VLOOKUP('Données projet'!$B$13,Paramètres!$A$1:$I$89,3,0)*VLOOKUP('Données projet'!$B$13,Paramètres!$A$1:$I$89,5,0)</f>
        <v>-1.2414602679200469E-13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205.21073681197737</v>
      </c>
      <c r="CZ149" s="62">
        <f t="shared" si="150"/>
        <v>175.16446313750316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13.001106421790229</v>
      </c>
      <c r="DG149" s="23">
        <f>EXP(-LN(2)/25)*DG148+(1-EXP(-LN(2)/25))/(LN(2)/25)*Calculateur!DB149*Calculateur!DD149*VLOOKUP('Données projet'!$B$13,Paramètres!$A$1:$I$89,3,0)*0.475*44/12</f>
        <v>2.9237180209723586</v>
      </c>
      <c r="DH149" s="23">
        <f>EXP(-LN(2)/2)*DH148+(1-EXP(-LN(2)/2))/(LN(2)/2)*DB149*DE149*VLOOKUP('Données projet'!$B$13,Paramètres!$A$1:$I$89,3,0)*0.475*44/12</f>
        <v>1.2334329108552426E-14</v>
      </c>
      <c r="DI149" s="24">
        <f t="shared" si="123"/>
        <v>15.924824442762601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2.2737367544323206E-13</v>
      </c>
      <c r="DP149" s="18">
        <f>DO149*VLOOKUP('Données projet'!$B$14,Paramètres!$A$1:$I$89,3,0)*VLOOKUP('Données projet'!$B$14,Paramètres!$A$1:$I$89,5,0)</f>
        <v>1.8444552551954985E-13</v>
      </c>
      <c r="DQ149" s="14">
        <f t="shared" si="151"/>
        <v>2.580317449479618E-12</v>
      </c>
      <c r="DR149" s="22">
        <f t="shared" si="124"/>
        <v>4.8152955147902165E-12</v>
      </c>
      <c r="DS149" s="62">
        <f t="shared" si="125"/>
        <v>293.33333333333815</v>
      </c>
      <c r="DT149" s="62">
        <f ca="1">AVERAGE(OFFSET($DS$3,0,0,'Données projet'!$E$14+1,1))-AVERAGE(OFFSET($H$3,0,0,'Données projet'!$E$14+1,1))</f>
        <v>223.63222290670075</v>
      </c>
      <c r="DU149" s="62">
        <f t="shared" si="152"/>
        <v>290.02663909417248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13.84427926287886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1.0833041601990125E-11</v>
      </c>
      <c r="ED149" s="24">
        <f t="shared" si="126"/>
        <v>13.844279262889692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435.12346291440332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192.24617268603629</v>
      </c>
      <c r="T150" s="62">
        <f t="shared" si="142"/>
        <v>192.48585280662832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15.709350647448927</v>
      </c>
      <c r="AA150" s="23">
        <f>EXP(-LN(2)/25)*AA149+(1-EXP(-LN(2)/25))/(LN(2)/25)*Calculateur!V150*Calculateur!X150*VLOOKUP('Données projet'!$B$9,Paramètres!$A$1:$I$89,3,0)*0.475*44/12</f>
        <v>2.8411618456608383</v>
      </c>
      <c r="AB150" s="23">
        <f>EXP(-LN(2)/2)*AB149+(1-EXP(-LN(2)/2))/(LN(2)/2)*V150*Y150*VLOOKUP('Données projet'!$B$9,Paramètres!$A$1:$I$89,3,0)*0.475*44/12</f>
        <v>3.3736396060223906E-12</v>
      </c>
      <c r="AC150" s="24">
        <f t="shared" si="111"/>
        <v>18.550512493113139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1.9999999998958629E-3</v>
      </c>
      <c r="AJ150" s="14">
        <f>AI150*VLOOKUP('Données projet'!$B$10,Paramètres!$A$1:$I$89,3,0)*VLOOKUP('Données projet'!$B$10,Paramètres!$A$1:$I$89,5,0)</f>
        <v>1.195999999937726E-3</v>
      </c>
      <c r="AK150" s="14">
        <f t="shared" si="143"/>
        <v>1.2062444695752218E-3</v>
      </c>
      <c r="AL150" s="22">
        <f t="shared" si="112"/>
        <v>4.1839091177350513E-3</v>
      </c>
      <c r="AM150" s="62">
        <f t="shared" si="113"/>
        <v>293.33751724245104</v>
      </c>
      <c r="AN150" s="62">
        <f ca="1">AVERAGE(OFFSET($AM$3,0,0,'Données projet'!$E$10+1,1))-AVERAGE(OFFSET($H$3,0,0,'Données projet'!$E$10+1,1))</f>
        <v>164.64952352018145</v>
      </c>
      <c r="AO150" s="62">
        <f t="shared" si="144"/>
        <v>280.08682720086921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7.855951545150587</v>
      </c>
      <c r="AV150" s="23">
        <f>EXP(-LN(2)/25)*AV149+(1-EXP(-LN(2)/25))/(LN(2)/25)*Calculateur!AQ150*Calculateur!AS150*VLOOKUP('Données projet'!$B$10,Paramètres!$A$1:$I$89,3,0)*0.475*44/12</f>
        <v>1.2548621028226969</v>
      </c>
      <c r="AW150" s="23">
        <f>EXP(-LN(2)/2)*AW149+(1-EXP(-LN(2)/2))/(LN(2)/2)*AQ150*AT150*VLOOKUP('Données projet'!$B$10,Paramètres!$A$1:$I$89,3,0)*0.475*44/12</f>
        <v>1.3302193261166333E-15</v>
      </c>
      <c r="AX150" s="23">
        <f t="shared" si="114"/>
        <v>9.110813647973286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8.6800000000000015</v>
      </c>
      <c r="BD150" s="13">
        <f>IF('Données projet'!$A$88&gt;35,BD149+BC150-BL149,IF(A150&lt;'Données projet'!$A$88,$BA$205^A150,IF(A150='Données projet'!$A$88,'Données projet'!$B$88,BD149+BC150-BL149)))</f>
        <v>442.11999999999995</v>
      </c>
      <c r="BE150" s="14">
        <f>BD150*VLOOKUP('Données projet'!$B$11,Paramètres!$A$1:$I$89,3,0)*VLOOKUP('Données projet'!$B$11,Paramètres!$A$1:$I$89,5,0)</f>
        <v>372.44188800000001</v>
      </c>
      <c r="BF150" s="14">
        <f t="shared" si="145"/>
        <v>86.166682541960739</v>
      </c>
      <c r="BG150" s="22">
        <f t="shared" si="115"/>
        <v>798.74326036058153</v>
      </c>
      <c r="BH150" s="62">
        <f t="shared" si="116"/>
        <v>1092.0765936939149</v>
      </c>
      <c r="BI150" s="62">
        <f ca="1">AVERAGE(OFFSET($BH$3,0,0,'Données projet'!$E$11+1,1))-AVERAGE(OFFSET($H$3,0,0,'Données projet'!$E$11+1,1))</f>
        <v>339.58585574836434</v>
      </c>
      <c r="BJ150" s="62">
        <f t="shared" si="146"/>
        <v>42.267525972379588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63.84239594068751</v>
      </c>
      <c r="BQ150" s="23">
        <f>EXP(-LN(2)/25)*BQ149+(1-EXP(-LN(2)/25))/(LN(2)/25)*Calculateur!BL150*Calculateur!BN150*VLOOKUP('Données projet'!$B$11,Paramètres!$A$1:$I$89,3,0)*0.475*44/12</f>
        <v>2.6753467826813493</v>
      </c>
      <c r="BR150" s="23">
        <f>EXP(-LN(2)/2)*BR149+(1-EXP(-LN(2)/2))/(LN(2)/2)*BL150*BO150*VLOOKUP('Données projet'!$B$11,Paramètres!$A$1:$I$89,3,0)*0.475*44/12</f>
        <v>7.6682474794199703E-13</v>
      </c>
      <c r="BS150" s="24">
        <f t="shared" si="117"/>
        <v>66.517742723369622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112.34884104798977</v>
      </c>
      <c r="CE150" s="62">
        <f t="shared" si="148"/>
        <v>18.665658139749326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33.78302531858369</v>
      </c>
      <c r="CL150" s="23">
        <f>EXP(-LN(2)/25)*CL149+(1-EXP(-LN(2)/25))/(LN(2)/25)*Calculateur!CG150*Calculateur!CI150*VLOOKUP('Données projet'!$B$12,Paramètres!$A$1:$I$89,3,0)*0.475*44/12</f>
        <v>1.8397908208652407</v>
      </c>
      <c r="CM150" s="23">
        <f>EXP(-LN(2)/2)*CM149+(1-EXP(-LN(2)/2))/(LN(2)/2)*CG150*CJ150*VLOOKUP('Données projet'!$B$12,Paramètres!$A$1:$I$89,3,0)*0.475*44/12</f>
        <v>9.761008201621345E-15</v>
      </c>
      <c r="CN150" s="24">
        <f t="shared" si="120"/>
        <v>35.622816139448936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-1.1368683772161603E-13</v>
      </c>
      <c r="CU150" s="18">
        <f>CT150*VLOOKUP('Données projet'!$B$13,Paramètres!$A$1:$I$89,3,0)*VLOOKUP('Données projet'!$B$13,Paramètres!$A$1:$I$89,5,0)</f>
        <v>-1.2414602679200469E-13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205.21073681197737</v>
      </c>
      <c r="CZ150" s="62">
        <f t="shared" si="150"/>
        <v>175.16446313750316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12.746162654750828</v>
      </c>
      <c r="DG150" s="23">
        <f>EXP(-LN(2)/25)*DG149+(1-EXP(-LN(2)/25))/(LN(2)/25)*Calculateur!DB150*Calculateur!DD150*VLOOKUP('Données projet'!$B$13,Paramètres!$A$1:$I$89,3,0)*0.475*44/12</f>
        <v>2.843768797937221</v>
      </c>
      <c r="DH150" s="23">
        <f>EXP(-LN(2)/2)*DH149+(1-EXP(-LN(2)/2))/(LN(2)/2)*DB150*DE150*VLOOKUP('Données projet'!$B$13,Paramètres!$A$1:$I$89,3,0)*0.475*44/12</f>
        <v>8.7216877540440437E-15</v>
      </c>
      <c r="DI150" s="24">
        <f t="shared" si="123"/>
        <v>15.589931452688058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2.2737367544323206E-13</v>
      </c>
      <c r="DP150" s="18">
        <f>DO150*VLOOKUP('Données projet'!$B$14,Paramètres!$A$1:$I$89,3,0)*VLOOKUP('Données projet'!$B$14,Paramètres!$A$1:$I$89,5,0)</f>
        <v>1.8444552551954985E-13</v>
      </c>
      <c r="DQ150" s="14">
        <f t="shared" si="151"/>
        <v>2.580317449479618E-12</v>
      </c>
      <c r="DR150" s="22">
        <f t="shared" si="124"/>
        <v>4.8152955147902165E-12</v>
      </c>
      <c r="DS150" s="62">
        <f t="shared" si="125"/>
        <v>293.33333333333815</v>
      </c>
      <c r="DT150" s="62">
        <f ca="1">AVERAGE(OFFSET($DS$3,0,0,'Données projet'!$E$14+1,1))-AVERAGE(OFFSET($H$3,0,0,'Données projet'!$E$14+1,1))</f>
        <v>223.63222290670075</v>
      </c>
      <c r="DU150" s="62">
        <f t="shared" si="152"/>
        <v>290.02663909417248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13.572801390710364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7.6601171776431973E-12</v>
      </c>
      <c r="ED150" s="24">
        <f t="shared" si="126"/>
        <v>13.572801390718023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436.30674487007587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192.24617268603629</v>
      </c>
      <c r="T151" s="62">
        <f t="shared" si="142"/>
        <v>192.48585280662832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15.401299863010228</v>
      </c>
      <c r="AA151" s="23">
        <f>EXP(-LN(2)/25)*AA150+(1-EXP(-LN(2)/25))/(LN(2)/25)*Calculateur!V151*Calculateur!X151*VLOOKUP('Données projet'!$B$9,Paramètres!$A$1:$I$89,3,0)*0.475*44/12</f>
        <v>2.7634701255810348</v>
      </c>
      <c r="AB151" s="23">
        <f>EXP(-LN(2)/2)*AB150+(1-EXP(-LN(2)/2))/(LN(2)/2)*V151*Y151*VLOOKUP('Données projet'!$B$9,Paramètres!$A$1:$I$89,3,0)*0.475*44/12</f>
        <v>2.3855234426979449E-12</v>
      </c>
      <c r="AC151" s="24">
        <f t="shared" si="111"/>
        <v>18.164769988593648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1.9999999998958629E-3</v>
      </c>
      <c r="AJ151" s="14">
        <f>AI151*VLOOKUP('Données projet'!$B$10,Paramètres!$A$1:$I$89,3,0)*VLOOKUP('Données projet'!$B$10,Paramètres!$A$1:$I$89,5,0)</f>
        <v>1.195999999937726E-3</v>
      </c>
      <c r="AK151" s="14">
        <f t="shared" si="143"/>
        <v>1.2062444695752218E-3</v>
      </c>
      <c r="AL151" s="22">
        <f t="shared" si="112"/>
        <v>4.1839091177350513E-3</v>
      </c>
      <c r="AM151" s="62">
        <f t="shared" si="113"/>
        <v>293.33751724245104</v>
      </c>
      <c r="AN151" s="62">
        <f ca="1">AVERAGE(OFFSET($AM$3,0,0,'Données projet'!$E$10+1,1))-AVERAGE(OFFSET($H$3,0,0,'Données projet'!$E$10+1,1))</f>
        <v>164.64952352018145</v>
      </c>
      <c r="AO151" s="62">
        <f t="shared" si="144"/>
        <v>280.08682720086921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7.7019011270074893</v>
      </c>
      <c r="AV151" s="23">
        <f>EXP(-LN(2)/25)*AV150+(1-EXP(-LN(2)/25))/(LN(2)/25)*Calculateur!AQ151*Calculateur!AS151*VLOOKUP('Données projet'!$B$10,Paramètres!$A$1:$I$89,3,0)*0.475*44/12</f>
        <v>1.2205478326306802</v>
      </c>
      <c r="AW151" s="23">
        <f>EXP(-LN(2)/2)*AW150+(1-EXP(-LN(2)/2))/(LN(2)/2)*AQ151*AT151*VLOOKUP('Données projet'!$B$10,Paramètres!$A$1:$I$89,3,0)*0.475*44/12</f>
        <v>9.4060710596247089E-16</v>
      </c>
      <c r="AX151" s="23">
        <f t="shared" si="114"/>
        <v>8.9224489596381709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8.6800000000000015</v>
      </c>
      <c r="BD151" s="13">
        <f>IF('Données projet'!$A$88&gt;35,BD150+BC151-BL150,IF(A151&lt;'Données projet'!$A$88,$BA$205^A151,IF(A151='Données projet'!$A$88,'Données projet'!$B$88,BD150+BC151-BL150)))</f>
        <v>450.79999999999995</v>
      </c>
      <c r="BE151" s="14">
        <f>BD151*VLOOKUP('Données projet'!$B$11,Paramètres!$A$1:$I$89,3,0)*VLOOKUP('Données projet'!$B$11,Paramètres!$A$1:$I$89,5,0)</f>
        <v>379.75391999999999</v>
      </c>
      <c r="BF151" s="14">
        <f t="shared" si="145"/>
        <v>87.659757866111065</v>
      </c>
      <c r="BG151" s="22">
        <f t="shared" si="115"/>
        <v>814.07882228347671</v>
      </c>
      <c r="BH151" s="62">
        <f t="shared" si="116"/>
        <v>1107.41215561681</v>
      </c>
      <c r="BI151" s="62">
        <f ca="1">AVERAGE(OFFSET($BH$3,0,0,'Données projet'!$E$11+1,1))-AVERAGE(OFFSET($H$3,0,0,'Données projet'!$E$11+1,1))</f>
        <v>339.58585574836434</v>
      </c>
      <c r="BJ151" s="62">
        <f t="shared" si="146"/>
        <v>42.267525972379588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62.590485496307146</v>
      </c>
      <c r="BQ151" s="23">
        <f>EXP(-LN(2)/25)*BQ150+(1-EXP(-LN(2)/25))/(LN(2)/25)*Calculateur!BL151*Calculateur!BN151*VLOOKUP('Données projet'!$B$11,Paramètres!$A$1:$I$89,3,0)*0.475*44/12</f>
        <v>2.602189284218555</v>
      </c>
      <c r="BR151" s="23">
        <f>EXP(-LN(2)/2)*BR150+(1-EXP(-LN(2)/2))/(LN(2)/2)*BL151*BO151*VLOOKUP('Données projet'!$B$11,Paramètres!$A$1:$I$89,3,0)*0.475*44/12</f>
        <v>5.4222697925145114E-13</v>
      </c>
      <c r="BS151" s="24">
        <f t="shared" si="117"/>
        <v>65.192674780526247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112.34884104798977</v>
      </c>
      <c r="CE151" s="62">
        <f t="shared" si="148"/>
        <v>18.665658139749326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33.120560797697074</v>
      </c>
      <c r="CL151" s="23">
        <f>EXP(-LN(2)/25)*CL150+(1-EXP(-LN(2)/25))/(LN(2)/25)*Calculateur!CG151*Calculateur!CI151*VLOOKUP('Données projet'!$B$12,Paramètres!$A$1:$I$89,3,0)*0.475*44/12</f>
        <v>1.7894816441182864</v>
      </c>
      <c r="CM151" s="23">
        <f>EXP(-LN(2)/2)*CM150+(1-EXP(-LN(2)/2))/(LN(2)/2)*CG151*CJ151*VLOOKUP('Données projet'!$B$12,Paramètres!$A$1:$I$89,3,0)*0.475*44/12</f>
        <v>6.9020750905839602E-15</v>
      </c>
      <c r="CN151" s="24">
        <f t="shared" si="120"/>
        <v>34.910042441815371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-1.1368683772161603E-13</v>
      </c>
      <c r="CU151" s="18">
        <f>CT151*VLOOKUP('Données projet'!$B$13,Paramètres!$A$1:$I$89,3,0)*VLOOKUP('Données projet'!$B$13,Paramètres!$A$1:$I$89,5,0)</f>
        <v>-1.2414602679200469E-13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205.21073681197737</v>
      </c>
      <c r="CZ151" s="62">
        <f t="shared" si="150"/>
        <v>175.16446313750316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12.496218179482726</v>
      </c>
      <c r="DG151" s="23">
        <f>EXP(-LN(2)/25)*DG150+(1-EXP(-LN(2)/25))/(LN(2)/25)*Calculateur!DB151*Calculateur!DD151*VLOOKUP('Données projet'!$B$13,Paramètres!$A$1:$I$89,3,0)*0.475*44/12</f>
        <v>2.7660057906103264</v>
      </c>
      <c r="DH151" s="23">
        <f>EXP(-LN(2)/2)*DH150+(1-EXP(-LN(2)/2))/(LN(2)/2)*DB151*DE151*VLOOKUP('Données projet'!$B$13,Paramètres!$A$1:$I$89,3,0)*0.475*44/12</f>
        <v>6.1671645542762128E-15</v>
      </c>
      <c r="DI151" s="24">
        <f t="shared" si="123"/>
        <v>15.262223970093059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2.2737367544323206E-13</v>
      </c>
      <c r="DP151" s="18">
        <f>DO151*VLOOKUP('Données projet'!$B$14,Paramètres!$A$1:$I$89,3,0)*VLOOKUP('Données projet'!$B$14,Paramètres!$A$1:$I$89,5,0)</f>
        <v>1.8444552551954985E-13</v>
      </c>
      <c r="DQ151" s="14">
        <f t="shared" si="151"/>
        <v>2.580317449479618E-12</v>
      </c>
      <c r="DR151" s="22">
        <f t="shared" si="124"/>
        <v>4.8152955147902165E-12</v>
      </c>
      <c r="DS151" s="62">
        <f t="shared" si="125"/>
        <v>293.33333333333815</v>
      </c>
      <c r="DT151" s="62">
        <f ca="1">AVERAGE(OFFSET($DS$3,0,0,'Données projet'!$E$14+1,1))-AVERAGE(OFFSET($H$3,0,0,'Données projet'!$E$14+1,1))</f>
        <v>223.63222290670075</v>
      </c>
      <c r="DU151" s="62">
        <f t="shared" si="152"/>
        <v>290.02663909417248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13.30664703402994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5.4165208009950624E-12</v>
      </c>
      <c r="ED151" s="24">
        <f t="shared" si="126"/>
        <v>13.306647034035356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437.48984417017164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192.24617268603629</v>
      </c>
      <c r="T152" s="62">
        <f t="shared" si="142"/>
        <v>192.48585280662832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15.099289766561947</v>
      </c>
      <c r="AA152" s="23">
        <f>EXP(-LN(2)/25)*AA151+(1-EXP(-LN(2)/25))/(LN(2)/25)*Calculateur!V152*Calculateur!X152*VLOOKUP('Données projet'!$B$9,Paramètres!$A$1:$I$89,3,0)*0.475*44/12</f>
        <v>2.6879028896724435</v>
      </c>
      <c r="AB152" s="23">
        <f>EXP(-LN(2)/2)*AB151+(1-EXP(-LN(2)/2))/(LN(2)/2)*V152*Y152*VLOOKUP('Données projet'!$B$9,Paramètres!$A$1:$I$89,3,0)*0.475*44/12</f>
        <v>1.6868198030111953E-12</v>
      </c>
      <c r="AC152" s="24">
        <f t="shared" si="111"/>
        <v>17.787192656236076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1.9999999998958629E-3</v>
      </c>
      <c r="AJ152" s="14">
        <f>AI152*VLOOKUP('Données projet'!$B$10,Paramètres!$A$1:$I$89,3,0)*VLOOKUP('Données projet'!$B$10,Paramètres!$A$1:$I$89,5,0)</f>
        <v>1.195999999937726E-3</v>
      </c>
      <c r="AK152" s="14">
        <f t="shared" si="143"/>
        <v>1.2062444695752218E-3</v>
      </c>
      <c r="AL152" s="22">
        <f t="shared" si="112"/>
        <v>4.1839091177350513E-3</v>
      </c>
      <c r="AM152" s="62">
        <f t="shared" si="113"/>
        <v>293.33751724245104</v>
      </c>
      <c r="AN152" s="62">
        <f ca="1">AVERAGE(OFFSET($AM$3,0,0,'Données projet'!$E$10+1,1))-AVERAGE(OFFSET($H$3,0,0,'Données projet'!$E$10+1,1))</f>
        <v>164.64952352018145</v>
      </c>
      <c r="AO152" s="62">
        <f t="shared" si="144"/>
        <v>280.08682720086921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7.5508715436027014</v>
      </c>
      <c r="AV152" s="23">
        <f>EXP(-LN(2)/25)*AV151+(1-EXP(-LN(2)/25))/(LN(2)/25)*Calculateur!AQ152*Calculateur!AS152*VLOOKUP('Données projet'!$B$10,Paramètres!$A$1:$I$89,3,0)*0.475*44/12</f>
        <v>1.1871718879615734</v>
      </c>
      <c r="AW152" s="23">
        <f>EXP(-LN(2)/2)*AW151+(1-EXP(-LN(2)/2))/(LN(2)/2)*AQ152*AT152*VLOOKUP('Données projet'!$B$10,Paramètres!$A$1:$I$89,3,0)*0.475*44/12</f>
        <v>6.6510966305831664E-16</v>
      </c>
      <c r="AX152" s="23">
        <f t="shared" si="114"/>
        <v>8.7380434315642752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8.6800000000000015</v>
      </c>
      <c r="BD152" s="13">
        <f>IF('Données projet'!$A$88&gt;35,BD151+BC152-BL151,IF(A152&lt;'Données projet'!$A$88,$BA$205^A152,IF(A152='Données projet'!$A$88,'Données projet'!$B$88,BD151+BC152-BL151)))</f>
        <v>459.47999999999996</v>
      </c>
      <c r="BE152" s="14">
        <f>BD152*VLOOKUP('Données projet'!$B$11,Paramètres!$A$1:$I$89,3,0)*VLOOKUP('Données projet'!$B$11,Paramètres!$A$1:$I$89,5,0)</f>
        <v>387.06595200000004</v>
      </c>
      <c r="BF152" s="14">
        <f t="shared" si="145"/>
        <v>89.149490375616864</v>
      </c>
      <c r="BG152" s="22">
        <f t="shared" si="115"/>
        <v>829.40856213753284</v>
      </c>
      <c r="BH152" s="62">
        <f t="shared" si="116"/>
        <v>1122.7418954708662</v>
      </c>
      <c r="BI152" s="62">
        <f ca="1">AVERAGE(OFFSET($BH$3,0,0,'Données projet'!$E$11+1,1))-AVERAGE(OFFSET($H$3,0,0,'Données projet'!$E$11+1,1))</f>
        <v>339.58585574836434</v>
      </c>
      <c r="BJ152" s="62">
        <f t="shared" si="146"/>
        <v>42.267525972379588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61.36312425215111</v>
      </c>
      <c r="BQ152" s="23">
        <f>EXP(-LN(2)/25)*BQ151+(1-EXP(-LN(2)/25))/(LN(2)/25)*Calculateur!BL152*Calculateur!BN152*VLOOKUP('Données projet'!$B$11,Paramètres!$A$1:$I$89,3,0)*0.475*44/12</f>
        <v>2.5310322813984114</v>
      </c>
      <c r="BR152" s="23">
        <f>EXP(-LN(2)/2)*BR151+(1-EXP(-LN(2)/2))/(LN(2)/2)*BL152*BO152*VLOOKUP('Données projet'!$B$11,Paramètres!$A$1:$I$89,3,0)*0.475*44/12</f>
        <v>3.8341237397099851E-13</v>
      </c>
      <c r="BS152" s="24">
        <f t="shared" si="117"/>
        <v>63.894156533549904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112.34884104798977</v>
      </c>
      <c r="CE152" s="62">
        <f t="shared" si="148"/>
        <v>18.665658139749326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32.471086802001587</v>
      </c>
      <c r="CL152" s="23">
        <f>EXP(-LN(2)/25)*CL151+(1-EXP(-LN(2)/25))/(LN(2)/25)*Calculateur!CG152*Calculateur!CI152*VLOOKUP('Données projet'!$B$12,Paramètres!$A$1:$I$89,3,0)*0.475*44/12</f>
        <v>1.7405481744551221</v>
      </c>
      <c r="CM152" s="23">
        <f>EXP(-LN(2)/2)*CM151+(1-EXP(-LN(2)/2))/(LN(2)/2)*CG152*CJ152*VLOOKUP('Données projet'!$B$12,Paramètres!$A$1:$I$89,3,0)*0.475*44/12</f>
        <v>4.8805041008106725E-15</v>
      </c>
      <c r="CN152" s="24">
        <f t="shared" si="120"/>
        <v>34.211634976456715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-1.1368683772161603E-13</v>
      </c>
      <c r="CU152" s="18">
        <f>CT152*VLOOKUP('Données projet'!$B$13,Paramètres!$A$1:$I$89,3,0)*VLOOKUP('Données projet'!$B$13,Paramètres!$A$1:$I$89,5,0)</f>
        <v>-1.2414602679200469E-13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205.21073681197737</v>
      </c>
      <c r="CZ152" s="62">
        <f t="shared" si="150"/>
        <v>175.16446313750316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12.251174962923555</v>
      </c>
      <c r="DG152" s="23">
        <f>EXP(-LN(2)/25)*DG151+(1-EXP(-LN(2)/25))/(LN(2)/25)*Calculateur!DB152*Calculateur!DD152*VLOOKUP('Données projet'!$B$13,Paramètres!$A$1:$I$89,3,0)*0.475*44/12</f>
        <v>2.6903692168081643</v>
      </c>
      <c r="DH152" s="23">
        <f>EXP(-LN(2)/2)*DH151+(1-EXP(-LN(2)/2))/(LN(2)/2)*DB152*DE152*VLOOKUP('Données projet'!$B$13,Paramètres!$A$1:$I$89,3,0)*0.475*44/12</f>
        <v>4.3608438770220219E-15</v>
      </c>
      <c r="DI152" s="24">
        <f t="shared" si="123"/>
        <v>14.941544179731723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2.2737367544323206E-13</v>
      </c>
      <c r="DP152" s="18">
        <f>DO152*VLOOKUP('Données projet'!$B$14,Paramètres!$A$1:$I$89,3,0)*VLOOKUP('Données projet'!$B$14,Paramètres!$A$1:$I$89,5,0)</f>
        <v>1.8444552551954985E-13</v>
      </c>
      <c r="DQ152" s="14">
        <f t="shared" si="151"/>
        <v>2.580317449479618E-12</v>
      </c>
      <c r="DR152" s="22">
        <f t="shared" si="124"/>
        <v>4.8152955147902165E-12</v>
      </c>
      <c r="DS152" s="62">
        <f t="shared" si="125"/>
        <v>293.33333333333815</v>
      </c>
      <c r="DT152" s="62">
        <f ca="1">AVERAGE(OFFSET($DS$3,0,0,'Données projet'!$E$14+1,1))-AVERAGE(OFFSET($H$3,0,0,'Données projet'!$E$14+1,1))</f>
        <v>223.63222290670075</v>
      </c>
      <c r="DU152" s="62">
        <f t="shared" si="152"/>
        <v>290.02663909417248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13.04571180194589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3.8300585888215987E-12</v>
      </c>
      <c r="ED152" s="24">
        <f t="shared" si="126"/>
        <v>13.04571180194972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438.6727621827452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192.24617268603629</v>
      </c>
      <c r="T153" s="62">
        <f t="shared" si="142"/>
        <v>192.48585280662832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14.803201903897047</v>
      </c>
      <c r="AA153" s="23">
        <f>EXP(-LN(2)/25)*AA152+(1-EXP(-LN(2)/25))/(LN(2)/25)*Calculateur!V153*Calculateur!X153*VLOOKUP('Données projet'!$B$9,Paramètres!$A$1:$I$89,3,0)*0.475*44/12</f>
        <v>2.6144020438036808</v>
      </c>
      <c r="AB153" s="23">
        <f>EXP(-LN(2)/2)*AB152+(1-EXP(-LN(2)/2))/(LN(2)/2)*V153*Y153*VLOOKUP('Données projet'!$B$9,Paramètres!$A$1:$I$89,3,0)*0.475*44/12</f>
        <v>1.1927617213489724E-12</v>
      </c>
      <c r="AC153" s="24">
        <f t="shared" si="111"/>
        <v>17.41760394770192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1.9999999998958629E-3</v>
      </c>
      <c r="AJ153" s="14">
        <f>AI153*VLOOKUP('Données projet'!$B$10,Paramètres!$A$1:$I$89,3,0)*VLOOKUP('Données projet'!$B$10,Paramètres!$A$1:$I$89,5,0)</f>
        <v>1.195999999937726E-3</v>
      </c>
      <c r="AK153" s="14">
        <f t="shared" si="143"/>
        <v>1.2062444695752218E-3</v>
      </c>
      <c r="AL153" s="22">
        <f t="shared" si="112"/>
        <v>4.1839091177350513E-3</v>
      </c>
      <c r="AM153" s="62">
        <f t="shared" si="113"/>
        <v>293.33751724245104</v>
      </c>
      <c r="AN153" s="62">
        <f ca="1">AVERAGE(OFFSET($AM$3,0,0,'Données projet'!$E$10+1,1))-AVERAGE(OFFSET($H$3,0,0,'Données projet'!$E$10+1,1))</f>
        <v>164.64952352018145</v>
      </c>
      <c r="AO153" s="62">
        <f t="shared" si="144"/>
        <v>280.08682720086921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7.4028035582095315</v>
      </c>
      <c r="AV153" s="23">
        <f>EXP(-LN(2)/25)*AV152+(1-EXP(-LN(2)/25))/(LN(2)/25)*Calculateur!AQ153*Calculateur!AS153*VLOOKUP('Données projet'!$B$10,Paramètres!$A$1:$I$89,3,0)*0.475*44/12</f>
        <v>1.1547086102546078</v>
      </c>
      <c r="AW153" s="23">
        <f>EXP(-LN(2)/2)*AW152+(1-EXP(-LN(2)/2))/(LN(2)/2)*AQ153*AT153*VLOOKUP('Données projet'!$B$10,Paramètres!$A$1:$I$89,3,0)*0.475*44/12</f>
        <v>4.7030355298123545E-16</v>
      </c>
      <c r="AX153" s="23">
        <f t="shared" si="114"/>
        <v>8.5575121684641395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468.16</v>
      </c>
      <c r="BB153" s="13">
        <f>VLOOKUP(A153,'Données projet'!$A$87:$I$107,9,0)</f>
        <v>8.6800000000000015</v>
      </c>
      <c r="BC153" s="13">
        <f t="array" ref="BC153">INDEX(BB:BB,MIN(IF(ISNUMBER(BB153:BB349),ROW(BB153:BB349),"")))</f>
        <v>8.6800000000000015</v>
      </c>
      <c r="BD153" s="13">
        <f>IF('Données projet'!$A$88&gt;35,BD152+BC153-BL152,IF(A153&lt;'Données projet'!$A$88,$BA$205^A153,IF(A153='Données projet'!$A$88,'Données projet'!$B$88,BD152+BC153-BL152)))</f>
        <v>468.15999999999997</v>
      </c>
      <c r="BE153" s="14">
        <f>BD153*VLOOKUP('Données projet'!$B$11,Paramètres!$A$1:$I$89,3,0)*VLOOKUP('Données projet'!$B$11,Paramètres!$A$1:$I$89,5,0)</f>
        <v>394.37798400000003</v>
      </c>
      <c r="BF153" s="14">
        <f t="shared" si="145"/>
        <v>90.635950500844345</v>
      </c>
      <c r="BG153" s="22">
        <f t="shared" si="115"/>
        <v>844.73260258897051</v>
      </c>
      <c r="BH153" s="62">
        <f t="shared" si="116"/>
        <v>1138.0659359223039</v>
      </c>
      <c r="BI153" s="62">
        <f ca="1">AVERAGE(OFFSET($BH$3,0,0,'Données projet'!$E$11+1,1))-AVERAGE(OFFSET($H$3,0,0,'Données projet'!$E$11+1,1))</f>
        <v>339.58585574836434</v>
      </c>
      <c r="BJ153" s="62">
        <f t="shared" si="146"/>
        <v>42.267525972379588</v>
      </c>
      <c r="BK153" s="16">
        <f>IF(ISNA(VLOOKUP(A153,'Données projet'!$A$87:$I$107,3,0)),0,VLOOKUP(A153,'Données projet'!$A$87:$I$107,3,0))</f>
        <v>18</v>
      </c>
      <c r="BL153" s="16">
        <f>IF(ISNA(VLOOKUP(A153,'Données projet'!$A$87:$I$107,4,0)),0,VLOOKUP(A153,'Données projet'!$A$87:$I$107,4,0))</f>
        <v>47.88</v>
      </c>
      <c r="BM153" s="17">
        <f>IF(ISNA(VLOOKUP(A153,'Données projet'!$A$87:$I$107,5,0)),0%,VLOOKUP(A153,'Données projet'!$A$87:$I$107,5,0)*VLOOKUP('Données projet'!$B$11,Paramètres!$A$1:$I$89,7,0))</f>
        <v>0.34400000000000003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75.498159952039529</v>
      </c>
      <c r="BQ153" s="23">
        <f>EXP(-LN(2)/25)*BQ152+(1-EXP(-LN(2)/25))/(LN(2)/25)*Calculateur!BL153*Calculateur!BN153*VLOOKUP('Données projet'!$B$11,Paramètres!$A$1:$I$89,3,0)*0.475*44/12</f>
        <v>2.4618210705623689</v>
      </c>
      <c r="BR153" s="23">
        <f>EXP(-LN(2)/2)*BR152+(1-EXP(-LN(2)/2))/(LN(2)/2)*BL153*BO153*VLOOKUP('Données projet'!$B$11,Paramètres!$A$1:$I$89,3,0)*0.475*44/12</f>
        <v>2.7111348962572557E-13</v>
      </c>
      <c r="BS153" s="24">
        <f t="shared" si="117"/>
        <v>77.959981022602165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112.34884104798977</v>
      </c>
      <c r="CE153" s="62">
        <f t="shared" si="148"/>
        <v>18.665658139749326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31.834348595221662</v>
      </c>
      <c r="CL153" s="23">
        <f>EXP(-LN(2)/25)*CL152+(1-EXP(-LN(2)/25))/(LN(2)/25)*Calculateur!CG153*Calculateur!CI153*VLOOKUP('Données projet'!$B$12,Paramètres!$A$1:$I$89,3,0)*0.475*44/12</f>
        <v>1.6929527930931965</v>
      </c>
      <c r="CM153" s="23">
        <f>EXP(-LN(2)/2)*CM152+(1-EXP(-LN(2)/2))/(LN(2)/2)*CG153*CJ153*VLOOKUP('Données projet'!$B$12,Paramètres!$A$1:$I$89,3,0)*0.475*44/12</f>
        <v>3.4510375452919801E-15</v>
      </c>
      <c r="CN153" s="24">
        <f t="shared" si="120"/>
        <v>33.527301388314861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-1.1368683772161603E-13</v>
      </c>
      <c r="CU153" s="18">
        <f>CT153*VLOOKUP('Données projet'!$B$13,Paramètres!$A$1:$I$89,3,0)*VLOOKUP('Données projet'!$B$13,Paramètres!$A$1:$I$89,5,0)</f>
        <v>-1.2414602679200469E-13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205.21073681197737</v>
      </c>
      <c r="CZ153" s="62">
        <f t="shared" si="150"/>
        <v>175.16446313750316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12.010936894379505</v>
      </c>
      <c r="DG153" s="23">
        <f>EXP(-LN(2)/25)*DG152+(1-EXP(-LN(2)/25))/(LN(2)/25)*Calculateur!DB153*Calculateur!DD153*VLOOKUP('Données projet'!$B$13,Paramètres!$A$1:$I$89,3,0)*0.475*44/12</f>
        <v>2.6168009290941767</v>
      </c>
      <c r="DH153" s="23">
        <f>EXP(-LN(2)/2)*DH152+(1-EXP(-LN(2)/2))/(LN(2)/2)*DB153*DE153*VLOOKUP('Données projet'!$B$13,Paramètres!$A$1:$I$89,3,0)*0.475*44/12</f>
        <v>3.0835822771381064E-15</v>
      </c>
      <c r="DI153" s="24">
        <f t="shared" si="123"/>
        <v>14.627737823473685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2.2737367544323206E-13</v>
      </c>
      <c r="DP153" s="18">
        <f>DO153*VLOOKUP('Données projet'!$B$14,Paramètres!$A$1:$I$89,3,0)*VLOOKUP('Données projet'!$B$14,Paramètres!$A$1:$I$89,5,0)</f>
        <v>1.8444552551954985E-13</v>
      </c>
      <c r="DQ153" s="14">
        <f t="shared" si="151"/>
        <v>2.580317449479618E-12</v>
      </c>
      <c r="DR153" s="22">
        <f t="shared" si="124"/>
        <v>4.8152955147902165E-12</v>
      </c>
      <c r="DS153" s="62">
        <f t="shared" si="125"/>
        <v>293.33333333333815</v>
      </c>
      <c r="DT153" s="62">
        <f ca="1">AVERAGE(OFFSET($DS$3,0,0,'Données projet'!$E$14+1,1))-AVERAGE(OFFSET($H$3,0,0,'Données projet'!$E$14+1,1))</f>
        <v>223.63222290670075</v>
      </c>
      <c r="DU153" s="62">
        <f t="shared" si="152"/>
        <v>290.02663909417248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12.789893350608232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2.7082604004975312E-12</v>
      </c>
      <c r="ED153" s="24">
        <f t="shared" si="126"/>
        <v>12.78989335061094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439.85550025655579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192.24617268603629</v>
      </c>
      <c r="T154" s="62">
        <f t="shared" si="142"/>
        <v>192.48585280662832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14.512920143623242</v>
      </c>
      <c r="AA154" s="23">
        <f>EXP(-LN(2)/25)*AA153+(1-EXP(-LN(2)/25))/(LN(2)/25)*Calculateur!V154*Calculateur!X154*VLOOKUP('Données projet'!$B$9,Paramètres!$A$1:$I$89,3,0)*0.475*44/12</f>
        <v>2.5429110824304408</v>
      </c>
      <c r="AB154" s="23">
        <f>EXP(-LN(2)/2)*AB153+(1-EXP(-LN(2)/2))/(LN(2)/2)*V154*Y154*VLOOKUP('Données projet'!$B$9,Paramètres!$A$1:$I$89,3,0)*0.475*44/12</f>
        <v>8.4340990150559764E-13</v>
      </c>
      <c r="AC154" s="24">
        <f t="shared" ref="AC154:AC203" si="163">SUM(Z154:AB154)</f>
        <v>17.055831226054526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1.9999999998958629E-3</v>
      </c>
      <c r="AJ154" s="14">
        <f>AI154*VLOOKUP('Données projet'!$B$10,Paramètres!$A$1:$I$89,3,0)*VLOOKUP('Données projet'!$B$10,Paramètres!$A$1:$I$89,5,0)</f>
        <v>1.195999999937726E-3</v>
      </c>
      <c r="AK154" s="14">
        <f t="shared" ref="AK154:AK203" si="164">EXP(-1.0587+0.8836*LN(AJ154)+0.284)</f>
        <v>1.2062444695752218E-3</v>
      </c>
      <c r="AL154" s="22">
        <f t="shared" ref="AL154:AL203" si="165">(AJ154+AK154)*0.475*44/12</f>
        <v>4.1839091177350513E-3</v>
      </c>
      <c r="AM154" s="62">
        <f t="shared" si="113"/>
        <v>293.33751724245104</v>
      </c>
      <c r="AN154" s="62">
        <f ca="1">AVERAGE(OFFSET($AM$3,0,0,'Données projet'!$E$10+1,1))-AVERAGE(OFFSET($H$3,0,0,'Données projet'!$E$10+1,1))</f>
        <v>164.64952352018145</v>
      </c>
      <c r="AO154" s="62">
        <f t="shared" si="144"/>
        <v>280.08682720086921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7.2576390956973675</v>
      </c>
      <c r="AV154" s="23">
        <f>EXP(-LN(2)/25)*AV153+(1-EXP(-LN(2)/25))/(LN(2)/25)*Calculateur!AQ154*Calculateur!AS154*VLOOKUP('Données projet'!$B$10,Paramètres!$A$1:$I$89,3,0)*0.475*44/12</f>
        <v>1.1231330425837089</v>
      </c>
      <c r="AW154" s="23">
        <f>EXP(-LN(2)/2)*AW153+(1-EXP(-LN(2)/2))/(LN(2)/2)*AQ154*AT154*VLOOKUP('Données projet'!$B$10,Paramètres!$A$1:$I$89,3,0)*0.475*44/12</f>
        <v>3.3255483152915832E-16</v>
      </c>
      <c r="AX154" s="23">
        <f t="shared" ref="AX154:AX203" si="166">SUM(AU154:AW154)</f>
        <v>8.3807721382810758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7.0919999999999961</v>
      </c>
      <c r="BD154" s="13">
        <f>IF('Données projet'!$A$88&gt;35,BD153+BC154-BL153,IF(A154&lt;'Données projet'!$A$88,$BA$205^A154,IF(A154='Données projet'!$A$88,'Données projet'!$B$88,BD153+BC154-BL153)))</f>
        <v>427.37199999999996</v>
      </c>
      <c r="BE154" s="14">
        <f>BD154*VLOOKUP('Données projet'!$B$11,Paramètres!$A$1:$I$89,3,0)*VLOOKUP('Données projet'!$B$11,Paramètres!$A$1:$I$89,5,0)</f>
        <v>360.0181728</v>
      </c>
      <c r="BF154" s="14">
        <f t="shared" ref="BF154:BF203" si="167">EXP(-1.0587+0.8836*LN(BE154)+0.284)</f>
        <v>83.621956669278347</v>
      </c>
      <c r="BG154" s="22">
        <f t="shared" ref="BG154:BG203" si="168">(BE154+BF154)*0.475*44/12</f>
        <v>772.67322549232631</v>
      </c>
      <c r="BH154" s="62">
        <f t="shared" si="116"/>
        <v>1066.0065588256596</v>
      </c>
      <c r="BI154" s="62">
        <f ca="1">AVERAGE(OFFSET($BH$3,0,0,'Données projet'!$E$11+1,1))-AVERAGE(OFFSET($H$3,0,0,'Données projet'!$E$11+1,1))</f>
        <v>339.58585574836434</v>
      </c>
      <c r="BJ154" s="62">
        <f t="shared" si="146"/>
        <v>42.267525972379588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74.017687084710616</v>
      </c>
      <c r="BQ154" s="23">
        <f>EXP(-LN(2)/25)*BQ153+(1-EXP(-LN(2)/25))/(LN(2)/25)*Calculateur!BL154*Calculateur!BN154*VLOOKUP('Données projet'!$B$11,Paramètres!$A$1:$I$89,3,0)*0.475*44/12</f>
        <v>2.3945024439262972</v>
      </c>
      <c r="BR154" s="23">
        <f>EXP(-LN(2)/2)*BR153+(1-EXP(-LN(2)/2))/(LN(2)/2)*BL154*BO154*VLOOKUP('Données projet'!$B$11,Paramètres!$A$1:$I$89,3,0)*0.475*44/12</f>
        <v>1.9170618698549926E-13</v>
      </c>
      <c r="BS154" s="24">
        <f t="shared" ref="BS154:BS203" si="169">SUM(BP154:BR154)</f>
        <v>76.4121895286371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112.34884104798977</v>
      </c>
      <c r="CE154" s="62">
        <f t="shared" si="148"/>
        <v>18.665658139749326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31.210096436304735</v>
      </c>
      <c r="CL154" s="23">
        <f>EXP(-LN(2)/25)*CL153+(1-EXP(-LN(2)/25))/(LN(2)/25)*Calculateur!CG154*Calculateur!CI154*VLOOKUP('Données projet'!$B$12,Paramètres!$A$1:$I$89,3,0)*0.475*44/12</f>
        <v>1.6466589099375448</v>
      </c>
      <c r="CM154" s="23">
        <f>EXP(-LN(2)/2)*CM153+(1-EXP(-LN(2)/2))/(LN(2)/2)*CG154*CJ154*VLOOKUP('Données projet'!$B$12,Paramètres!$A$1:$I$89,3,0)*0.475*44/12</f>
        <v>2.4402520504053362E-15</v>
      </c>
      <c r="CN154" s="24">
        <f t="shared" ref="CN154:CN203" si="172">SUM(CK154:CM154)</f>
        <v>32.856755346242281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-1.1368683772161603E-13</v>
      </c>
      <c r="CU154" s="18">
        <f>CT154*VLOOKUP('Données projet'!$B$13,Paramètres!$A$1:$I$89,3,0)*VLOOKUP('Données projet'!$B$13,Paramètres!$A$1:$I$89,5,0)</f>
        <v>-1.2414602679200469E-13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205.21073681197737</v>
      </c>
      <c r="CZ154" s="62">
        <f t="shared" si="150"/>
        <v>175.16446313750316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11.775409747828851</v>
      </c>
      <c r="DG154" s="23">
        <f>EXP(-LN(2)/25)*DG153+(1-EXP(-LN(2)/25))/(LN(2)/25)*Calculateur!DB154*Calculateur!DD154*VLOOKUP('Données projet'!$B$13,Paramètres!$A$1:$I$89,3,0)*0.475*44/12</f>
        <v>2.5452443700765164</v>
      </c>
      <c r="DH154" s="23">
        <f>EXP(-LN(2)/2)*DH153+(1-EXP(-LN(2)/2))/(LN(2)/2)*DB154*DE154*VLOOKUP('Données projet'!$B$13,Paramètres!$A$1:$I$89,3,0)*0.475*44/12</f>
        <v>2.1804219385110109E-15</v>
      </c>
      <c r="DI154" s="24">
        <f t="shared" ref="DI154:DI203" si="175">SUM(DF154:DH154)</f>
        <v>14.320654117905368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2.2737367544323206E-13</v>
      </c>
      <c r="DP154" s="18">
        <f>DO154*VLOOKUP('Données projet'!$B$14,Paramètres!$A$1:$I$89,3,0)*VLOOKUP('Données projet'!$B$14,Paramètres!$A$1:$I$89,5,0)</f>
        <v>1.8444552551954985E-13</v>
      </c>
      <c r="DQ154" s="14">
        <f t="shared" ref="DQ154:DQ203" si="176">EXP(-1.0587+0.8836*LN(DP154)+0.284)</f>
        <v>2.580317449479618E-12</v>
      </c>
      <c r="DR154" s="22">
        <f t="shared" ref="DR154:DR203" si="177">(DP154+DQ154)*0.475*44/12</f>
        <v>4.8152955147902165E-12</v>
      </c>
      <c r="DS154" s="62">
        <f t="shared" si="125"/>
        <v>293.33333333333815</v>
      </c>
      <c r="DT154" s="62">
        <f ca="1">AVERAGE(OFFSET($DS$3,0,0,'Données projet'!$E$14+1,1))-AVERAGE(OFFSET($H$3,0,0,'Données projet'!$E$14+1,1))</f>
        <v>223.63222290670075</v>
      </c>
      <c r="DU154" s="62">
        <f t="shared" si="152"/>
        <v>290.02663909417248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12.539091343067456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1.9150292944107993E-12</v>
      </c>
      <c r="ED154" s="24">
        <f t="shared" ref="ED154:ED203" si="178">SUM(EA154:EC154)</f>
        <v>12.539091343069371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441.03805972146552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192.24617268603629</v>
      </c>
      <c r="T155" s="62">
        <f t="shared" si="142"/>
        <v>192.48585280662832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14.228330631614016</v>
      </c>
      <c r="AA155" s="23">
        <f>EXP(-LN(2)/25)*AA154+(1-EXP(-LN(2)/25))/(LN(2)/25)*Calculateur!V155*Calculateur!X155*VLOOKUP('Données projet'!$B$9,Paramètres!$A$1:$I$89,3,0)*0.475*44/12</f>
        <v>2.4733750451554983</v>
      </c>
      <c r="AB155" s="23">
        <f>EXP(-LN(2)/2)*AB154+(1-EXP(-LN(2)/2))/(LN(2)/2)*V155*Y155*VLOOKUP('Données projet'!$B$9,Paramètres!$A$1:$I$89,3,0)*0.475*44/12</f>
        <v>5.9638086067448622E-13</v>
      </c>
      <c r="AC155" s="24">
        <f t="shared" si="163"/>
        <v>16.701705676770111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1.9999999998958629E-3</v>
      </c>
      <c r="AJ155" s="14">
        <f>AI155*VLOOKUP('Données projet'!$B$10,Paramètres!$A$1:$I$89,3,0)*VLOOKUP('Données projet'!$B$10,Paramètres!$A$1:$I$89,5,0)</f>
        <v>1.195999999937726E-3</v>
      </c>
      <c r="AK155" s="14">
        <f t="shared" si="164"/>
        <v>1.2062444695752218E-3</v>
      </c>
      <c r="AL155" s="22">
        <f t="shared" si="165"/>
        <v>4.1839091177350513E-3</v>
      </c>
      <c r="AM155" s="62">
        <f t="shared" si="113"/>
        <v>293.33751724245104</v>
      </c>
      <c r="AN155" s="62">
        <f ca="1">AVERAGE(OFFSET($AM$3,0,0,'Données projet'!$E$10+1,1))-AVERAGE(OFFSET($H$3,0,0,'Données projet'!$E$10+1,1))</f>
        <v>164.64952352018145</v>
      </c>
      <c r="AO155" s="62">
        <f t="shared" si="144"/>
        <v>280.08682720086921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7.1153212197534881</v>
      </c>
      <c r="AV155" s="23">
        <f>EXP(-LN(2)/25)*AV154+(1-EXP(-LN(2)/25))/(LN(2)/25)*Calculateur!AQ155*Calculateur!AS155*VLOOKUP('Données projet'!$B$10,Paramètres!$A$1:$I$89,3,0)*0.475*44/12</f>
        <v>1.0924209104712577</v>
      </c>
      <c r="AW155" s="23">
        <f>EXP(-LN(2)/2)*AW154+(1-EXP(-LN(2)/2))/(LN(2)/2)*AQ155*AT155*VLOOKUP('Données projet'!$B$10,Paramètres!$A$1:$I$89,3,0)*0.475*44/12</f>
        <v>2.3515177649061772E-16</v>
      </c>
      <c r="AX155" s="23">
        <f t="shared" si="166"/>
        <v>8.2077421302247462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7.0919999999999961</v>
      </c>
      <c r="BD155" s="13">
        <f>IF('Données projet'!$A$88&gt;35,BD154+BC155-BL154,IF(A155&lt;'Données projet'!$A$88,$BA$205^A155,IF(A155='Données projet'!$A$88,'Données projet'!$B$88,BD154+BC155-BL154)))</f>
        <v>434.46399999999994</v>
      </c>
      <c r="BE155" s="14">
        <f>BD155*VLOOKUP('Données projet'!$B$11,Paramètres!$A$1:$I$89,3,0)*VLOOKUP('Données projet'!$B$11,Paramètres!$A$1:$I$89,5,0)</f>
        <v>365.99247359999998</v>
      </c>
      <c r="BF155" s="14">
        <f t="shared" si="167"/>
        <v>84.846915863251141</v>
      </c>
      <c r="BG155" s="22">
        <f t="shared" si="168"/>
        <v>785.21193664849568</v>
      </c>
      <c r="BH155" s="62">
        <f t="shared" si="116"/>
        <v>1078.5452699818291</v>
      </c>
      <c r="BI155" s="62">
        <f ca="1">AVERAGE(OFFSET($BH$3,0,0,'Données projet'!$E$11+1,1))-AVERAGE(OFFSET($H$3,0,0,'Données projet'!$E$11+1,1))</f>
        <v>339.58585574836434</v>
      </c>
      <c r="BJ155" s="62">
        <f t="shared" si="146"/>
        <v>42.267525972379588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72.56624538731073</v>
      </c>
      <c r="BQ155" s="23">
        <f>EXP(-LN(2)/25)*BQ154+(1-EXP(-LN(2)/25))/(LN(2)/25)*Calculateur!BL155*Calculateur!BN155*VLOOKUP('Données projet'!$B$11,Paramètres!$A$1:$I$89,3,0)*0.475*44/12</f>
        <v>2.3290246486757216</v>
      </c>
      <c r="BR155" s="23">
        <f>EXP(-LN(2)/2)*BR154+(1-EXP(-LN(2)/2))/(LN(2)/2)*BL155*BO155*VLOOKUP('Données projet'!$B$11,Paramètres!$A$1:$I$89,3,0)*0.475*44/12</f>
        <v>1.3555674481286279E-13</v>
      </c>
      <c r="BS155" s="24">
        <f t="shared" si="169"/>
        <v>74.895270035986599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112.34884104798977</v>
      </c>
      <c r="CE155" s="62">
        <f t="shared" si="148"/>
        <v>18.665658139749326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30.598085481467947</v>
      </c>
      <c r="CL155" s="23">
        <f>EXP(-LN(2)/25)*CL154+(1-EXP(-LN(2)/25))/(LN(2)/25)*Calculateur!CG155*Calculateur!CI155*VLOOKUP('Données projet'!$B$12,Paramètres!$A$1:$I$89,3,0)*0.475*44/12</f>
        <v>1.6016309354512741</v>
      </c>
      <c r="CM155" s="23">
        <f>EXP(-LN(2)/2)*CM154+(1-EXP(-LN(2)/2))/(LN(2)/2)*CG155*CJ155*VLOOKUP('Données projet'!$B$12,Paramètres!$A$1:$I$89,3,0)*0.475*44/12</f>
        <v>1.7255187726459901E-15</v>
      </c>
      <c r="CN155" s="24">
        <f t="shared" si="172"/>
        <v>32.199716416919223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-1.1368683772161603E-13</v>
      </c>
      <c r="CU155" s="18">
        <f>CT155*VLOOKUP('Données projet'!$B$13,Paramètres!$A$1:$I$89,3,0)*VLOOKUP('Données projet'!$B$13,Paramètres!$A$1:$I$89,5,0)</f>
        <v>-1.2414602679200469E-13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205.21073681197737</v>
      </c>
      <c r="CZ155" s="62">
        <f t="shared" si="150"/>
        <v>175.16446313750316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11.544501144964681</v>
      </c>
      <c r="DG155" s="23">
        <f>EXP(-LN(2)/25)*DG154+(1-EXP(-LN(2)/25))/(LN(2)/25)*Calculateur!DB155*Calculateur!DD155*VLOOKUP('Données projet'!$B$13,Paramètres!$A$1:$I$89,3,0)*0.475*44/12</f>
        <v>2.4756445289281896</v>
      </c>
      <c r="DH155" s="23">
        <f>EXP(-LN(2)/2)*DH154+(1-EXP(-LN(2)/2))/(LN(2)/2)*DB155*DE155*VLOOKUP('Données projet'!$B$13,Paramètres!$A$1:$I$89,3,0)*0.475*44/12</f>
        <v>1.5417911385690532E-15</v>
      </c>
      <c r="DI155" s="24">
        <f t="shared" si="175"/>
        <v>14.020145673892872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2.2737367544323206E-13</v>
      </c>
      <c r="DP155" s="18">
        <f>DO155*VLOOKUP('Données projet'!$B$14,Paramètres!$A$1:$I$89,3,0)*VLOOKUP('Données projet'!$B$14,Paramètres!$A$1:$I$89,5,0)</f>
        <v>1.8444552551954985E-13</v>
      </c>
      <c r="DQ155" s="14">
        <f t="shared" si="176"/>
        <v>2.580317449479618E-12</v>
      </c>
      <c r="DR155" s="22">
        <f t="shared" si="177"/>
        <v>4.8152955147902165E-12</v>
      </c>
      <c r="DS155" s="62">
        <f t="shared" si="125"/>
        <v>293.33333333333815</v>
      </c>
      <c r="DT155" s="62">
        <f ca="1">AVERAGE(OFFSET($DS$3,0,0,'Données projet'!$E$14+1,1))-AVERAGE(OFFSET($H$3,0,0,'Données projet'!$E$14+1,1))</f>
        <v>223.63222290670075</v>
      </c>
      <c r="DU155" s="62">
        <f t="shared" si="152"/>
        <v>290.02663909417248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12.293207409920436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1.3541302002487656E-12</v>
      </c>
      <c r="ED155" s="24">
        <f t="shared" si="178"/>
        <v>12.29320740992179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442.22044188882654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192.24617268603629</v>
      </c>
      <c r="T156" s="62">
        <f t="shared" si="142"/>
        <v>192.48585280662832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13.949321746352828</v>
      </c>
      <c r="AA156" s="23">
        <f>EXP(-LN(2)/25)*AA155+(1-EXP(-LN(2)/25))/(LN(2)/25)*Calculateur!V156*Calculateur!X156*VLOOKUP('Données projet'!$B$9,Paramètres!$A$1:$I$89,3,0)*0.475*44/12</f>
        <v>2.4057404744765805</v>
      </c>
      <c r="AB156" s="23">
        <f>EXP(-LN(2)/2)*AB155+(1-EXP(-LN(2)/2))/(LN(2)/2)*V156*Y156*VLOOKUP('Données projet'!$B$9,Paramètres!$A$1:$I$89,3,0)*0.475*44/12</f>
        <v>4.2170495075279882E-13</v>
      </c>
      <c r="AC156" s="24">
        <f t="shared" si="163"/>
        <v>16.355062220829833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1.9999999998958629E-3</v>
      </c>
      <c r="AJ156" s="14">
        <f>AI156*VLOOKUP('Données projet'!$B$10,Paramètres!$A$1:$I$89,3,0)*VLOOKUP('Données projet'!$B$10,Paramètres!$A$1:$I$89,5,0)</f>
        <v>1.195999999937726E-3</v>
      </c>
      <c r="AK156" s="14">
        <f t="shared" si="164"/>
        <v>1.2062444695752218E-3</v>
      </c>
      <c r="AL156" s="22">
        <f t="shared" si="165"/>
        <v>4.1839091177350513E-3</v>
      </c>
      <c r="AM156" s="62">
        <f t="shared" si="113"/>
        <v>293.33751724245104</v>
      </c>
      <c r="AN156" s="62">
        <f ca="1">AVERAGE(OFFSET($AM$3,0,0,'Données projet'!$E$10+1,1))-AVERAGE(OFFSET($H$3,0,0,'Données projet'!$E$10+1,1))</f>
        <v>164.64952352018145</v>
      </c>
      <c r="AO156" s="62">
        <f t="shared" si="144"/>
        <v>280.08682720086921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6.9757941105515346</v>
      </c>
      <c r="AV156" s="23">
        <f>EXP(-LN(2)/25)*AV155+(1-EXP(-LN(2)/25))/(LN(2)/25)*Calculateur!AQ156*Calculateur!AS156*VLOOKUP('Données projet'!$B$10,Paramètres!$A$1:$I$89,3,0)*0.475*44/12</f>
        <v>1.0625486032265021</v>
      </c>
      <c r="AW156" s="23">
        <f>EXP(-LN(2)/2)*AW155+(1-EXP(-LN(2)/2))/(LN(2)/2)*AQ156*AT156*VLOOKUP('Données projet'!$B$10,Paramètres!$A$1:$I$89,3,0)*0.475*44/12</f>
        <v>1.6627741576457916E-16</v>
      </c>
      <c r="AX156" s="23">
        <f t="shared" si="166"/>
        <v>8.0383427137780359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7.0919999999999961</v>
      </c>
      <c r="BD156" s="13">
        <f>IF('Données projet'!$A$88&gt;35,BD155+BC156-BL155,IF(A156&lt;'Données projet'!$A$88,$BA$205^A156,IF(A156='Données projet'!$A$88,'Données projet'!$B$88,BD155+BC156-BL155)))</f>
        <v>441.55599999999993</v>
      </c>
      <c r="BE156" s="14">
        <f>BD156*VLOOKUP('Données projet'!$B$11,Paramètres!$A$1:$I$89,3,0)*VLOOKUP('Données projet'!$B$11,Paramètres!$A$1:$I$89,5,0)</f>
        <v>371.96677440000002</v>
      </c>
      <c r="BF156" s="14">
        <f t="shared" si="167"/>
        <v>86.069549658678881</v>
      </c>
      <c r="BG156" s="22">
        <f t="shared" si="168"/>
        <v>797.74659773553242</v>
      </c>
      <c r="BH156" s="62">
        <f t="shared" si="116"/>
        <v>1091.0799310688658</v>
      </c>
      <c r="BI156" s="62">
        <f ca="1">AVERAGE(OFFSET($BH$3,0,0,'Données projet'!$E$11+1,1))-AVERAGE(OFFSET($H$3,0,0,'Données projet'!$E$11+1,1))</f>
        <v>339.58585574836434</v>
      </c>
      <c r="BJ156" s="62">
        <f t="shared" si="146"/>
        <v>42.267525972379588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71.143265576304842</v>
      </c>
      <c r="BQ156" s="23">
        <f>EXP(-LN(2)/25)*BQ155+(1-EXP(-LN(2)/25))/(LN(2)/25)*Calculateur!BL156*Calculateur!BN156*VLOOKUP('Données projet'!$B$11,Paramètres!$A$1:$I$89,3,0)*0.475*44/12</f>
        <v>2.2653373471796008</v>
      </c>
      <c r="BR156" s="23">
        <f>EXP(-LN(2)/2)*BR155+(1-EXP(-LN(2)/2))/(LN(2)/2)*BL156*BO156*VLOOKUP('Données projet'!$B$11,Paramètres!$A$1:$I$89,3,0)*0.475*44/12</f>
        <v>9.5853093492749628E-14</v>
      </c>
      <c r="BS156" s="24">
        <f t="shared" si="169"/>
        <v>73.408602923484537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112.34884104798977</v>
      </c>
      <c r="CE156" s="62">
        <f t="shared" si="148"/>
        <v>18.665658139749326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29.998075688165688</v>
      </c>
      <c r="CL156" s="23">
        <f>EXP(-LN(2)/25)*CL155+(1-EXP(-LN(2)/25))/(LN(2)/25)*Calculateur!CG156*Calculateur!CI156*VLOOKUP('Données projet'!$B$12,Paramètres!$A$1:$I$89,3,0)*0.475*44/12</f>
        <v>1.5578342532952487</v>
      </c>
      <c r="CM156" s="23">
        <f>EXP(-LN(2)/2)*CM155+(1-EXP(-LN(2)/2))/(LN(2)/2)*CG156*CJ156*VLOOKUP('Données projet'!$B$12,Paramètres!$A$1:$I$89,3,0)*0.475*44/12</f>
        <v>1.2201260252026681E-15</v>
      </c>
      <c r="CN156" s="24">
        <f t="shared" si="172"/>
        <v>31.555909941460936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-1.1368683772161603E-13</v>
      </c>
      <c r="CU156" s="18">
        <f>CT156*VLOOKUP('Données projet'!$B$13,Paramètres!$A$1:$I$89,3,0)*VLOOKUP('Données projet'!$B$13,Paramètres!$A$1:$I$89,5,0)</f>
        <v>-1.2414602679200469E-13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205.21073681197737</v>
      </c>
      <c r="CZ156" s="62">
        <f t="shared" si="150"/>
        <v>175.16446313750316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11.318120518962337</v>
      </c>
      <c r="DG156" s="23">
        <f>EXP(-LN(2)/25)*DG155+(1-EXP(-LN(2)/25))/(LN(2)/25)*Calculateur!DB156*Calculateur!DD156*VLOOKUP('Données projet'!$B$13,Paramètres!$A$1:$I$89,3,0)*0.475*44/12</f>
        <v>2.4079478990961607</v>
      </c>
      <c r="DH156" s="23">
        <f>EXP(-LN(2)/2)*DH155+(1-EXP(-LN(2)/2))/(LN(2)/2)*DB156*DE156*VLOOKUP('Données projet'!$B$13,Paramètres!$A$1:$I$89,3,0)*0.475*44/12</f>
        <v>1.0902109692555055E-15</v>
      </c>
      <c r="DI156" s="24">
        <f t="shared" si="175"/>
        <v>13.7260684180585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2.2737367544323206E-13</v>
      </c>
      <c r="DP156" s="18">
        <f>DO156*VLOOKUP('Données projet'!$B$14,Paramètres!$A$1:$I$89,3,0)*VLOOKUP('Données projet'!$B$14,Paramètres!$A$1:$I$89,5,0)</f>
        <v>1.8444552551954985E-13</v>
      </c>
      <c r="DQ156" s="14">
        <f t="shared" si="176"/>
        <v>2.580317449479618E-12</v>
      </c>
      <c r="DR156" s="22">
        <f t="shared" si="177"/>
        <v>4.8152955147902165E-12</v>
      </c>
      <c r="DS156" s="62">
        <f t="shared" si="125"/>
        <v>293.33333333333815</v>
      </c>
      <c r="DT156" s="62">
        <f ca="1">AVERAGE(OFFSET($DS$3,0,0,'Données projet'!$E$14+1,1))-AVERAGE(OFFSET($H$3,0,0,'Données projet'!$E$14+1,1))</f>
        <v>223.63222290670075</v>
      </c>
      <c r="DU156" s="62">
        <f t="shared" si="152"/>
        <v>290.02663909417248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12.05214511072804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9.5751464720539967E-13</v>
      </c>
      <c r="ED156" s="24">
        <f t="shared" si="178"/>
        <v>12.052145110728997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443.40264805185802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192.24617268603629</v>
      </c>
      <c r="T157" s="62">
        <f t="shared" si="142"/>
        <v>192.48585280662832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13.675784055152995</v>
      </c>
      <c r="AA157" s="23">
        <f>EXP(-LN(2)/25)*AA156+(1-EXP(-LN(2)/25))/(LN(2)/25)*Calculateur!V157*Calculateur!X157*VLOOKUP('Données projet'!$B$9,Paramètres!$A$1:$I$89,3,0)*0.475*44/12</f>
        <v>2.3399553746896253</v>
      </c>
      <c r="AB157" s="23">
        <f>EXP(-LN(2)/2)*AB156+(1-EXP(-LN(2)/2))/(LN(2)/2)*V157*Y157*VLOOKUP('Données projet'!$B$9,Paramètres!$A$1:$I$89,3,0)*0.475*44/12</f>
        <v>2.9819043033724311E-13</v>
      </c>
      <c r="AC157" s="24">
        <f t="shared" si="163"/>
        <v>16.01573942984292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1.9999999998958629E-3</v>
      </c>
      <c r="AJ157" s="14">
        <f>AI157*VLOOKUP('Données projet'!$B$10,Paramètres!$A$1:$I$89,3,0)*VLOOKUP('Données projet'!$B$10,Paramètres!$A$1:$I$89,5,0)</f>
        <v>1.195999999937726E-3</v>
      </c>
      <c r="AK157" s="14">
        <f t="shared" si="164"/>
        <v>1.2062444695752218E-3</v>
      </c>
      <c r="AL157" s="22">
        <f t="shared" si="165"/>
        <v>4.1839091177350513E-3</v>
      </c>
      <c r="AM157" s="62">
        <f t="shared" si="113"/>
        <v>293.33751724245104</v>
      </c>
      <c r="AN157" s="62">
        <f ca="1">AVERAGE(OFFSET($AM$3,0,0,'Données projet'!$E$10+1,1))-AVERAGE(OFFSET($H$3,0,0,'Données projet'!$E$10+1,1))</f>
        <v>164.64952352018145</v>
      </c>
      <c r="AO157" s="62">
        <f t="shared" si="144"/>
        <v>280.08682720086921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6.8390030428578985</v>
      </c>
      <c r="AV157" s="23">
        <f>EXP(-LN(2)/25)*AV156+(1-EXP(-LN(2)/25))/(LN(2)/25)*Calculateur!AQ157*Calculateur!AS157*VLOOKUP('Données projet'!$B$10,Paramètres!$A$1:$I$89,3,0)*0.475*44/12</f>
        <v>1.0334931557942708</v>
      </c>
      <c r="AW157" s="23">
        <f>EXP(-LN(2)/2)*AW156+(1-EXP(-LN(2)/2))/(LN(2)/2)*AQ157*AT157*VLOOKUP('Données projet'!$B$10,Paramètres!$A$1:$I$89,3,0)*0.475*44/12</f>
        <v>1.1757588824530886E-16</v>
      </c>
      <c r="AX157" s="23">
        <f t="shared" si="166"/>
        <v>7.8724961986521693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7.0919999999999961</v>
      </c>
      <c r="BD157" s="13">
        <f>IF('Données projet'!$A$88&gt;35,BD156+BC157-BL156,IF(A157&lt;'Données projet'!$A$88,$BA$205^A157,IF(A157='Données projet'!$A$88,'Données projet'!$B$88,BD156+BC157-BL156)))</f>
        <v>448.64799999999991</v>
      </c>
      <c r="BE157" s="14">
        <f>BD157*VLOOKUP('Données projet'!$B$11,Paramètres!$A$1:$I$89,3,0)*VLOOKUP('Données projet'!$B$11,Paramètres!$A$1:$I$89,5,0)</f>
        <v>377.94107519999994</v>
      </c>
      <c r="BF157" s="14">
        <f t="shared" si="167"/>
        <v>87.289899716771146</v>
      </c>
      <c r="BG157" s="22">
        <f t="shared" si="168"/>
        <v>810.27728131337619</v>
      </c>
      <c r="BH157" s="62">
        <f t="shared" si="116"/>
        <v>1103.6106146467096</v>
      </c>
      <c r="BI157" s="62">
        <f ca="1">AVERAGE(OFFSET($BH$3,0,0,'Données projet'!$E$11+1,1))-AVERAGE(OFFSET($H$3,0,0,'Données projet'!$E$11+1,1))</f>
        <v>339.58585574836434</v>
      </c>
      <c r="BJ157" s="62">
        <f t="shared" si="146"/>
        <v>42.267525972379588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69.748189531460795</v>
      </c>
      <c r="BQ157" s="23">
        <f>EXP(-LN(2)/25)*BQ156+(1-EXP(-LN(2)/25))/(LN(2)/25)*Calculateur!BL157*Calculateur!BN157*VLOOKUP('Données projet'!$B$11,Paramètres!$A$1:$I$89,3,0)*0.475*44/12</f>
        <v>2.2033915782920612</v>
      </c>
      <c r="BR157" s="23">
        <f>EXP(-LN(2)/2)*BR156+(1-EXP(-LN(2)/2))/(LN(2)/2)*BL157*BO157*VLOOKUP('Données projet'!$B$11,Paramètres!$A$1:$I$89,3,0)*0.475*44/12</f>
        <v>6.7778372406431393E-14</v>
      </c>
      <c r="BS157" s="24">
        <f t="shared" si="169"/>
        <v>71.951581109752922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112.34884104798977</v>
      </c>
      <c r="CE157" s="62">
        <f t="shared" si="148"/>
        <v>18.665658139749326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29.409831720940247</v>
      </c>
      <c r="CL157" s="23">
        <f>EXP(-LN(2)/25)*CL156+(1-EXP(-LN(2)/25))/(LN(2)/25)*Calculateur!CG157*Calculateur!CI157*VLOOKUP('Données projet'!$B$12,Paramètres!$A$1:$I$89,3,0)*0.475*44/12</f>
        <v>1.5152351937159472</v>
      </c>
      <c r="CM157" s="23">
        <f>EXP(-LN(2)/2)*CM156+(1-EXP(-LN(2)/2))/(LN(2)/2)*CG157*CJ157*VLOOKUP('Données projet'!$B$12,Paramètres!$A$1:$I$89,3,0)*0.475*44/12</f>
        <v>8.6275938632299503E-16</v>
      </c>
      <c r="CN157" s="24">
        <f t="shared" si="172"/>
        <v>30.925066914656195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-1.1368683772161603E-13</v>
      </c>
      <c r="CU157" s="18">
        <f>CT157*VLOOKUP('Données projet'!$B$13,Paramètres!$A$1:$I$89,3,0)*VLOOKUP('Données projet'!$B$13,Paramètres!$A$1:$I$89,5,0)</f>
        <v>-1.2414602679200469E-13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205.21073681197737</v>
      </c>
      <c r="CZ157" s="62">
        <f t="shared" si="150"/>
        <v>175.16446313750316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11.09617907895735</v>
      </c>
      <c r="DG157" s="23">
        <f>EXP(-LN(2)/25)*DG156+(1-EXP(-LN(2)/25))/(LN(2)/25)*Calculateur!DB157*Calculateur!DD157*VLOOKUP('Données projet'!$B$13,Paramètres!$A$1:$I$89,3,0)*0.475*44/12</f>
        <v>2.3421024371668997</v>
      </c>
      <c r="DH157" s="23">
        <f>EXP(-LN(2)/2)*DH156+(1-EXP(-LN(2)/2))/(LN(2)/2)*DB157*DE157*VLOOKUP('Données projet'!$B$13,Paramètres!$A$1:$I$89,3,0)*0.475*44/12</f>
        <v>7.708955692845266E-16</v>
      </c>
      <c r="DI157" s="24">
        <f t="shared" si="175"/>
        <v>13.438281516124249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2.2737367544323206E-13</v>
      </c>
      <c r="DP157" s="18">
        <f>DO157*VLOOKUP('Données projet'!$B$14,Paramètres!$A$1:$I$89,3,0)*VLOOKUP('Données projet'!$B$14,Paramètres!$A$1:$I$89,5,0)</f>
        <v>1.8444552551954985E-13</v>
      </c>
      <c r="DQ157" s="14">
        <f t="shared" si="176"/>
        <v>2.580317449479618E-12</v>
      </c>
      <c r="DR157" s="22">
        <f t="shared" si="177"/>
        <v>4.8152955147902165E-12</v>
      </c>
      <c r="DS157" s="62">
        <f t="shared" si="125"/>
        <v>293.33333333333815</v>
      </c>
      <c r="DT157" s="62">
        <f ca="1">AVERAGE(OFFSET($DS$3,0,0,'Données projet'!$E$14+1,1))-AVERAGE(OFFSET($H$3,0,0,'Données projet'!$E$14+1,1))</f>
        <v>223.63222290670075</v>
      </c>
      <c r="DU157" s="62">
        <f t="shared" si="152"/>
        <v>290.02663909417248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11.815809896189322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6.770651001243828E-13</v>
      </c>
      <c r="ED157" s="24">
        <f t="shared" si="178"/>
        <v>11.815809896189998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444.58467948601304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192.24617268603629</v>
      </c>
      <c r="T158" s="62">
        <f t="shared" si="142"/>
        <v>192.48585280662832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13.407610271236074</v>
      </c>
      <c r="AA158" s="23">
        <f>EXP(-LN(2)/25)*AA157+(1-EXP(-LN(2)/25))/(LN(2)/25)*Calculateur!V158*Calculateur!X158*VLOOKUP('Données projet'!$B$9,Paramètres!$A$1:$I$89,3,0)*0.475*44/12</f>
        <v>2.2759691719158326</v>
      </c>
      <c r="AB158" s="23">
        <f>EXP(-LN(2)/2)*AB157+(1-EXP(-LN(2)/2))/(LN(2)/2)*V158*Y158*VLOOKUP('Données projet'!$B$9,Paramètres!$A$1:$I$89,3,0)*0.475*44/12</f>
        <v>2.1085247537639941E-13</v>
      </c>
      <c r="AC158" s="24">
        <f t="shared" si="163"/>
        <v>15.683579443152118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1.9999999998958629E-3</v>
      </c>
      <c r="AJ158" s="14">
        <f>AI158*VLOOKUP('Données projet'!$B$10,Paramètres!$A$1:$I$89,3,0)*VLOOKUP('Données projet'!$B$10,Paramètres!$A$1:$I$89,5,0)</f>
        <v>1.195999999937726E-3</v>
      </c>
      <c r="AK158" s="14">
        <f t="shared" si="164"/>
        <v>1.2062444695752218E-3</v>
      </c>
      <c r="AL158" s="22">
        <f t="shared" si="165"/>
        <v>4.1839091177350513E-3</v>
      </c>
      <c r="AM158" s="62">
        <f t="shared" si="113"/>
        <v>293.33751724245104</v>
      </c>
      <c r="AN158" s="62">
        <f ca="1">AVERAGE(OFFSET($AM$3,0,0,'Données projet'!$E$10+1,1))-AVERAGE(OFFSET($H$3,0,0,'Données projet'!$E$10+1,1))</f>
        <v>164.64952352018145</v>
      </c>
      <c r="AO158" s="62">
        <f t="shared" si="144"/>
        <v>280.08682720086921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6.7048943645674219</v>
      </c>
      <c r="AV158" s="23">
        <f>EXP(-LN(2)/25)*AV157+(1-EXP(-LN(2)/25))/(LN(2)/25)*Calculateur!AQ158*Calculateur!AS158*VLOOKUP('Données projet'!$B$10,Paramètres!$A$1:$I$89,3,0)*0.475*44/12</f>
        <v>1.0052322311000335</v>
      </c>
      <c r="AW158" s="23">
        <f>EXP(-LN(2)/2)*AW157+(1-EXP(-LN(2)/2))/(LN(2)/2)*AQ158*AT158*VLOOKUP('Données projet'!$B$10,Paramètres!$A$1:$I$89,3,0)*0.475*44/12</f>
        <v>8.313870788228958E-17</v>
      </c>
      <c r="AX158" s="23">
        <f t="shared" si="166"/>
        <v>7.7101265956674556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7.0919999999999961</v>
      </c>
      <c r="BD158" s="13">
        <f>IF('Données projet'!$A$88&gt;35,BD157+BC158-BL157,IF(A158&lt;'Données projet'!$A$88,$BA$205^A158,IF(A158='Données projet'!$A$88,'Données projet'!$B$88,BD157+BC158-BL157)))</f>
        <v>455.7399999999999</v>
      </c>
      <c r="BE158" s="14">
        <f>BD158*VLOOKUP('Données projet'!$B$11,Paramètres!$A$1:$I$89,3,0)*VLOOKUP('Données projet'!$B$11,Paramètres!$A$1:$I$89,5,0)</f>
        <v>383.91537599999992</v>
      </c>
      <c r="BF158" s="14">
        <f t="shared" si="167"/>
        <v>88.508006306071223</v>
      </c>
      <c r="BG158" s="22">
        <f t="shared" si="168"/>
        <v>822.80405751640728</v>
      </c>
      <c r="BH158" s="62">
        <f t="shared" si="116"/>
        <v>1116.1373908497405</v>
      </c>
      <c r="BI158" s="62">
        <f ca="1">AVERAGE(OFFSET($BH$3,0,0,'Données projet'!$E$11+1,1))-AVERAGE(OFFSET($H$3,0,0,'Données projet'!$E$11+1,1))</f>
        <v>339.58585574836434</v>
      </c>
      <c r="BJ158" s="62">
        <f t="shared" si="146"/>
        <v>42.267525972379588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68.380470076943766</v>
      </c>
      <c r="BQ158" s="23">
        <f>EXP(-LN(2)/25)*BQ157+(1-EXP(-LN(2)/25))/(LN(2)/25)*Calculateur!BL158*Calculateur!BN158*VLOOKUP('Données projet'!$B$11,Paramètres!$A$1:$I$89,3,0)*0.475*44/12</f>
        <v>2.1431397197123374</v>
      </c>
      <c r="BR158" s="23">
        <f>EXP(-LN(2)/2)*BR157+(1-EXP(-LN(2)/2))/(LN(2)/2)*BL158*BO158*VLOOKUP('Données projet'!$B$11,Paramètres!$A$1:$I$89,3,0)*0.475*44/12</f>
        <v>4.7926546746374814E-14</v>
      </c>
      <c r="BS158" s="24">
        <f t="shared" si="169"/>
        <v>70.523609796656146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112.34884104798977</v>
      </c>
      <c r="CE158" s="62">
        <f t="shared" si="148"/>
        <v>18.665658139749326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28.833122859118706</v>
      </c>
      <c r="CL158" s="23">
        <f>EXP(-LN(2)/25)*CL157+(1-EXP(-LN(2)/25))/(LN(2)/25)*Calculateur!CG158*Calculateur!CI158*VLOOKUP('Données projet'!$B$12,Paramètres!$A$1:$I$89,3,0)*0.475*44/12</f>
        <v>1.4738010076610288</v>
      </c>
      <c r="CM158" s="23">
        <f>EXP(-LN(2)/2)*CM157+(1-EXP(-LN(2)/2))/(LN(2)/2)*CG158*CJ158*VLOOKUP('Données projet'!$B$12,Paramètres!$A$1:$I$89,3,0)*0.475*44/12</f>
        <v>6.1006301260133406E-16</v>
      </c>
      <c r="CN158" s="24">
        <f t="shared" si="172"/>
        <v>30.306923866779734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-1.1368683772161603E-13</v>
      </c>
      <c r="CU158" s="18">
        <f>CT158*VLOOKUP('Données projet'!$B$13,Paramètres!$A$1:$I$89,3,0)*VLOOKUP('Données projet'!$B$13,Paramètres!$A$1:$I$89,5,0)</f>
        <v>-1.2414602679200469E-13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205.21073681197737</v>
      </c>
      <c r="CZ158" s="62">
        <f t="shared" si="150"/>
        <v>175.16446313750316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10.87858977521995</v>
      </c>
      <c r="DG158" s="23">
        <f>EXP(-LN(2)/25)*DG157+(1-EXP(-LN(2)/25))/(LN(2)/25)*Calculateur!DB158*Calculateur!DD158*VLOOKUP('Données projet'!$B$13,Paramètres!$A$1:$I$89,3,0)*0.475*44/12</f>
        <v>2.2780575228567566</v>
      </c>
      <c r="DH158" s="23">
        <f>EXP(-LN(2)/2)*DH157+(1-EXP(-LN(2)/2))/(LN(2)/2)*DB158*DE158*VLOOKUP('Données projet'!$B$13,Paramètres!$A$1:$I$89,3,0)*0.475*44/12</f>
        <v>5.4510548462775273E-16</v>
      </c>
      <c r="DI158" s="24">
        <f t="shared" si="175"/>
        <v>13.156647298076706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2.2737367544323206E-13</v>
      </c>
      <c r="DP158" s="18">
        <f>DO158*VLOOKUP('Données projet'!$B$14,Paramètres!$A$1:$I$89,3,0)*VLOOKUP('Données projet'!$B$14,Paramètres!$A$1:$I$89,5,0)</f>
        <v>1.8444552551954985E-13</v>
      </c>
      <c r="DQ158" s="14">
        <f t="shared" si="176"/>
        <v>2.580317449479618E-12</v>
      </c>
      <c r="DR158" s="22">
        <f t="shared" si="177"/>
        <v>4.8152955147902165E-12</v>
      </c>
      <c r="DS158" s="62">
        <f t="shared" si="125"/>
        <v>293.33333333333815</v>
      </c>
      <c r="DT158" s="62">
        <f ca="1">AVERAGE(OFFSET($DS$3,0,0,'Données projet'!$E$14+1,1))-AVERAGE(OFFSET($H$3,0,0,'Données projet'!$E$14+1,1))</f>
        <v>223.63222290670075</v>
      </c>
      <c r="DU158" s="62">
        <f t="shared" si="152"/>
        <v>290.02663909417248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11.58410907105746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4.7875732360269983E-13</v>
      </c>
      <c r="ED158" s="24">
        <f t="shared" si="178"/>
        <v>11.58410907105794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445.76653744933537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192.24617268603629</v>
      </c>
      <c r="T159" s="62">
        <f t="shared" si="142"/>
        <v>192.48585280662832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13.144695211651905</v>
      </c>
      <c r="AA159" s="23">
        <f>EXP(-LN(2)/25)*AA158+(1-EXP(-LN(2)/25))/(LN(2)/25)*Calculateur!V159*Calculateur!X159*VLOOKUP('Données projet'!$B$9,Paramètres!$A$1:$I$89,3,0)*0.475*44/12</f>
        <v>2.2137326752217774</v>
      </c>
      <c r="AB159" s="23">
        <f>EXP(-LN(2)/2)*AB158+(1-EXP(-LN(2)/2))/(LN(2)/2)*V159*Y159*VLOOKUP('Données projet'!$B$9,Paramètres!$A$1:$I$89,3,0)*0.475*44/12</f>
        <v>1.4909521516862156E-13</v>
      </c>
      <c r="AC159" s="24">
        <f t="shared" si="163"/>
        <v>15.358427886873832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1.9999999998958629E-3</v>
      </c>
      <c r="AJ159" s="14">
        <f>AI159*VLOOKUP('Données projet'!$B$10,Paramètres!$A$1:$I$89,3,0)*VLOOKUP('Données projet'!$B$10,Paramètres!$A$1:$I$89,5,0)</f>
        <v>1.195999999937726E-3</v>
      </c>
      <c r="AK159" s="14">
        <f t="shared" si="164"/>
        <v>1.2062444695752218E-3</v>
      </c>
      <c r="AL159" s="22">
        <f t="shared" si="165"/>
        <v>4.1839091177350513E-3</v>
      </c>
      <c r="AM159" s="62">
        <f t="shared" si="113"/>
        <v>293.33751724245104</v>
      </c>
      <c r="AN159" s="62">
        <f ca="1">AVERAGE(OFFSET($AM$3,0,0,'Données projet'!$E$10+1,1))-AVERAGE(OFFSET($H$3,0,0,'Données projet'!$E$10+1,1))</f>
        <v>164.64952352018145</v>
      </c>
      <c r="AO159" s="62">
        <f t="shared" si="144"/>
        <v>280.08682720086921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6.5734154756600045</v>
      </c>
      <c r="AV159" s="23">
        <f>EXP(-LN(2)/25)*AV158+(1-EXP(-LN(2)/25))/(LN(2)/25)*Calculateur!AQ159*Calculateur!AS159*VLOOKUP('Données projet'!$B$10,Paramètres!$A$1:$I$89,3,0)*0.475*44/12</f>
        <v>0.9777441028777375</v>
      </c>
      <c r="AW159" s="23">
        <f>EXP(-LN(2)/2)*AW158+(1-EXP(-LN(2)/2))/(LN(2)/2)*AQ159*AT159*VLOOKUP('Données projet'!$B$10,Paramètres!$A$1:$I$89,3,0)*0.475*44/12</f>
        <v>5.8787944122654431E-17</v>
      </c>
      <c r="AX159" s="23">
        <f t="shared" si="166"/>
        <v>7.5511595785377423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7.0919999999999961</v>
      </c>
      <c r="BD159" s="13">
        <f>IF('Données projet'!$A$88&gt;35,BD158+BC159-BL158,IF(A159&lt;'Données projet'!$A$88,$BA$205^A159,IF(A159='Données projet'!$A$88,'Données projet'!$B$88,BD158+BC159-BL158)))</f>
        <v>462.83199999999988</v>
      </c>
      <c r="BE159" s="14">
        <f>BD159*VLOOKUP('Données projet'!$B$11,Paramètres!$A$1:$I$89,3,0)*VLOOKUP('Données projet'!$B$11,Paramètres!$A$1:$I$89,5,0)</f>
        <v>389.88967679999996</v>
      </c>
      <c r="BF159" s="14">
        <f t="shared" si="167"/>
        <v>89.723908369943672</v>
      </c>
      <c r="BG159" s="22">
        <f t="shared" si="168"/>
        <v>835.32699417098502</v>
      </c>
      <c r="BH159" s="62">
        <f t="shared" si="116"/>
        <v>1128.6603275043183</v>
      </c>
      <c r="BI159" s="62">
        <f ca="1">AVERAGE(OFFSET($BH$3,0,0,'Données projet'!$E$11+1,1))-AVERAGE(OFFSET($H$3,0,0,'Données projet'!$E$11+1,1))</f>
        <v>339.58585574836434</v>
      </c>
      <c r="BJ159" s="62">
        <f t="shared" si="146"/>
        <v>42.267525972379588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67.039570766703321</v>
      </c>
      <c r="BQ159" s="23">
        <f>EXP(-LN(2)/25)*BQ158+(1-EXP(-LN(2)/25))/(LN(2)/25)*Calculateur!BL159*Calculateur!BN159*VLOOKUP('Données projet'!$B$11,Paramètres!$A$1:$I$89,3,0)*0.475*44/12</f>
        <v>2.0845354513739838</v>
      </c>
      <c r="BR159" s="23">
        <f>EXP(-LN(2)/2)*BR158+(1-EXP(-LN(2)/2))/(LN(2)/2)*BL159*BO159*VLOOKUP('Données projet'!$B$11,Paramètres!$A$1:$I$89,3,0)*0.475*44/12</f>
        <v>3.3889186203215696E-14</v>
      </c>
      <c r="BS159" s="24">
        <f t="shared" si="169"/>
        <v>69.12410621807733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112.34884104798977</v>
      </c>
      <c r="CE159" s="62">
        <f t="shared" si="148"/>
        <v>18.665658139749326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28.267722906319815</v>
      </c>
      <c r="CL159" s="23">
        <f>EXP(-LN(2)/25)*CL158+(1-EXP(-LN(2)/25))/(LN(2)/25)*Calculateur!CG159*Calculateur!CI159*VLOOKUP('Données projet'!$B$12,Paramètres!$A$1:$I$89,3,0)*0.475*44/12</f>
        <v>1.4334998416027114</v>
      </c>
      <c r="CM159" s="23">
        <f>EXP(-LN(2)/2)*CM158+(1-EXP(-LN(2)/2))/(LN(2)/2)*CG159*CJ159*VLOOKUP('Données projet'!$B$12,Paramètres!$A$1:$I$89,3,0)*0.475*44/12</f>
        <v>4.3137969316149751E-16</v>
      </c>
      <c r="CN159" s="24">
        <f t="shared" si="172"/>
        <v>29.701222747922525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-1.1368683772161603E-13</v>
      </c>
      <c r="CU159" s="18">
        <f>CT159*VLOOKUP('Données projet'!$B$13,Paramètres!$A$1:$I$89,3,0)*VLOOKUP('Données projet'!$B$13,Paramètres!$A$1:$I$89,5,0)</f>
        <v>-1.2414602679200469E-13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205.21073681197737</v>
      </c>
      <c r="CZ159" s="62">
        <f t="shared" si="150"/>
        <v>175.16446313750316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10.665267265012471</v>
      </c>
      <c r="DG159" s="23">
        <f>EXP(-LN(2)/25)*DG158+(1-EXP(-LN(2)/25))/(LN(2)/25)*Calculateur!DB159*Calculateur!DD159*VLOOKUP('Données projet'!$B$13,Paramètres!$A$1:$I$89,3,0)*0.475*44/12</f>
        <v>2.2157639200963999</v>
      </c>
      <c r="DH159" s="23">
        <f>EXP(-LN(2)/2)*DH158+(1-EXP(-LN(2)/2))/(LN(2)/2)*DB159*DE159*VLOOKUP('Données projet'!$B$13,Paramètres!$A$1:$I$89,3,0)*0.475*44/12</f>
        <v>3.854477846422633E-16</v>
      </c>
      <c r="DI159" s="24">
        <f t="shared" si="175"/>
        <v>12.881031185108871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2.2737367544323206E-13</v>
      </c>
      <c r="DP159" s="18">
        <f>DO159*VLOOKUP('Données projet'!$B$14,Paramètres!$A$1:$I$89,3,0)*VLOOKUP('Données projet'!$B$14,Paramètres!$A$1:$I$89,5,0)</f>
        <v>1.8444552551954985E-13</v>
      </c>
      <c r="DQ159" s="14">
        <f t="shared" si="176"/>
        <v>2.580317449479618E-12</v>
      </c>
      <c r="DR159" s="22">
        <f t="shared" si="177"/>
        <v>4.8152955147902165E-12</v>
      </c>
      <c r="DS159" s="62">
        <f t="shared" si="125"/>
        <v>293.33333333333815</v>
      </c>
      <c r="DT159" s="62">
        <f ca="1">AVERAGE(OFFSET($DS$3,0,0,'Données projet'!$E$14+1,1))-AVERAGE(OFFSET($H$3,0,0,'Données projet'!$E$14+1,1))</f>
        <v>223.63222290670075</v>
      </c>
      <c r="DU159" s="62">
        <f t="shared" si="152"/>
        <v>290.02663909417248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11.356951757782886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3.385325500621914E-13</v>
      </c>
      <c r="ED159" s="24">
        <f t="shared" si="178"/>
        <v>11.356951757783225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446.94822318280762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192.24617268603629</v>
      </c>
      <c r="T160" s="62">
        <f t="shared" si="142"/>
        <v>192.48585280662832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12.886935756023831</v>
      </c>
      <c r="AA160" s="23">
        <f>EXP(-LN(2)/25)*AA159+(1-EXP(-LN(2)/25))/(LN(2)/25)*Calculateur!V160*Calculateur!X160*VLOOKUP('Données projet'!$B$9,Paramètres!$A$1:$I$89,3,0)*0.475*44/12</f>
        <v>2.1531980388026959</v>
      </c>
      <c r="AB160" s="23">
        <f>EXP(-LN(2)/2)*AB159+(1-EXP(-LN(2)/2))/(LN(2)/2)*V160*Y160*VLOOKUP('Données projet'!$B$9,Paramètres!$A$1:$I$89,3,0)*0.475*44/12</f>
        <v>1.054262376881997E-13</v>
      </c>
      <c r="AC160" s="24">
        <f t="shared" si="163"/>
        <v>15.040133794826632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1.9999999998958629E-3</v>
      </c>
      <c r="AJ160" s="14">
        <f>AI160*VLOOKUP('Données projet'!$B$10,Paramètres!$A$1:$I$89,3,0)*VLOOKUP('Données projet'!$B$10,Paramètres!$A$1:$I$89,5,0)</f>
        <v>1.195999999937726E-3</v>
      </c>
      <c r="AK160" s="14">
        <f t="shared" si="164"/>
        <v>1.2062444695752218E-3</v>
      </c>
      <c r="AL160" s="22">
        <f t="shared" si="165"/>
        <v>4.1839091177350513E-3</v>
      </c>
      <c r="AM160" s="62">
        <f t="shared" si="113"/>
        <v>293.33751724245104</v>
      </c>
      <c r="AN160" s="62">
        <f ca="1">AVERAGE(OFFSET($AM$3,0,0,'Données projet'!$E$10+1,1))-AVERAGE(OFFSET($H$3,0,0,'Données projet'!$E$10+1,1))</f>
        <v>164.64952352018145</v>
      </c>
      <c r="AO160" s="62">
        <f t="shared" si="144"/>
        <v>280.08682720086921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6.444514807569858</v>
      </c>
      <c r="AV160" s="23">
        <f>EXP(-LN(2)/25)*AV159+(1-EXP(-LN(2)/25))/(LN(2)/25)*Calculateur!AQ160*Calculateur!AS160*VLOOKUP('Données projet'!$B$10,Paramètres!$A$1:$I$89,3,0)*0.475*44/12</f>
        <v>0.95100763896721807</v>
      </c>
      <c r="AW160" s="23">
        <f>EXP(-LN(2)/2)*AW159+(1-EXP(-LN(2)/2))/(LN(2)/2)*AQ160*AT160*VLOOKUP('Données projet'!$B$10,Paramètres!$A$1:$I$89,3,0)*0.475*44/12</f>
        <v>4.156935394114479E-17</v>
      </c>
      <c r="AX160" s="23">
        <f t="shared" si="166"/>
        <v>7.3955224465370764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7.0919999999999961</v>
      </c>
      <c r="BD160" s="13">
        <f>IF('Données projet'!$A$88&gt;35,BD159+BC160-BL159,IF(A160&lt;'Données projet'!$A$88,$BA$205^A160,IF(A160='Données projet'!$A$88,'Données projet'!$B$88,BD159+BC160-BL159)))</f>
        <v>469.92399999999986</v>
      </c>
      <c r="BE160" s="14">
        <f>BD160*VLOOKUP('Données projet'!$B$11,Paramètres!$A$1:$I$89,3,0)*VLOOKUP('Données projet'!$B$11,Paramètres!$A$1:$I$89,5,0)</f>
        <v>395.86397759999994</v>
      </c>
      <c r="BF160" s="14">
        <f t="shared" si="167"/>
        <v>90.937643589809127</v>
      </c>
      <c r="BG160" s="22">
        <f t="shared" si="168"/>
        <v>847.84615690558405</v>
      </c>
      <c r="BH160" s="62">
        <f t="shared" si="116"/>
        <v>1141.1794902389174</v>
      </c>
      <c r="BI160" s="62">
        <f ca="1">AVERAGE(OFFSET($BH$3,0,0,'Données projet'!$E$11+1,1))-AVERAGE(OFFSET($H$3,0,0,'Données projet'!$E$11+1,1))</f>
        <v>339.58585574836434</v>
      </c>
      <c r="BJ160" s="62">
        <f t="shared" si="146"/>
        <v>42.267525972379588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65.724965674068869</v>
      </c>
      <c r="BQ160" s="23">
        <f>EXP(-LN(2)/25)*BQ159+(1-EXP(-LN(2)/25))/(LN(2)/25)*Calculateur!BL160*Calculateur!BN160*VLOOKUP('Données projet'!$B$11,Paramètres!$A$1:$I$89,3,0)*0.475*44/12</f>
        <v>2.027533719835207</v>
      </c>
      <c r="BR160" s="23">
        <f>EXP(-LN(2)/2)*BR159+(1-EXP(-LN(2)/2))/(LN(2)/2)*BL160*BO160*VLOOKUP('Données projet'!$B$11,Paramètres!$A$1:$I$89,3,0)*0.475*44/12</f>
        <v>2.3963273373187407E-14</v>
      </c>
      <c r="BS160" s="24">
        <f t="shared" si="169"/>
        <v>67.752499393904102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112.34884104798977</v>
      </c>
      <c r="CE160" s="62">
        <f t="shared" si="148"/>
        <v>18.665658139749326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27.713410101735388</v>
      </c>
      <c r="CL160" s="23">
        <f>EXP(-LN(2)/25)*CL159+(1-EXP(-LN(2)/25))/(LN(2)/25)*Calculateur!CG160*Calculateur!CI160*VLOOKUP('Données projet'!$B$12,Paramètres!$A$1:$I$89,3,0)*0.475*44/12</f>
        <v>1.3943007130496048</v>
      </c>
      <c r="CM160" s="23">
        <f>EXP(-LN(2)/2)*CM159+(1-EXP(-LN(2)/2))/(LN(2)/2)*CG160*CJ160*VLOOKUP('Données projet'!$B$12,Paramètres!$A$1:$I$89,3,0)*0.475*44/12</f>
        <v>3.0503150630066703E-16</v>
      </c>
      <c r="CN160" s="24">
        <f t="shared" si="172"/>
        <v>29.107710814784994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-1.1368683772161603E-13</v>
      </c>
      <c r="CU160" s="18">
        <f>CT160*VLOOKUP('Données projet'!$B$13,Paramètres!$A$1:$I$89,3,0)*VLOOKUP('Données projet'!$B$13,Paramètres!$A$1:$I$89,5,0)</f>
        <v>-1.2414602679200469E-13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205.21073681197737</v>
      </c>
      <c r="CZ160" s="62">
        <f t="shared" si="150"/>
        <v>175.16446313750316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10.456127879116275</v>
      </c>
      <c r="DG160" s="23">
        <f>EXP(-LN(2)/25)*DG159+(1-EXP(-LN(2)/25))/(LN(2)/25)*Calculateur!DB160*Calculateur!DD160*VLOOKUP('Données projet'!$B$13,Paramètres!$A$1:$I$89,3,0)*0.475*44/12</f>
        <v>2.1551737391794035</v>
      </c>
      <c r="DH160" s="23">
        <f>EXP(-LN(2)/2)*DH159+(1-EXP(-LN(2)/2))/(LN(2)/2)*DB160*DE160*VLOOKUP('Données projet'!$B$13,Paramètres!$A$1:$I$89,3,0)*0.475*44/12</f>
        <v>2.7255274231387637E-16</v>
      </c>
      <c r="DI160" s="24">
        <f t="shared" si="175"/>
        <v>12.611301618295679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2.2737367544323206E-13</v>
      </c>
      <c r="DP160" s="18">
        <f>DO160*VLOOKUP('Données projet'!$B$14,Paramètres!$A$1:$I$89,3,0)*VLOOKUP('Données projet'!$B$14,Paramètres!$A$1:$I$89,5,0)</f>
        <v>1.8444552551954985E-13</v>
      </c>
      <c r="DQ160" s="14">
        <f t="shared" si="176"/>
        <v>2.580317449479618E-12</v>
      </c>
      <c r="DR160" s="22">
        <f t="shared" si="177"/>
        <v>4.8152955147902165E-12</v>
      </c>
      <c r="DS160" s="62">
        <f t="shared" si="125"/>
        <v>293.33333333333815</v>
      </c>
      <c r="DT160" s="62">
        <f ca="1">AVERAGE(OFFSET($DS$3,0,0,'Données projet'!$E$14+1,1))-AVERAGE(OFFSET($H$3,0,0,'Données projet'!$E$14+1,1))</f>
        <v>223.63222290670075</v>
      </c>
      <c r="DU160" s="62">
        <f t="shared" si="152"/>
        <v>290.02663909417248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11.134248860869345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2.3937866180134992E-13</v>
      </c>
      <c r="ED160" s="24">
        <f t="shared" si="178"/>
        <v>11.134248860869585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448.12973791068919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192.24617268603629</v>
      </c>
      <c r="T161" s="62">
        <f t="shared" si="142"/>
        <v>192.48585280662832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12.634230806102879</v>
      </c>
      <c r="AA161" s="23">
        <f>EXP(-LN(2)/25)*AA160+(1-EXP(-LN(2)/25))/(LN(2)/25)*Calculateur!V161*Calculateur!X161*VLOOKUP('Données projet'!$B$9,Paramètres!$A$1:$I$89,3,0)*0.475*44/12</f>
        <v>2.0943187251998725</v>
      </c>
      <c r="AB161" s="23">
        <f>EXP(-LN(2)/2)*AB160+(1-EXP(-LN(2)/2))/(LN(2)/2)*V161*Y161*VLOOKUP('Données projet'!$B$9,Paramètres!$A$1:$I$89,3,0)*0.475*44/12</f>
        <v>7.4547607584310778E-14</v>
      </c>
      <c r="AC161" s="24">
        <f t="shared" si="163"/>
        <v>14.728549531302827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1.9999999998958629E-3</v>
      </c>
      <c r="AJ161" s="14">
        <f>AI161*VLOOKUP('Données projet'!$B$10,Paramètres!$A$1:$I$89,3,0)*VLOOKUP('Données projet'!$B$10,Paramètres!$A$1:$I$89,5,0)</f>
        <v>1.195999999937726E-3</v>
      </c>
      <c r="AK161" s="14">
        <f t="shared" si="164"/>
        <v>1.2062444695752218E-3</v>
      </c>
      <c r="AL161" s="22">
        <f t="shared" si="165"/>
        <v>4.1839091177350513E-3</v>
      </c>
      <c r="AM161" s="62">
        <f t="shared" si="113"/>
        <v>293.33751724245104</v>
      </c>
      <c r="AN161" s="62">
        <f ca="1">AVERAGE(OFFSET($AM$3,0,0,'Données projet'!$E$10+1,1))-AVERAGE(OFFSET($H$3,0,0,'Données projet'!$E$10+1,1))</f>
        <v>164.64952352018145</v>
      </c>
      <c r="AO161" s="62">
        <f t="shared" si="144"/>
        <v>280.08682720086921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6.3181418029593148</v>
      </c>
      <c r="AV161" s="23">
        <f>EXP(-LN(2)/25)*AV160+(1-EXP(-LN(2)/25))/(LN(2)/25)*Calculateur!AQ161*Calculateur!AS161*VLOOKUP('Données projet'!$B$10,Paramètres!$A$1:$I$89,3,0)*0.475*44/12</f>
        <v>0.92500228506834137</v>
      </c>
      <c r="AW161" s="23">
        <f>EXP(-LN(2)/2)*AW160+(1-EXP(-LN(2)/2))/(LN(2)/2)*AQ161*AT161*VLOOKUP('Données projet'!$B$10,Paramètres!$A$1:$I$89,3,0)*0.475*44/12</f>
        <v>2.9393972061327215E-17</v>
      </c>
      <c r="AX161" s="23">
        <f t="shared" si="166"/>
        <v>7.2431440880276563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7.0919999999999961</v>
      </c>
      <c r="BD161" s="13">
        <f>IF('Données projet'!$A$88&gt;35,BD160+BC161-BL160,IF(A161&lt;'Données projet'!$A$88,$BA$205^A161,IF(A161='Données projet'!$A$88,'Données projet'!$B$88,BD160+BC161-BL160)))</f>
        <v>477.01599999999985</v>
      </c>
      <c r="BE161" s="14">
        <f>BD161*VLOOKUP('Données projet'!$B$11,Paramètres!$A$1:$I$89,3,0)*VLOOKUP('Données projet'!$B$11,Paramètres!$A$1:$I$89,5,0)</f>
        <v>401.83827839999992</v>
      </c>
      <c r="BF161" s="14">
        <f t="shared" si="167"/>
        <v>92.149248444453249</v>
      </c>
      <c r="BG161" s="22">
        <f t="shared" si="168"/>
        <v>860.36160925408922</v>
      </c>
      <c r="BH161" s="62">
        <f t="shared" si="116"/>
        <v>1153.6949425874225</v>
      </c>
      <c r="BI161" s="62">
        <f ca="1">AVERAGE(OFFSET($BH$3,0,0,'Données projet'!$E$11+1,1))-AVERAGE(OFFSET($H$3,0,0,'Données projet'!$E$11+1,1))</f>
        <v>339.58585574836434</v>
      </c>
      <c r="BJ161" s="62">
        <f t="shared" si="146"/>
        <v>42.267525972379588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64.436139185471049</v>
      </c>
      <c r="BQ161" s="23">
        <f>EXP(-LN(2)/25)*BQ160+(1-EXP(-LN(2)/25))/(LN(2)/25)*Calculateur!BL161*Calculateur!BN161*VLOOKUP('Données projet'!$B$11,Paramètres!$A$1:$I$89,3,0)*0.475*44/12</f>
        <v>1.9720907036429489</v>
      </c>
      <c r="BR161" s="23">
        <f>EXP(-LN(2)/2)*BR160+(1-EXP(-LN(2)/2))/(LN(2)/2)*BL161*BO161*VLOOKUP('Données projet'!$B$11,Paramètres!$A$1:$I$89,3,0)*0.475*44/12</f>
        <v>1.6944593101607848E-14</v>
      </c>
      <c r="BS161" s="24">
        <f t="shared" si="169"/>
        <v>66.408229889114011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112.34884104798977</v>
      </c>
      <c r="CE161" s="62">
        <f t="shared" si="148"/>
        <v>18.665658139749326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27.169967033151437</v>
      </c>
      <c r="CL161" s="23">
        <f>EXP(-LN(2)/25)*CL160+(1-EXP(-LN(2)/25))/(LN(2)/25)*Calculateur!CG161*Calculateur!CI161*VLOOKUP('Données projet'!$B$12,Paramètres!$A$1:$I$89,3,0)*0.475*44/12</f>
        <v>1.3561734867281756</v>
      </c>
      <c r="CM161" s="23">
        <f>EXP(-LN(2)/2)*CM160+(1-EXP(-LN(2)/2))/(LN(2)/2)*CG161*CJ161*VLOOKUP('Données projet'!$B$12,Paramètres!$A$1:$I$89,3,0)*0.475*44/12</f>
        <v>2.1568984658074876E-16</v>
      </c>
      <c r="CN161" s="24">
        <f t="shared" si="172"/>
        <v>28.526140519879611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-1.1368683772161603E-13</v>
      </c>
      <c r="CU161" s="18">
        <f>CT161*VLOOKUP('Données projet'!$B$13,Paramètres!$A$1:$I$89,3,0)*VLOOKUP('Données projet'!$B$13,Paramètres!$A$1:$I$89,5,0)</f>
        <v>-1.2414602679200469E-13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205.21073681197737</v>
      </c>
      <c r="CZ161" s="62">
        <f t="shared" si="150"/>
        <v>175.16446313750316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10.251089589015075</v>
      </c>
      <c r="DG161" s="23">
        <f>EXP(-LN(2)/25)*DG160+(1-EXP(-LN(2)/25))/(LN(2)/25)*Calculateur!DB161*Calculateur!DD161*VLOOKUP('Données projet'!$B$13,Paramètres!$A$1:$I$89,3,0)*0.475*44/12</f>
        <v>2.0962403999458816</v>
      </c>
      <c r="DH161" s="23">
        <f>EXP(-LN(2)/2)*DH160+(1-EXP(-LN(2)/2))/(LN(2)/2)*DB161*DE161*VLOOKUP('Données projet'!$B$13,Paramètres!$A$1:$I$89,3,0)*0.475*44/12</f>
        <v>1.9272389232113165E-16</v>
      </c>
      <c r="DI161" s="24">
        <f t="shared" si="175"/>
        <v>12.347329988960958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2.2737367544323206E-13</v>
      </c>
      <c r="DP161" s="18">
        <f>DO161*VLOOKUP('Données projet'!$B$14,Paramètres!$A$1:$I$89,3,0)*VLOOKUP('Données projet'!$B$14,Paramètres!$A$1:$I$89,5,0)</f>
        <v>1.8444552551954985E-13</v>
      </c>
      <c r="DQ161" s="14">
        <f t="shared" si="176"/>
        <v>2.580317449479618E-12</v>
      </c>
      <c r="DR161" s="22">
        <f t="shared" si="177"/>
        <v>4.8152955147902165E-12</v>
      </c>
      <c r="DS161" s="62">
        <f t="shared" si="125"/>
        <v>293.33333333333815</v>
      </c>
      <c r="DT161" s="62">
        <f ca="1">AVERAGE(OFFSET($DS$3,0,0,'Données projet'!$E$14+1,1))-AVERAGE(OFFSET($H$3,0,0,'Données projet'!$E$14+1,1))</f>
        <v>223.63222290670075</v>
      </c>
      <c r="DU161" s="62">
        <f t="shared" si="152"/>
        <v>290.02663909417248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10.915913031928925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1.692662750310957E-13</v>
      </c>
      <c r="ED161" s="24">
        <f t="shared" si="178"/>
        <v>10.915913031929094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449.31108284084667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192.24617268603629</v>
      </c>
      <c r="T162" s="62">
        <f t="shared" si="142"/>
        <v>192.48585280662832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12.386481246115077</v>
      </c>
      <c r="AA162" s="23">
        <f>EXP(-LN(2)/25)*AA161+(1-EXP(-LN(2)/25))/(LN(2)/25)*Calculateur!V162*Calculateur!X162*VLOOKUP('Données projet'!$B$9,Paramètres!$A$1:$I$89,3,0)*0.475*44/12</f>
        <v>2.037049469523847</v>
      </c>
      <c r="AB162" s="23">
        <f>EXP(-LN(2)/2)*AB161+(1-EXP(-LN(2)/2))/(LN(2)/2)*V162*Y162*VLOOKUP('Données projet'!$B$9,Paramètres!$A$1:$I$89,3,0)*0.475*44/12</f>
        <v>5.2713118844099852E-14</v>
      </c>
      <c r="AC162" s="24">
        <f t="shared" si="163"/>
        <v>14.423530715638977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1.9999999998958629E-3</v>
      </c>
      <c r="AJ162" s="14">
        <f>AI162*VLOOKUP('Données projet'!$B$10,Paramètres!$A$1:$I$89,3,0)*VLOOKUP('Données projet'!$B$10,Paramètres!$A$1:$I$89,5,0)</f>
        <v>1.195999999937726E-3</v>
      </c>
      <c r="AK162" s="14">
        <f t="shared" si="164"/>
        <v>1.2062444695752218E-3</v>
      </c>
      <c r="AL162" s="22">
        <f t="shared" si="165"/>
        <v>4.1839091177350513E-3</v>
      </c>
      <c r="AM162" s="62">
        <f t="shared" si="113"/>
        <v>293.33751724245104</v>
      </c>
      <c r="AN162" s="62">
        <f ca="1">AVERAGE(OFFSET($AM$3,0,0,'Données projet'!$E$10+1,1))-AVERAGE(OFFSET($H$3,0,0,'Données projet'!$E$10+1,1))</f>
        <v>164.64952352018145</v>
      </c>
      <c r="AO162" s="62">
        <f t="shared" si="144"/>
        <v>280.08682720086921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6.1942468958892629</v>
      </c>
      <c r="AV162" s="23">
        <f>EXP(-LN(2)/25)*AV161+(1-EXP(-LN(2)/25))/(LN(2)/25)*Calculateur!AQ162*Calculateur!AS162*VLOOKUP('Données projet'!$B$10,Paramètres!$A$1:$I$89,3,0)*0.475*44/12</f>
        <v>0.89970804893939149</v>
      </c>
      <c r="AW162" s="23">
        <f>EXP(-LN(2)/2)*AW161+(1-EXP(-LN(2)/2))/(LN(2)/2)*AQ162*AT162*VLOOKUP('Données projet'!$B$10,Paramètres!$A$1:$I$89,3,0)*0.475*44/12</f>
        <v>2.0784676970572395E-17</v>
      </c>
      <c r="AX162" s="23">
        <f t="shared" si="166"/>
        <v>7.0939549448286545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7.0919999999999961</v>
      </c>
      <c r="BD162" s="13">
        <f>IF('Données projet'!$A$88&gt;35,BD161+BC162-BL161,IF(A162&lt;'Données projet'!$A$88,$BA$205^A162,IF(A162='Données projet'!$A$88,'Données projet'!$B$88,BD161+BC162-BL161)))</f>
        <v>484.10799999999983</v>
      </c>
      <c r="BE162" s="14">
        <f>BD162*VLOOKUP('Données projet'!$B$11,Paramètres!$A$1:$I$89,3,0)*VLOOKUP('Données projet'!$B$11,Paramètres!$A$1:$I$89,5,0)</f>
        <v>407.8125791999999</v>
      </c>
      <c r="BF162" s="14">
        <f t="shared" si="167"/>
        <v>93.358758265707664</v>
      </c>
      <c r="BG162" s="22">
        <f t="shared" si="168"/>
        <v>872.87341275277402</v>
      </c>
      <c r="BH162" s="62">
        <f t="shared" si="116"/>
        <v>1166.2067460861074</v>
      </c>
      <c r="BI162" s="62">
        <f ca="1">AVERAGE(OFFSET($BH$3,0,0,'Données projet'!$E$11+1,1))-AVERAGE(OFFSET($H$3,0,0,'Données projet'!$E$11+1,1))</f>
        <v>339.58585574836434</v>
      </c>
      <c r="BJ162" s="62">
        <f t="shared" si="146"/>
        <v>42.267525972379588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63.172585798208097</v>
      </c>
      <c r="BQ162" s="23">
        <f>EXP(-LN(2)/25)*BQ161+(1-EXP(-LN(2)/25))/(LN(2)/25)*Calculateur!BL162*Calculateur!BN162*VLOOKUP('Données projet'!$B$11,Paramètres!$A$1:$I$89,3,0)*0.475*44/12</f>
        <v>1.9181637796440896</v>
      </c>
      <c r="BR162" s="23">
        <f>EXP(-LN(2)/2)*BR161+(1-EXP(-LN(2)/2))/(LN(2)/2)*BL162*BO162*VLOOKUP('Données projet'!$B$11,Paramètres!$A$1:$I$89,3,0)*0.475*44/12</f>
        <v>1.1981636686593704E-14</v>
      </c>
      <c r="BS162" s="24">
        <f t="shared" si="169"/>
        <v>65.090749577852208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112.34884104798977</v>
      </c>
      <c r="CE162" s="62">
        <f t="shared" si="148"/>
        <v>18.665658139749326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26.637180551674874</v>
      </c>
      <c r="CL162" s="23">
        <f>EXP(-LN(2)/25)*CL161+(1-EXP(-LN(2)/25))/(LN(2)/25)*Calculateur!CG162*Calculateur!CI162*VLOOKUP('Données projet'!$B$12,Paramètres!$A$1:$I$89,3,0)*0.475*44/12</f>
        <v>1.3190888514155295</v>
      </c>
      <c r="CM162" s="23">
        <f>EXP(-LN(2)/2)*CM161+(1-EXP(-LN(2)/2))/(LN(2)/2)*CG162*CJ162*VLOOKUP('Données projet'!$B$12,Paramètres!$A$1:$I$89,3,0)*0.475*44/12</f>
        <v>1.5251575315033352E-16</v>
      </c>
      <c r="CN162" s="24">
        <f t="shared" si="172"/>
        <v>27.956269403090403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-1.1368683772161603E-13</v>
      </c>
      <c r="CU162" s="18">
        <f>CT162*VLOOKUP('Données projet'!$B$13,Paramètres!$A$1:$I$89,3,0)*VLOOKUP('Données projet'!$B$13,Paramètres!$A$1:$I$89,5,0)</f>
        <v>-1.2414602679200469E-13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205.21073681197737</v>
      </c>
      <c r="CZ162" s="62">
        <f t="shared" si="150"/>
        <v>175.16446313750316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10.050071974721751</v>
      </c>
      <c r="DG162" s="23">
        <f>EXP(-LN(2)/25)*DG161+(1-EXP(-LN(2)/25))/(LN(2)/25)*Calculateur!DB162*Calculateur!DD162*VLOOKUP('Données projet'!$B$13,Paramètres!$A$1:$I$89,3,0)*0.475*44/12</f>
        <v>2.03891859597287</v>
      </c>
      <c r="DH162" s="23">
        <f>EXP(-LN(2)/2)*DH161+(1-EXP(-LN(2)/2))/(LN(2)/2)*DB162*DE162*VLOOKUP('Données projet'!$B$13,Paramètres!$A$1:$I$89,3,0)*0.475*44/12</f>
        <v>1.3627637115693818E-16</v>
      </c>
      <c r="DI162" s="24">
        <f t="shared" si="175"/>
        <v>12.088990570694621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2.2737367544323206E-13</v>
      </c>
      <c r="DP162" s="18">
        <f>DO162*VLOOKUP('Données projet'!$B$14,Paramètres!$A$1:$I$89,3,0)*VLOOKUP('Données projet'!$B$14,Paramètres!$A$1:$I$89,5,0)</f>
        <v>1.8444552551954985E-13</v>
      </c>
      <c r="DQ162" s="14">
        <f t="shared" si="176"/>
        <v>2.580317449479618E-12</v>
      </c>
      <c r="DR162" s="22">
        <f t="shared" si="177"/>
        <v>4.8152955147902165E-12</v>
      </c>
      <c r="DS162" s="62">
        <f t="shared" si="125"/>
        <v>293.33333333333815</v>
      </c>
      <c r="DT162" s="62">
        <f ca="1">AVERAGE(OFFSET($DS$3,0,0,'Données projet'!$E$14+1,1))-AVERAGE(OFFSET($H$3,0,0,'Données projet'!$E$14+1,1))</f>
        <v>223.63222290670075</v>
      </c>
      <c r="DU162" s="62">
        <f t="shared" si="152"/>
        <v>290.02663909417248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10.701858635422321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1.1968933090067496E-13</v>
      </c>
      <c r="ED162" s="24">
        <f t="shared" si="178"/>
        <v>10.70185863542244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450.4922591650743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192.24617268603629</v>
      </c>
      <c r="T163" s="62">
        <f t="shared" si="142"/>
        <v>192.48585280662832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12.143589903886324</v>
      </c>
      <c r="AA163" s="23">
        <f>EXP(-LN(2)/25)*AA162+(1-EXP(-LN(2)/25))/(LN(2)/25)*Calculateur!V163*Calculateur!X163*VLOOKUP('Données projet'!$B$9,Paramètres!$A$1:$I$89,3,0)*0.475*44/12</f>
        <v>1.9813462446559416</v>
      </c>
      <c r="AB163" s="23">
        <f>EXP(-LN(2)/2)*AB162+(1-EXP(-LN(2)/2))/(LN(2)/2)*V163*Y163*VLOOKUP('Données projet'!$B$9,Paramètres!$A$1:$I$89,3,0)*0.475*44/12</f>
        <v>3.7273803792155389E-14</v>
      </c>
      <c r="AC163" s="24">
        <f t="shared" si="163"/>
        <v>14.124936148542304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1.9999999998958629E-3</v>
      </c>
      <c r="AJ163" s="14">
        <f>AI163*VLOOKUP('Données projet'!$B$10,Paramètres!$A$1:$I$89,3,0)*VLOOKUP('Données projet'!$B$10,Paramètres!$A$1:$I$89,5,0)</f>
        <v>1.195999999937726E-3</v>
      </c>
      <c r="AK163" s="14">
        <f t="shared" si="164"/>
        <v>1.2062444695752218E-3</v>
      </c>
      <c r="AL163" s="22">
        <f t="shared" si="165"/>
        <v>4.1839091177350513E-3</v>
      </c>
      <c r="AM163" s="62">
        <f t="shared" si="113"/>
        <v>293.33751724245104</v>
      </c>
      <c r="AN163" s="62">
        <f ca="1">AVERAGE(OFFSET($AM$3,0,0,'Données projet'!$E$10+1,1))-AVERAGE(OFFSET($H$3,0,0,'Données projet'!$E$10+1,1))</f>
        <v>164.64952352018145</v>
      </c>
      <c r="AO163" s="62">
        <f t="shared" si="144"/>
        <v>280.08682720086921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6.0727814923784225</v>
      </c>
      <c r="AV163" s="23">
        <f>EXP(-LN(2)/25)*AV162+(1-EXP(-LN(2)/25))/(LN(2)/25)*Calculateur!AQ163*Calculateur!AS163*VLOOKUP('Données projet'!$B$10,Paramètres!$A$1:$I$89,3,0)*0.475*44/12</f>
        <v>0.87510548502755381</v>
      </c>
      <c r="AW163" s="23">
        <f>EXP(-LN(2)/2)*AW162+(1-EXP(-LN(2)/2))/(LN(2)/2)*AQ163*AT163*VLOOKUP('Données projet'!$B$10,Paramètres!$A$1:$I$89,3,0)*0.475*44/12</f>
        <v>1.4696986030663608E-17</v>
      </c>
      <c r="AX163" s="23">
        <f t="shared" si="166"/>
        <v>6.9478869774059762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>
        <f>VLOOKUP(A163,'Données projet'!$A$87:$I$107,2,0)</f>
        <v>491.2</v>
      </c>
      <c r="BB163" s="13">
        <f>VLOOKUP(A163,'Données projet'!$A$87:$I$107,9,0)</f>
        <v>7.0919999999999961</v>
      </c>
      <c r="BC163" s="13">
        <f t="array" ref="BC163">INDEX(BB:BB,MIN(IF(ISNUMBER(BB163:BB359),ROW(BB163:BB359),"")))</f>
        <v>7.0919999999999961</v>
      </c>
      <c r="BD163" s="13">
        <f>IF('Données projet'!$A$88&gt;35,BD162+BC163-BL162,IF(A163&lt;'Données projet'!$A$88,$BA$205^A163,IF(A163='Données projet'!$A$88,'Données projet'!$B$88,BD162+BC163-BL162)))</f>
        <v>491.19999999999982</v>
      </c>
      <c r="BE163" s="14">
        <f>BD163*VLOOKUP('Données projet'!$B$11,Paramètres!$A$1:$I$89,3,0)*VLOOKUP('Données projet'!$B$11,Paramètres!$A$1:$I$89,5,0)</f>
        <v>413.78687999999988</v>
      </c>
      <c r="BF163" s="14">
        <f t="shared" si="167"/>
        <v>94.566207290776248</v>
      </c>
      <c r="BG163" s="22">
        <f t="shared" si="168"/>
        <v>885.38162703143507</v>
      </c>
      <c r="BH163" s="62">
        <f t="shared" si="116"/>
        <v>1178.7149603647683</v>
      </c>
      <c r="BI163" s="62">
        <f ca="1">AVERAGE(OFFSET($BH$3,0,0,'Données projet'!$E$11+1,1))-AVERAGE(OFFSET($H$3,0,0,'Données projet'!$E$11+1,1))</f>
        <v>339.58585574836434</v>
      </c>
      <c r="BJ163" s="62">
        <f t="shared" si="146"/>
        <v>42.267525972379588</v>
      </c>
      <c r="BK163" s="16">
        <f>IF(ISNA(VLOOKUP(A163,'Données projet'!$A$87:$I$107,3,0)),0,VLOOKUP(A163,'Données projet'!$A$87:$I$107,3,0))</f>
        <v>19</v>
      </c>
      <c r="BL163" s="16">
        <f>IF(ISNA(VLOOKUP(A163,'Données projet'!$A$87:$I$107,4,0)),0,VLOOKUP(A163,'Données projet'!$A$87:$I$107,4,0))</f>
        <v>491.2</v>
      </c>
      <c r="BM163" s="17">
        <f>IF(ISNA(VLOOKUP(A163,'Données projet'!$A$87:$I$107,5,0)),0%,VLOOKUP(A163,'Données projet'!$A$87:$I$107,5,0)*VLOOKUP('Données projet'!$B$11,Paramètres!$A$1:$I$89,7,0))</f>
        <v>0.34400000000000003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219.28943383427617</v>
      </c>
      <c r="BQ163" s="23">
        <f>EXP(-LN(2)/25)*BQ162+(1-EXP(-LN(2)/25))/(LN(2)/25)*Calculateur!BL163*Calculateur!BN163*VLOOKUP('Données projet'!$B$11,Paramètres!$A$1:$I$89,3,0)*0.475*44/12</f>
        <v>1.8657114902178729</v>
      </c>
      <c r="BR163" s="23">
        <f>EXP(-LN(2)/2)*BR162+(1-EXP(-LN(2)/2))/(LN(2)/2)*BL163*BO163*VLOOKUP('Données projet'!$B$11,Paramètres!$A$1:$I$89,3,0)*0.475*44/12</f>
        <v>8.4722965508039241E-15</v>
      </c>
      <c r="BS163" s="24">
        <f t="shared" si="169"/>
        <v>221.15514532449404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112.34884104798977</v>
      </c>
      <c r="CE163" s="62">
        <f t="shared" si="148"/>
        <v>18.665658139749326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26.114841688132401</v>
      </c>
      <c r="CL163" s="23">
        <f>EXP(-LN(2)/25)*CL162+(1-EXP(-LN(2)/25))/(LN(2)/25)*Calculateur!CG163*Calculateur!CI163*VLOOKUP('Données projet'!$B$12,Paramètres!$A$1:$I$89,3,0)*0.475*44/12</f>
        <v>1.2830182974057038</v>
      </c>
      <c r="CM163" s="23">
        <f>EXP(-LN(2)/2)*CM162+(1-EXP(-LN(2)/2))/(LN(2)/2)*CG163*CJ163*VLOOKUP('Données projet'!$B$12,Paramètres!$A$1:$I$89,3,0)*0.475*44/12</f>
        <v>1.0784492329037438E-16</v>
      </c>
      <c r="CN163" s="24">
        <f t="shared" si="172"/>
        <v>27.397859985538105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-1.1368683772161603E-13</v>
      </c>
      <c r="CU163" s="18">
        <f>CT163*VLOOKUP('Données projet'!$B$13,Paramètres!$A$1:$I$89,3,0)*VLOOKUP('Données projet'!$B$13,Paramètres!$A$1:$I$89,5,0)</f>
        <v>-1.2414602679200469E-13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205.21073681197737</v>
      </c>
      <c r="CZ163" s="62">
        <f t="shared" si="150"/>
        <v>175.16446313750316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9.8529961932360806</v>
      </c>
      <c r="DG163" s="23">
        <f>EXP(-LN(2)/25)*DG162+(1-EXP(-LN(2)/25))/(LN(2)/25)*Calculateur!DB163*Calculateur!DD163*VLOOKUP('Données projet'!$B$13,Paramètres!$A$1:$I$89,3,0)*0.475*44/12</f>
        <v>1.983164259743923</v>
      </c>
      <c r="DH163" s="23">
        <f>EXP(-LN(2)/2)*DH162+(1-EXP(-LN(2)/2))/(LN(2)/2)*DB163*DE163*VLOOKUP('Données projet'!$B$13,Paramètres!$A$1:$I$89,3,0)*0.475*44/12</f>
        <v>9.6361946160565825E-17</v>
      </c>
      <c r="DI163" s="24">
        <f t="shared" si="175"/>
        <v>11.836160452980003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2.2737367544323206E-13</v>
      </c>
      <c r="DP163" s="18">
        <f>DO163*VLOOKUP('Données projet'!$B$14,Paramètres!$A$1:$I$89,3,0)*VLOOKUP('Données projet'!$B$14,Paramètres!$A$1:$I$89,5,0)</f>
        <v>1.8444552551954985E-13</v>
      </c>
      <c r="DQ163" s="14">
        <f t="shared" si="176"/>
        <v>2.580317449479618E-12</v>
      </c>
      <c r="DR163" s="22">
        <f t="shared" si="177"/>
        <v>4.8152955147902165E-12</v>
      </c>
      <c r="DS163" s="62">
        <f t="shared" si="125"/>
        <v>293.33333333333815</v>
      </c>
      <c r="DT163" s="62">
        <f ca="1">AVERAGE(OFFSET($DS$3,0,0,'Données projet'!$E$14+1,1))-AVERAGE(OFFSET($H$3,0,0,'Données projet'!$E$14+1,1))</f>
        <v>223.63222290670075</v>
      </c>
      <c r="DU163" s="62">
        <f t="shared" si="152"/>
        <v>290.02663909417248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10.49200171507092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8.463313751554785E-14</v>
      </c>
      <c r="ED163" s="24">
        <f t="shared" si="178"/>
        <v>10.492001715071005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451.67326805940763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192.24617268603629</v>
      </c>
      <c r="T164" s="62">
        <f t="shared" si="142"/>
        <v>192.48585280662832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11.905461512729589</v>
      </c>
      <c r="AA164" s="23">
        <f>EXP(-LN(2)/25)*AA163+(1-EXP(-LN(2)/25))/(LN(2)/25)*Calculateur!V164*Calculateur!X164*VLOOKUP('Données projet'!$B$9,Paramètres!$A$1:$I$89,3,0)*0.475*44/12</f>
        <v>1.9271662274013543</v>
      </c>
      <c r="AB164" s="23">
        <f>EXP(-LN(2)/2)*AB163+(1-EXP(-LN(2)/2))/(LN(2)/2)*V164*Y164*VLOOKUP('Données projet'!$B$9,Paramètres!$A$1:$I$89,3,0)*0.475*44/12</f>
        <v>2.6356559422049926E-14</v>
      </c>
      <c r="AC164" s="24">
        <f t="shared" si="163"/>
        <v>13.83262774013097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1.9999999998958629E-3</v>
      </c>
      <c r="AJ164" s="14">
        <f>AI164*VLOOKUP('Données projet'!$B$10,Paramètres!$A$1:$I$89,3,0)*VLOOKUP('Données projet'!$B$10,Paramètres!$A$1:$I$89,5,0)</f>
        <v>1.195999999937726E-3</v>
      </c>
      <c r="AK164" s="14">
        <f t="shared" si="164"/>
        <v>1.2062444695752218E-3</v>
      </c>
      <c r="AL164" s="22">
        <f t="shared" si="165"/>
        <v>4.1839091177350513E-3</v>
      </c>
      <c r="AM164" s="62">
        <f t="shared" si="113"/>
        <v>293.33751724245104</v>
      </c>
      <c r="AN164" s="62">
        <f ca="1">AVERAGE(OFFSET($AM$3,0,0,'Données projet'!$E$10+1,1))-AVERAGE(OFFSET($H$3,0,0,'Données projet'!$E$10+1,1))</f>
        <v>164.64952352018145</v>
      </c>
      <c r="AO164" s="62">
        <f t="shared" si="144"/>
        <v>280.08682720086921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5.953697951343849</v>
      </c>
      <c r="AV164" s="23">
        <f>EXP(-LN(2)/25)*AV163+(1-EXP(-LN(2)/25))/(LN(2)/25)*Calculateur!AQ164*Calculateur!AS164*VLOOKUP('Données projet'!$B$10,Paramètres!$A$1:$I$89,3,0)*0.475*44/12</f>
        <v>0.85117567951967799</v>
      </c>
      <c r="AW164" s="23">
        <f>EXP(-LN(2)/2)*AW163+(1-EXP(-LN(2)/2))/(LN(2)/2)*AQ164*AT164*VLOOKUP('Données projet'!$B$10,Paramètres!$A$1:$I$89,3,0)*0.475*44/12</f>
        <v>1.0392338485286197E-17</v>
      </c>
      <c r="AX164" s="23">
        <f t="shared" si="166"/>
        <v>6.8048736308635274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-1.7053025658242404E-13</v>
      </c>
      <c r="BE164" s="14">
        <f>BD164*VLOOKUP('Données projet'!$B$11,Paramètres!$A$1:$I$89,3,0)*VLOOKUP('Données projet'!$B$11,Paramètres!$A$1:$I$89,5,0)</f>
        <v>-1.4365468814503402E-13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339.58585574836434</v>
      </c>
      <c r="BJ164" s="62">
        <f t="shared" si="146"/>
        <v>42.267525972379588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214.9893017901336</v>
      </c>
      <c r="BQ164" s="23">
        <f>EXP(-LN(2)/25)*BQ163+(1-EXP(-LN(2)/25))/(LN(2)/25)*Calculateur!BL164*Calculateur!BN164*VLOOKUP('Données projet'!$B$11,Paramètres!$A$1:$I$89,3,0)*0.475*44/12</f>
        <v>1.8146935114043621</v>
      </c>
      <c r="BR164" s="23">
        <f>EXP(-LN(2)/2)*BR163+(1-EXP(-LN(2)/2))/(LN(2)/2)*BL164*BO164*VLOOKUP('Données projet'!$B$11,Paramètres!$A$1:$I$89,3,0)*0.475*44/12</f>
        <v>5.9908183432968518E-15</v>
      </c>
      <c r="BS164" s="24">
        <f t="shared" si="169"/>
        <v>216.80399530153795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112.34884104798977</v>
      </c>
      <c r="CE164" s="62">
        <f t="shared" si="148"/>
        <v>18.665658139749326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25.602745571108748</v>
      </c>
      <c r="CL164" s="23">
        <f>EXP(-LN(2)/25)*CL163+(1-EXP(-LN(2)/25))/(LN(2)/25)*Calculateur!CG164*Calculateur!CI164*VLOOKUP('Données projet'!$B$12,Paramètres!$A$1:$I$89,3,0)*0.475*44/12</f>
        <v>1.2479340945921449</v>
      </c>
      <c r="CM164" s="23">
        <f>EXP(-LN(2)/2)*CM163+(1-EXP(-LN(2)/2))/(LN(2)/2)*CG164*CJ164*VLOOKUP('Données projet'!$B$12,Paramètres!$A$1:$I$89,3,0)*0.475*44/12</f>
        <v>7.6257876575166758E-17</v>
      </c>
      <c r="CN164" s="24">
        <f t="shared" si="172"/>
        <v>26.850679665700895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-1.1368683772161603E-13</v>
      </c>
      <c r="CU164" s="18">
        <f>CT164*VLOOKUP('Données projet'!$B$13,Paramètres!$A$1:$I$89,3,0)*VLOOKUP('Données projet'!$B$13,Paramètres!$A$1:$I$89,5,0)</f>
        <v>-1.2414602679200469E-13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205.21073681197737</v>
      </c>
      <c r="CZ164" s="62">
        <f t="shared" si="150"/>
        <v>175.16446313750316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9.6597849476209863</v>
      </c>
      <c r="DG164" s="23">
        <f>EXP(-LN(2)/25)*DG163+(1-EXP(-LN(2)/25))/(LN(2)/25)*Calculateur!DB164*Calculateur!DD164*VLOOKUP('Données projet'!$B$13,Paramètres!$A$1:$I$89,3,0)*0.475*44/12</f>
        <v>1.9289345287711495</v>
      </c>
      <c r="DH164" s="23">
        <f>EXP(-LN(2)/2)*DH163+(1-EXP(-LN(2)/2))/(LN(2)/2)*DB164*DE164*VLOOKUP('Données projet'!$B$13,Paramètres!$A$1:$I$89,3,0)*0.475*44/12</f>
        <v>6.8138185578469091E-17</v>
      </c>
      <c r="DI164" s="24">
        <f t="shared" si="175"/>
        <v>11.588719476392136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2.2737367544323206E-13</v>
      </c>
      <c r="DP164" s="18">
        <f>DO164*VLOOKUP('Données projet'!$B$14,Paramètres!$A$1:$I$89,3,0)*VLOOKUP('Données projet'!$B$14,Paramètres!$A$1:$I$89,5,0)</f>
        <v>1.8444552551954985E-13</v>
      </c>
      <c r="DQ164" s="14">
        <f t="shared" si="176"/>
        <v>2.580317449479618E-12</v>
      </c>
      <c r="DR164" s="22">
        <f t="shared" si="177"/>
        <v>4.8152955147902165E-12</v>
      </c>
      <c r="DS164" s="62">
        <f t="shared" si="125"/>
        <v>293.33333333333815</v>
      </c>
      <c r="DT164" s="62">
        <f ca="1">AVERAGE(OFFSET($DS$3,0,0,'Données projet'!$E$14+1,1))-AVERAGE(OFFSET($H$3,0,0,'Données projet'!$E$14+1,1))</f>
        <v>223.63222290670075</v>
      </c>
      <c r="DU164" s="62">
        <f t="shared" si="152"/>
        <v>290.02663909417248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10.286259960927529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5.9844665450337479E-14</v>
      </c>
      <c r="ED164" s="24">
        <f t="shared" si="178"/>
        <v>10.286259960927589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452.85411068442789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192.24617268603629</v>
      </c>
      <c r="T165" s="62">
        <f t="shared" si="142"/>
        <v>192.48585280662832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11.67200267407946</v>
      </c>
      <c r="AA165" s="23">
        <f>EXP(-LN(2)/25)*AA164+(1-EXP(-LN(2)/25))/(LN(2)/25)*Calculateur!V165*Calculateur!X165*VLOOKUP('Données projet'!$B$9,Paramètres!$A$1:$I$89,3,0)*0.475*44/12</f>
        <v>1.874467765567797</v>
      </c>
      <c r="AB165" s="23">
        <f>EXP(-LN(2)/2)*AB164+(1-EXP(-LN(2)/2))/(LN(2)/2)*V165*Y165*VLOOKUP('Données projet'!$B$9,Paramètres!$A$1:$I$89,3,0)*0.475*44/12</f>
        <v>1.8636901896077694E-14</v>
      </c>
      <c r="AC165" s="24">
        <f t="shared" si="163"/>
        <v>13.546470439647274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1.9999999998958629E-3</v>
      </c>
      <c r="AJ165" s="14">
        <f>AI165*VLOOKUP('Données projet'!$B$10,Paramètres!$A$1:$I$89,3,0)*VLOOKUP('Données projet'!$B$10,Paramètres!$A$1:$I$89,5,0)</f>
        <v>1.195999999937726E-3</v>
      </c>
      <c r="AK165" s="14">
        <f t="shared" si="164"/>
        <v>1.2062444695752218E-3</v>
      </c>
      <c r="AL165" s="22">
        <f t="shared" si="165"/>
        <v>4.1839091177350513E-3</v>
      </c>
      <c r="AM165" s="62">
        <f t="shared" si="113"/>
        <v>293.33751724245104</v>
      </c>
      <c r="AN165" s="62">
        <f ca="1">AVERAGE(OFFSET($AM$3,0,0,'Données projet'!$E$10+1,1))-AVERAGE(OFFSET($H$3,0,0,'Données projet'!$E$10+1,1))</f>
        <v>164.64952352018145</v>
      </c>
      <c r="AO165" s="62">
        <f t="shared" si="144"/>
        <v>280.08682720086921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5.8369495659151758</v>
      </c>
      <c r="AV165" s="23">
        <f>EXP(-LN(2)/25)*AV164+(1-EXP(-LN(2)/25))/(LN(2)/25)*Calculateur!AQ165*Calculateur!AS165*VLOOKUP('Données projet'!$B$10,Paramètres!$A$1:$I$89,3,0)*0.475*44/12</f>
        <v>0.82790023580182881</v>
      </c>
      <c r="AW165" s="23">
        <f>EXP(-LN(2)/2)*AW164+(1-EXP(-LN(2)/2))/(LN(2)/2)*AQ165*AT165*VLOOKUP('Données projet'!$B$10,Paramètres!$A$1:$I$89,3,0)*0.475*44/12</f>
        <v>7.3484930153318038E-18</v>
      </c>
      <c r="AX165" s="23">
        <f t="shared" si="166"/>
        <v>6.6648498017170041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-1.7053025658242404E-13</v>
      </c>
      <c r="BE165" s="14">
        <f>BD165*VLOOKUP('Données projet'!$B$11,Paramètres!$A$1:$I$89,3,0)*VLOOKUP('Données projet'!$B$11,Paramètres!$A$1:$I$89,5,0)</f>
        <v>-1.4365468814503402E-13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339.58585574836434</v>
      </c>
      <c r="BJ165" s="62">
        <f t="shared" si="146"/>
        <v>42.267525972379588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210.77349271255511</v>
      </c>
      <c r="BQ165" s="23">
        <f>EXP(-LN(2)/25)*BQ164+(1-EXP(-LN(2)/25))/(LN(2)/25)*Calculateur!BL165*Calculateur!BN165*VLOOKUP('Données projet'!$B$11,Paramètres!$A$1:$I$89,3,0)*0.475*44/12</f>
        <v>1.7650706219044257</v>
      </c>
      <c r="BR165" s="23">
        <f>EXP(-LN(2)/2)*BR164+(1-EXP(-LN(2)/2))/(LN(2)/2)*BL165*BO165*VLOOKUP('Données projet'!$B$11,Paramètres!$A$1:$I$89,3,0)*0.475*44/12</f>
        <v>4.236148275401962E-15</v>
      </c>
      <c r="BS165" s="24">
        <f t="shared" si="169"/>
        <v>212.53856333445952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112.34884104798977</v>
      </c>
      <c r="CE165" s="62">
        <f t="shared" si="148"/>
        <v>18.665658139749326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25.100691346592139</v>
      </c>
      <c r="CL165" s="23">
        <f>EXP(-LN(2)/25)*CL164+(1-EXP(-LN(2)/25))/(LN(2)/25)*Calculateur!CG165*Calculateur!CI165*VLOOKUP('Données projet'!$B$12,Paramètres!$A$1:$I$89,3,0)*0.475*44/12</f>
        <v>1.2138092711495208</v>
      </c>
      <c r="CM165" s="23">
        <f>EXP(-LN(2)/2)*CM164+(1-EXP(-LN(2)/2))/(LN(2)/2)*CG165*CJ165*VLOOKUP('Données projet'!$B$12,Paramètres!$A$1:$I$89,3,0)*0.475*44/12</f>
        <v>5.3922461645187189E-17</v>
      </c>
      <c r="CN165" s="24">
        <f t="shared" si="172"/>
        <v>26.314500617741661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-1.1368683772161603E-13</v>
      </c>
      <c r="CU165" s="18">
        <f>CT165*VLOOKUP('Données projet'!$B$13,Paramètres!$A$1:$I$89,3,0)*VLOOKUP('Données projet'!$B$13,Paramètres!$A$1:$I$89,5,0)</f>
        <v>-1.2414602679200469E-13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205.21073681197737</v>
      </c>
      <c r="CZ165" s="62">
        <f t="shared" si="150"/>
        <v>175.16446313750316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9.4703624566851818</v>
      </c>
      <c r="DG165" s="23">
        <f>EXP(-LN(2)/25)*DG164+(1-EXP(-LN(2)/25))/(LN(2)/25)*Calculateur!DB165*Calculateur!DD165*VLOOKUP('Données projet'!$B$13,Paramètres!$A$1:$I$89,3,0)*0.475*44/12</f>
        <v>1.8761877126436441</v>
      </c>
      <c r="DH165" s="23">
        <f>EXP(-LN(2)/2)*DH164+(1-EXP(-LN(2)/2))/(LN(2)/2)*DB165*DE165*VLOOKUP('Données projet'!$B$13,Paramètres!$A$1:$I$89,3,0)*0.475*44/12</f>
        <v>4.8180973080282913E-17</v>
      </c>
      <c r="DI165" s="24">
        <f t="shared" si="175"/>
        <v>11.346550169328825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2.2737367544323206E-13</v>
      </c>
      <c r="DP165" s="18">
        <f>DO165*VLOOKUP('Données projet'!$B$14,Paramètres!$A$1:$I$89,3,0)*VLOOKUP('Données projet'!$B$14,Paramètres!$A$1:$I$89,5,0)</f>
        <v>1.8444552551954985E-13</v>
      </c>
      <c r="DQ165" s="14">
        <f t="shared" si="176"/>
        <v>2.580317449479618E-12</v>
      </c>
      <c r="DR165" s="22">
        <f t="shared" si="177"/>
        <v>4.8152955147902165E-12</v>
      </c>
      <c r="DS165" s="62">
        <f t="shared" si="125"/>
        <v>293.33333333333815</v>
      </c>
      <c r="DT165" s="62">
        <f ca="1">AVERAGE(OFFSET($DS$3,0,0,'Données projet'!$E$14+1,1))-AVERAGE(OFFSET($H$3,0,0,'Données projet'!$E$14+1,1))</f>
        <v>223.63222290670075</v>
      </c>
      <c r="DU165" s="62">
        <f t="shared" si="152"/>
        <v>290.02663909417248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10.084552677092811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4.2316568757773925E-14</v>
      </c>
      <c r="ED165" s="24">
        <f t="shared" si="178"/>
        <v>10.084552677092853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454.03478818555948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192.24617268603629</v>
      </c>
      <c r="T166" s="62">
        <f t="shared" si="142"/>
        <v>192.48585280662832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11.443121820859428</v>
      </c>
      <c r="AA166" s="23">
        <f>EXP(-LN(2)/25)*AA165+(1-EXP(-LN(2)/25))/(LN(2)/25)*Calculateur!V166*Calculateur!X166*VLOOKUP('Données projet'!$B$9,Paramètres!$A$1:$I$89,3,0)*0.475*44/12</f>
        <v>1.82321034594437</v>
      </c>
      <c r="AB166" s="23">
        <f>EXP(-LN(2)/2)*AB165+(1-EXP(-LN(2)/2))/(LN(2)/2)*V166*Y166*VLOOKUP('Données projet'!$B$9,Paramètres!$A$1:$I$89,3,0)*0.475*44/12</f>
        <v>1.3178279711024963E-14</v>
      </c>
      <c r="AC166" s="24">
        <f t="shared" si="163"/>
        <v>13.26633216680381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1.9999999998958629E-3</v>
      </c>
      <c r="AJ166" s="14">
        <f>AI166*VLOOKUP('Données projet'!$B$10,Paramètres!$A$1:$I$89,3,0)*VLOOKUP('Données projet'!$B$10,Paramètres!$A$1:$I$89,5,0)</f>
        <v>1.195999999937726E-3</v>
      </c>
      <c r="AK166" s="14">
        <f t="shared" si="164"/>
        <v>1.2062444695752218E-3</v>
      </c>
      <c r="AL166" s="22">
        <f t="shared" si="165"/>
        <v>4.1839091177350513E-3</v>
      </c>
      <c r="AM166" s="62">
        <f t="shared" si="113"/>
        <v>293.33751724245104</v>
      </c>
      <c r="AN166" s="62">
        <f ca="1">AVERAGE(OFFSET($AM$3,0,0,'Données projet'!$E$10+1,1))-AVERAGE(OFFSET($H$3,0,0,'Données projet'!$E$10+1,1))</f>
        <v>164.64952352018145</v>
      </c>
      <c r="AO166" s="62">
        <f t="shared" si="144"/>
        <v>280.08682720086921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5.7224905451152752</v>
      </c>
      <c r="AV166" s="23">
        <f>EXP(-LN(2)/25)*AV165+(1-EXP(-LN(2)/25))/(LN(2)/25)*Calculateur!AQ166*Calculateur!AS166*VLOOKUP('Données projet'!$B$10,Paramètres!$A$1:$I$89,3,0)*0.475*44/12</f>
        <v>0.80526126031644663</v>
      </c>
      <c r="AW166" s="23">
        <f>EXP(-LN(2)/2)*AW165+(1-EXP(-LN(2)/2))/(LN(2)/2)*AQ166*AT166*VLOOKUP('Données projet'!$B$10,Paramètres!$A$1:$I$89,3,0)*0.475*44/12</f>
        <v>5.1961692426430987E-18</v>
      </c>
      <c r="AX166" s="23">
        <f t="shared" si="166"/>
        <v>6.5277518054317216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-1.7053025658242404E-13</v>
      </c>
      <c r="BE166" s="14">
        <f>BD166*VLOOKUP('Données projet'!$B$11,Paramètres!$A$1:$I$89,3,0)*VLOOKUP('Données projet'!$B$11,Paramètres!$A$1:$I$89,5,0)</f>
        <v>-1.4365468814503402E-13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339.58585574836434</v>
      </c>
      <c r="BJ166" s="62">
        <f t="shared" si="146"/>
        <v>42.267525972379588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206.6403530795983</v>
      </c>
      <c r="BQ166" s="23">
        <f>EXP(-LN(2)/25)*BQ165+(1-EXP(-LN(2)/25))/(LN(2)/25)*Calculateur!BL166*Calculateur!BN166*VLOOKUP('Données projet'!$B$11,Paramètres!$A$1:$I$89,3,0)*0.475*44/12</f>
        <v>1.7168046729274193</v>
      </c>
      <c r="BR166" s="23">
        <f>EXP(-LN(2)/2)*BR165+(1-EXP(-LN(2)/2))/(LN(2)/2)*BL166*BO166*VLOOKUP('Données projet'!$B$11,Paramètres!$A$1:$I$89,3,0)*0.475*44/12</f>
        <v>2.9954091716484259E-15</v>
      </c>
      <c r="BS166" s="24">
        <f t="shared" si="169"/>
        <v>208.35715775252572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112.34884104798977</v>
      </c>
      <c r="CE166" s="62">
        <f t="shared" si="148"/>
        <v>18.665658139749326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24.608482099195459</v>
      </c>
      <c r="CL166" s="23">
        <f>EXP(-LN(2)/25)*CL165+(1-EXP(-LN(2)/25))/(LN(2)/25)*Calculateur!CG166*Calculateur!CI166*VLOOKUP('Données projet'!$B$12,Paramètres!$A$1:$I$89,3,0)*0.475*44/12</f>
        <v>1.1806175927984817</v>
      </c>
      <c r="CM166" s="23">
        <f>EXP(-LN(2)/2)*CM165+(1-EXP(-LN(2)/2))/(LN(2)/2)*CG166*CJ166*VLOOKUP('Données projet'!$B$12,Paramètres!$A$1:$I$89,3,0)*0.475*44/12</f>
        <v>3.8128938287583379E-17</v>
      </c>
      <c r="CN166" s="24">
        <f t="shared" si="172"/>
        <v>25.78909969199394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-1.1368683772161603E-13</v>
      </c>
      <c r="CU166" s="18">
        <f>CT166*VLOOKUP('Données projet'!$B$13,Paramètres!$A$1:$I$89,3,0)*VLOOKUP('Données projet'!$B$13,Paramètres!$A$1:$I$89,5,0)</f>
        <v>-1.2414602679200469E-13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205.21073681197737</v>
      </c>
      <c r="CZ166" s="62">
        <f t="shared" si="150"/>
        <v>175.16446313750316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9.2846544252603174</v>
      </c>
      <c r="DG166" s="23">
        <f>EXP(-LN(2)/25)*DG165+(1-EXP(-LN(2)/25))/(LN(2)/25)*Calculateur!DB166*Calculateur!DD166*VLOOKUP('Données projet'!$B$13,Paramètres!$A$1:$I$89,3,0)*0.475*44/12</f>
        <v>1.8248832609769801</v>
      </c>
      <c r="DH166" s="23">
        <f>EXP(-LN(2)/2)*DH165+(1-EXP(-LN(2)/2))/(LN(2)/2)*DB166*DE166*VLOOKUP('Données projet'!$B$13,Paramètres!$A$1:$I$89,3,0)*0.475*44/12</f>
        <v>3.4069092789234546E-17</v>
      </c>
      <c r="DI166" s="24">
        <f t="shared" si="175"/>
        <v>11.109537686237298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2.2737367544323206E-13</v>
      </c>
      <c r="DP166" s="18">
        <f>DO166*VLOOKUP('Données projet'!$B$14,Paramètres!$A$1:$I$89,3,0)*VLOOKUP('Données projet'!$B$14,Paramètres!$A$1:$I$89,5,0)</f>
        <v>1.8444552551954985E-13</v>
      </c>
      <c r="DQ166" s="14">
        <f t="shared" si="176"/>
        <v>2.580317449479618E-12</v>
      </c>
      <c r="DR166" s="22">
        <f t="shared" si="177"/>
        <v>4.8152955147902165E-12</v>
      </c>
      <c r="DS166" s="62">
        <f t="shared" si="125"/>
        <v>293.33333333333815</v>
      </c>
      <c r="DT166" s="62">
        <f ca="1">AVERAGE(OFFSET($DS$3,0,0,'Données projet'!$E$14+1,1))-AVERAGE(OFFSET($H$3,0,0,'Données projet'!$E$14+1,1))</f>
        <v>223.63222290670075</v>
      </c>
      <c r="DU166" s="62">
        <f t="shared" si="152"/>
        <v>290.02663909417248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9.8868007500647952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2.992233272516874E-14</v>
      </c>
      <c r="ED166" s="24">
        <f t="shared" si="178"/>
        <v>9.8868007500648254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455.21530169335966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192.24617268603629</v>
      </c>
      <c r="T167" s="62">
        <f t="shared" si="142"/>
        <v>192.48585280662832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11.218729181567506</v>
      </c>
      <c r="AA167" s="23">
        <f>EXP(-LN(2)/25)*AA166+(1-EXP(-LN(2)/25))/(LN(2)/25)*Calculateur!V167*Calculateur!X167*VLOOKUP('Données projet'!$B$9,Paramètres!$A$1:$I$89,3,0)*0.475*44/12</f>
        <v>1.7733545631560561</v>
      </c>
      <c r="AB167" s="23">
        <f>EXP(-LN(2)/2)*AB166+(1-EXP(-LN(2)/2))/(LN(2)/2)*V167*Y167*VLOOKUP('Données projet'!$B$9,Paramètres!$A$1:$I$89,3,0)*0.475*44/12</f>
        <v>9.3184509480388472E-15</v>
      </c>
      <c r="AC167" s="24">
        <f t="shared" si="163"/>
        <v>12.992083744723571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1.9999999998958629E-3</v>
      </c>
      <c r="AJ167" s="14">
        <f>AI167*VLOOKUP('Données projet'!$B$10,Paramètres!$A$1:$I$89,3,0)*VLOOKUP('Données projet'!$B$10,Paramètres!$A$1:$I$89,5,0)</f>
        <v>1.195999999937726E-3</v>
      </c>
      <c r="AK167" s="14">
        <f t="shared" si="164"/>
        <v>1.2062444695752218E-3</v>
      </c>
      <c r="AL167" s="22">
        <f t="shared" si="165"/>
        <v>4.1839091177350513E-3</v>
      </c>
      <c r="AM167" s="62">
        <f t="shared" si="113"/>
        <v>293.33751724245104</v>
      </c>
      <c r="AN167" s="62">
        <f ca="1">AVERAGE(OFFSET($AM$3,0,0,'Données projet'!$E$10+1,1))-AVERAGE(OFFSET($H$3,0,0,'Données projet'!$E$10+1,1))</f>
        <v>164.64952352018145</v>
      </c>
      <c r="AO167" s="62">
        <f t="shared" si="144"/>
        <v>280.08682720086921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5.6102759959001514</v>
      </c>
      <c r="AV167" s="23">
        <f>EXP(-LN(2)/25)*AV166+(1-EXP(-LN(2)/25))/(LN(2)/25)*Calculateur!AQ167*Calculateur!AS167*VLOOKUP('Données projet'!$B$10,Paramètres!$A$1:$I$89,3,0)*0.475*44/12</f>
        <v>0.78324134880624419</v>
      </c>
      <c r="AW167" s="23">
        <f>EXP(-LN(2)/2)*AW166+(1-EXP(-LN(2)/2))/(LN(2)/2)*AQ167*AT167*VLOOKUP('Données projet'!$B$10,Paramètres!$A$1:$I$89,3,0)*0.475*44/12</f>
        <v>3.6742465076659019E-18</v>
      </c>
      <c r="AX167" s="23">
        <f t="shared" si="166"/>
        <v>6.393517344706396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-1.7053025658242404E-13</v>
      </c>
      <c r="BE167" s="14">
        <f>BD167*VLOOKUP('Données projet'!$B$11,Paramètres!$A$1:$I$89,3,0)*VLOOKUP('Données projet'!$B$11,Paramètres!$A$1:$I$89,5,0)</f>
        <v>-1.4365468814503402E-13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339.58585574836434</v>
      </c>
      <c r="BJ167" s="62">
        <f t="shared" si="146"/>
        <v>42.267525972379588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202.58826179387751</v>
      </c>
      <c r="BQ167" s="23">
        <f>EXP(-LN(2)/25)*BQ166+(1-EXP(-LN(2)/25))/(LN(2)/25)*Calculateur!BL167*Calculateur!BN167*VLOOKUP('Données projet'!$B$11,Paramètres!$A$1:$I$89,3,0)*0.475*44/12</f>
        <v>1.6698585588633852</v>
      </c>
      <c r="BR167" s="23">
        <f>EXP(-LN(2)/2)*BR166+(1-EXP(-LN(2)/2))/(LN(2)/2)*BL167*BO167*VLOOKUP('Données projet'!$B$11,Paramètres!$A$1:$I$89,3,0)*0.475*44/12</f>
        <v>2.118074137700981E-15</v>
      </c>
      <c r="BS167" s="24">
        <f t="shared" si="169"/>
        <v>204.25812035274089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112.34884104798977</v>
      </c>
      <c r="CE167" s="62">
        <f t="shared" si="148"/>
        <v>18.665658139749326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24.125924774922233</v>
      </c>
      <c r="CL167" s="23">
        <f>EXP(-LN(2)/25)*CL166+(1-EXP(-LN(2)/25))/(LN(2)/25)*Calculateur!CG167*Calculateur!CI167*VLOOKUP('Données projet'!$B$12,Paramètres!$A$1:$I$89,3,0)*0.475*44/12</f>
        <v>1.1483335426374264</v>
      </c>
      <c r="CM167" s="23">
        <f>EXP(-LN(2)/2)*CM166+(1-EXP(-LN(2)/2))/(LN(2)/2)*CG167*CJ167*VLOOKUP('Données projet'!$B$12,Paramètres!$A$1:$I$89,3,0)*0.475*44/12</f>
        <v>2.6961230822593595E-17</v>
      </c>
      <c r="CN167" s="24">
        <f t="shared" si="172"/>
        <v>25.27425831755966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-1.1368683772161603E-13</v>
      </c>
      <c r="CU167" s="18">
        <f>CT167*VLOOKUP('Données projet'!$B$13,Paramètres!$A$1:$I$89,3,0)*VLOOKUP('Données projet'!$B$13,Paramètres!$A$1:$I$89,5,0)</f>
        <v>-1.2414602679200469E-13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205.21073681197737</v>
      </c>
      <c r="CZ167" s="62">
        <f t="shared" si="150"/>
        <v>175.16446313750316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9.102588015060979</v>
      </c>
      <c r="DG167" s="23">
        <f>EXP(-LN(2)/25)*DG166+(1-EXP(-LN(2)/25))/(LN(2)/25)*Calculateur!DB167*Calculateur!DD167*VLOOKUP('Données projet'!$B$13,Paramètres!$A$1:$I$89,3,0)*0.475*44/12</f>
        <v>1.7749817322391246</v>
      </c>
      <c r="DH167" s="23">
        <f>EXP(-LN(2)/2)*DH166+(1-EXP(-LN(2)/2))/(LN(2)/2)*DB167*DE167*VLOOKUP('Données projet'!$B$13,Paramètres!$A$1:$I$89,3,0)*0.475*44/12</f>
        <v>2.4090486540141456E-17</v>
      </c>
      <c r="DI167" s="24">
        <f t="shared" si="175"/>
        <v>10.877569747300104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2.2737367544323206E-13</v>
      </c>
      <c r="DP167" s="18">
        <f>DO167*VLOOKUP('Données projet'!$B$14,Paramètres!$A$1:$I$89,3,0)*VLOOKUP('Données projet'!$B$14,Paramètres!$A$1:$I$89,5,0)</f>
        <v>1.8444552551954985E-13</v>
      </c>
      <c r="DQ167" s="14">
        <f t="shared" si="176"/>
        <v>2.580317449479618E-12</v>
      </c>
      <c r="DR167" s="22">
        <f t="shared" si="177"/>
        <v>4.8152955147902165E-12</v>
      </c>
      <c r="DS167" s="62">
        <f t="shared" si="125"/>
        <v>293.33333333333815</v>
      </c>
      <c r="DT167" s="62">
        <f ca="1">AVERAGE(OFFSET($DS$3,0,0,'Données projet'!$E$14+1,1))-AVERAGE(OFFSET($H$3,0,0,'Données projet'!$E$14+1,1))</f>
        <v>223.63222290670075</v>
      </c>
      <c r="DU167" s="62">
        <f t="shared" si="152"/>
        <v>290.02663909417248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9.6929266177090341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2.1158284378886963E-14</v>
      </c>
      <c r="ED167" s="24">
        <f t="shared" si="178"/>
        <v>9.6929266177090554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456.39565232380079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192.24617268603629</v>
      </c>
      <c r="T168" s="62">
        <f t="shared" si="142"/>
        <v>192.48585280662832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10.998736745066102</v>
      </c>
      <c r="AA168" s="23">
        <f>EXP(-LN(2)/25)*AA167+(1-EXP(-LN(2)/25))/(LN(2)/25)*Calculateur!V168*Calculateur!X168*VLOOKUP('Données projet'!$B$9,Paramètres!$A$1:$I$89,3,0)*0.475*44/12</f>
        <v>1.7248620893698903</v>
      </c>
      <c r="AB168" s="23">
        <f>EXP(-LN(2)/2)*AB167+(1-EXP(-LN(2)/2))/(LN(2)/2)*V168*Y168*VLOOKUP('Données projet'!$B$9,Paramètres!$A$1:$I$89,3,0)*0.475*44/12</f>
        <v>6.5891398555124816E-15</v>
      </c>
      <c r="AC168" s="24">
        <f t="shared" si="163"/>
        <v>12.723598834436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1.9999999998958629E-3</v>
      </c>
      <c r="AJ168" s="14">
        <f>AI168*VLOOKUP('Données projet'!$B$10,Paramètres!$A$1:$I$89,3,0)*VLOOKUP('Données projet'!$B$10,Paramètres!$A$1:$I$89,5,0)</f>
        <v>1.195999999937726E-3</v>
      </c>
      <c r="AK168" s="14">
        <f t="shared" si="164"/>
        <v>1.2062444695752218E-3</v>
      </c>
      <c r="AL168" s="22">
        <f t="shared" si="165"/>
        <v>4.1839091177350513E-3</v>
      </c>
      <c r="AM168" s="62">
        <f t="shared" si="113"/>
        <v>293.33751724245104</v>
      </c>
      <c r="AN168" s="62">
        <f ca="1">AVERAGE(OFFSET($AM$3,0,0,'Données projet'!$E$10+1,1))-AVERAGE(OFFSET($H$3,0,0,'Données projet'!$E$10+1,1))</f>
        <v>164.64952352018145</v>
      </c>
      <c r="AO168" s="62">
        <f t="shared" si="144"/>
        <v>280.08682720086921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5.5002619055510191</v>
      </c>
      <c r="AV168" s="23">
        <f>EXP(-LN(2)/25)*AV167+(1-EXP(-LN(2)/25))/(LN(2)/25)*Calculateur!AQ168*Calculateur!AS168*VLOOKUP('Données projet'!$B$10,Paramètres!$A$1:$I$89,3,0)*0.475*44/12</f>
        <v>0.76182357293426506</v>
      </c>
      <c r="AW168" s="23">
        <f>EXP(-LN(2)/2)*AW167+(1-EXP(-LN(2)/2))/(LN(2)/2)*AQ168*AT168*VLOOKUP('Données projet'!$B$10,Paramètres!$A$1:$I$89,3,0)*0.475*44/12</f>
        <v>2.5980846213215494E-18</v>
      </c>
      <c r="AX168" s="23">
        <f t="shared" si="166"/>
        <v>6.2620854784852842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-1.7053025658242404E-13</v>
      </c>
      <c r="BE168" s="14">
        <f>BD168*VLOOKUP('Données projet'!$B$11,Paramètres!$A$1:$I$89,3,0)*VLOOKUP('Données projet'!$B$11,Paramètres!$A$1:$I$89,5,0)</f>
        <v>-1.4365468814503402E-13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339.58585574836434</v>
      </c>
      <c r="BJ168" s="62">
        <f t="shared" si="146"/>
        <v>42.267525972379588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198.61562954673806</v>
      </c>
      <c r="BQ168" s="23">
        <f>EXP(-LN(2)/25)*BQ167+(1-EXP(-LN(2)/25))/(LN(2)/25)*Calculateur!BL168*Calculateur!BN168*VLOOKUP('Données projet'!$B$11,Paramètres!$A$1:$I$89,3,0)*0.475*44/12</f>
        <v>1.6241961887572207</v>
      </c>
      <c r="BR168" s="23">
        <f>EXP(-LN(2)/2)*BR167+(1-EXP(-LN(2)/2))/(LN(2)/2)*BL168*BO168*VLOOKUP('Données projet'!$B$11,Paramètres!$A$1:$I$89,3,0)*0.475*44/12</f>
        <v>1.4977045858242129E-15</v>
      </c>
      <c r="BS168" s="24">
        <f t="shared" si="169"/>
        <v>200.23982573549529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112.34884104798977</v>
      </c>
      <c r="CE168" s="62">
        <f t="shared" si="148"/>
        <v>18.665658139749326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23.652830105447098</v>
      </c>
      <c r="CL168" s="23">
        <f>EXP(-LN(2)/25)*CL167+(1-EXP(-LN(2)/25))/(LN(2)/25)*Calculateur!CG168*Calculateur!CI168*VLOOKUP('Données projet'!$B$12,Paramètres!$A$1:$I$89,3,0)*0.475*44/12</f>
        <v>1.1169323015257695</v>
      </c>
      <c r="CM168" s="23">
        <f>EXP(-LN(2)/2)*CM167+(1-EXP(-LN(2)/2))/(LN(2)/2)*CG168*CJ168*VLOOKUP('Données projet'!$B$12,Paramètres!$A$1:$I$89,3,0)*0.475*44/12</f>
        <v>1.9064469143791689E-17</v>
      </c>
      <c r="CN168" s="24">
        <f t="shared" si="172"/>
        <v>24.769762406972866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-1.1368683772161603E-13</v>
      </c>
      <c r="CU168" s="18">
        <f>CT168*VLOOKUP('Données projet'!$B$13,Paramètres!$A$1:$I$89,3,0)*VLOOKUP('Données projet'!$B$13,Paramètres!$A$1:$I$89,5,0)</f>
        <v>-1.2414602679200469E-13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205.21073681197737</v>
      </c>
      <c r="CZ168" s="62">
        <f t="shared" si="150"/>
        <v>175.16446313750316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8.9240918161161051</v>
      </c>
      <c r="DG168" s="23">
        <f>EXP(-LN(2)/25)*DG167+(1-EXP(-LN(2)/25))/(LN(2)/25)*Calculateur!DB168*Calculateur!DD168*VLOOKUP('Données projet'!$B$13,Paramètres!$A$1:$I$89,3,0)*0.475*44/12</f>
        <v>1.7264447634288131</v>
      </c>
      <c r="DH168" s="23">
        <f>EXP(-LN(2)/2)*DH167+(1-EXP(-LN(2)/2))/(LN(2)/2)*DB168*DE168*VLOOKUP('Données projet'!$B$13,Paramètres!$A$1:$I$89,3,0)*0.475*44/12</f>
        <v>1.7034546394617273E-17</v>
      </c>
      <c r="DI168" s="24">
        <f t="shared" si="175"/>
        <v>10.650536579544918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2.2737367544323206E-13</v>
      </c>
      <c r="DP168" s="18">
        <f>DO168*VLOOKUP('Données projet'!$B$14,Paramètres!$A$1:$I$89,3,0)*VLOOKUP('Données projet'!$B$14,Paramètres!$A$1:$I$89,5,0)</f>
        <v>1.8444552551954985E-13</v>
      </c>
      <c r="DQ168" s="14">
        <f t="shared" si="176"/>
        <v>2.580317449479618E-12</v>
      </c>
      <c r="DR168" s="22">
        <f t="shared" si="177"/>
        <v>4.8152955147902165E-12</v>
      </c>
      <c r="DS168" s="62">
        <f t="shared" si="125"/>
        <v>293.33333333333815</v>
      </c>
      <c r="DT168" s="62">
        <f ca="1">AVERAGE(OFFSET($DS$3,0,0,'Données projet'!$E$14+1,1))-AVERAGE(OFFSET($H$3,0,0,'Données projet'!$E$14+1,1))</f>
        <v>223.63222290670075</v>
      </c>
      <c r="DU168" s="62">
        <f t="shared" si="152"/>
        <v>290.02663909417248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9.5028542388372248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1.496116636258437E-14</v>
      </c>
      <c r="ED168" s="24">
        <f t="shared" si="178"/>
        <v>9.502854238837239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457.57584117854583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192.24617268603629</v>
      </c>
      <c r="T169" s="62">
        <f t="shared" si="142"/>
        <v>192.48585280662832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10.783058226062355</v>
      </c>
      <c r="AA169" s="23">
        <f>EXP(-LN(2)/25)*AA168+(1-EXP(-LN(2)/25))/(LN(2)/25)*Calculateur!V169*Calculateur!X169*VLOOKUP('Données projet'!$B$9,Paramètres!$A$1:$I$89,3,0)*0.475*44/12</f>
        <v>1.6776956448295155</v>
      </c>
      <c r="AB169" s="23">
        <f>EXP(-LN(2)/2)*AB168+(1-EXP(-LN(2)/2))/(LN(2)/2)*V169*Y169*VLOOKUP('Données projet'!$B$9,Paramètres!$A$1:$I$89,3,0)*0.475*44/12</f>
        <v>4.6592254740194236E-15</v>
      </c>
      <c r="AC169" s="24">
        <f t="shared" si="163"/>
        <v>12.460753870891876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1.9999999998958629E-3</v>
      </c>
      <c r="AJ169" s="14">
        <f>AI169*VLOOKUP('Données projet'!$B$10,Paramètres!$A$1:$I$89,3,0)*VLOOKUP('Données projet'!$B$10,Paramètres!$A$1:$I$89,5,0)</f>
        <v>1.195999999937726E-3</v>
      </c>
      <c r="AK169" s="14">
        <f t="shared" si="164"/>
        <v>1.2062444695752218E-3</v>
      </c>
      <c r="AL169" s="22">
        <f t="shared" si="165"/>
        <v>4.1839091177350513E-3</v>
      </c>
      <c r="AM169" s="62">
        <f t="shared" si="113"/>
        <v>293.33751724245104</v>
      </c>
      <c r="AN169" s="62">
        <f ca="1">AVERAGE(OFFSET($AM$3,0,0,'Données projet'!$E$10+1,1))-AVERAGE(OFFSET($H$3,0,0,'Données projet'!$E$10+1,1))</f>
        <v>164.64952352018145</v>
      </c>
      <c r="AO169" s="62">
        <f t="shared" si="144"/>
        <v>280.08682720086921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5.3924051244116642</v>
      </c>
      <c r="AV169" s="23">
        <f>EXP(-LN(2)/25)*AV168+(1-EXP(-LN(2)/25))/(LN(2)/25)*Calculateur!AQ169*Calculateur!AS169*VLOOKUP('Données projet'!$B$10,Paramètres!$A$1:$I$89,3,0)*0.475*44/12</f>
        <v>0.74099146726981702</v>
      </c>
      <c r="AW169" s="23">
        <f>EXP(-LN(2)/2)*AW168+(1-EXP(-LN(2)/2))/(LN(2)/2)*AQ169*AT169*VLOOKUP('Données projet'!$B$10,Paramètres!$A$1:$I$89,3,0)*0.475*44/12</f>
        <v>1.837123253832951E-18</v>
      </c>
      <c r="AX169" s="23">
        <f t="shared" si="166"/>
        <v>6.133396591681481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-1.7053025658242404E-13</v>
      </c>
      <c r="BE169" s="14">
        <f>BD169*VLOOKUP('Données projet'!$B$11,Paramètres!$A$1:$I$89,3,0)*VLOOKUP('Données projet'!$B$11,Paramètres!$A$1:$I$89,5,0)</f>
        <v>-1.4365468814503402E-13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339.58585574836434</v>
      </c>
      <c r="BJ169" s="62">
        <f t="shared" si="146"/>
        <v>42.267525972379588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194.72089819489861</v>
      </c>
      <c r="BQ169" s="23">
        <f>EXP(-LN(2)/25)*BQ168+(1-EXP(-LN(2)/25))/(LN(2)/25)*Calculateur!BL169*Calculateur!BN169*VLOOKUP('Données projet'!$B$11,Paramètres!$A$1:$I$89,3,0)*0.475*44/12</f>
        <v>1.579782458562889</v>
      </c>
      <c r="BR169" s="23">
        <f>EXP(-LN(2)/2)*BR168+(1-EXP(-LN(2)/2))/(LN(2)/2)*BL169*BO169*VLOOKUP('Données projet'!$B$11,Paramètres!$A$1:$I$89,3,0)*0.475*44/12</f>
        <v>1.0590370688504905E-15</v>
      </c>
      <c r="BS169" s="24">
        <f t="shared" si="169"/>
        <v>196.30068065346151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112.34884104798977</v>
      </c>
      <c r="CE169" s="62">
        <f t="shared" si="148"/>
        <v>18.665658139749326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23.189012533881115</v>
      </c>
      <c r="CL169" s="23">
        <f>EXP(-LN(2)/25)*CL168+(1-EXP(-LN(2)/25))/(LN(2)/25)*Calculateur!CG169*Calculateur!CI169*VLOOKUP('Données projet'!$B$12,Paramètres!$A$1:$I$89,3,0)*0.475*44/12</f>
        <v>1.0863897290036304</v>
      </c>
      <c r="CM169" s="23">
        <f>EXP(-LN(2)/2)*CM168+(1-EXP(-LN(2)/2))/(LN(2)/2)*CG169*CJ169*VLOOKUP('Données projet'!$B$12,Paramètres!$A$1:$I$89,3,0)*0.475*44/12</f>
        <v>1.3480615411296797E-17</v>
      </c>
      <c r="CN169" s="24">
        <f t="shared" si="172"/>
        <v>24.275402262884747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-1.1368683772161603E-13</v>
      </c>
      <c r="CU169" s="18">
        <f>CT169*VLOOKUP('Données projet'!$B$13,Paramètres!$A$1:$I$89,3,0)*VLOOKUP('Données projet'!$B$13,Paramètres!$A$1:$I$89,5,0)</f>
        <v>-1.2414602679200469E-13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205.21073681197737</v>
      </c>
      <c r="CZ169" s="62">
        <f t="shared" si="150"/>
        <v>175.16446313750316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8.7490958187606083</v>
      </c>
      <c r="DG169" s="23">
        <f>EXP(-LN(2)/25)*DG168+(1-EXP(-LN(2)/25))/(LN(2)/25)*Calculateur!DB169*Calculateur!DD169*VLOOKUP('Données projet'!$B$13,Paramètres!$A$1:$I$89,3,0)*0.475*44/12</f>
        <v>1.6792350405830681</v>
      </c>
      <c r="DH169" s="23">
        <f>EXP(-LN(2)/2)*DH168+(1-EXP(-LN(2)/2))/(LN(2)/2)*DB169*DE169*VLOOKUP('Données projet'!$B$13,Paramètres!$A$1:$I$89,3,0)*0.475*44/12</f>
        <v>1.2045243270070728E-17</v>
      </c>
      <c r="DI169" s="24">
        <f t="shared" si="175"/>
        <v>10.428330859343676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2.2737367544323206E-13</v>
      </c>
      <c r="DP169" s="18">
        <f>DO169*VLOOKUP('Données projet'!$B$14,Paramètres!$A$1:$I$89,3,0)*VLOOKUP('Données projet'!$B$14,Paramètres!$A$1:$I$89,5,0)</f>
        <v>1.8444552551954985E-13</v>
      </c>
      <c r="DQ169" s="14">
        <f t="shared" si="176"/>
        <v>2.580317449479618E-12</v>
      </c>
      <c r="DR169" s="22">
        <f t="shared" si="177"/>
        <v>4.8152955147902165E-12</v>
      </c>
      <c r="DS169" s="62">
        <f t="shared" si="125"/>
        <v>293.33333333333815</v>
      </c>
      <c r="DT169" s="62">
        <f ca="1">AVERAGE(OFFSET($DS$3,0,0,'Données projet'!$E$14+1,1))-AVERAGE(OFFSET($H$3,0,0,'Données projet'!$E$14+1,1))</f>
        <v>223.63222290670075</v>
      </c>
      <c r="DU169" s="62">
        <f t="shared" si="152"/>
        <v>290.02663909417248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9.316509063382389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1.0579142189443481E-14</v>
      </c>
      <c r="ED169" s="24">
        <f t="shared" si="178"/>
        <v>9.3165090633823997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458.75586934521687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192.24617268603629</v>
      </c>
      <c r="T170" s="62">
        <f t="shared" si="142"/>
        <v>192.48585280662832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10.571609031265364</v>
      </c>
      <c r="AA170" s="23">
        <f>EXP(-LN(2)/25)*AA169+(1-EXP(-LN(2)/25))/(LN(2)/25)*Calculateur!V170*Calculateur!X170*VLOOKUP('Données projet'!$B$9,Paramètres!$A$1:$I$89,3,0)*0.475*44/12</f>
        <v>1.6318189691954728</v>
      </c>
      <c r="AB170" s="23">
        <f>EXP(-LN(2)/2)*AB169+(1-EXP(-LN(2)/2))/(LN(2)/2)*V170*Y170*VLOOKUP('Données projet'!$B$9,Paramètres!$A$1:$I$89,3,0)*0.475*44/12</f>
        <v>3.2945699277562408E-15</v>
      </c>
      <c r="AC170" s="24">
        <f t="shared" si="163"/>
        <v>12.203428000460841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1.9999999998958629E-3</v>
      </c>
      <c r="AJ170" s="14">
        <f>AI170*VLOOKUP('Données projet'!$B$10,Paramètres!$A$1:$I$89,3,0)*VLOOKUP('Données projet'!$B$10,Paramètres!$A$1:$I$89,5,0)</f>
        <v>1.195999999937726E-3</v>
      </c>
      <c r="AK170" s="14">
        <f t="shared" si="164"/>
        <v>1.2062444695752218E-3</v>
      </c>
      <c r="AL170" s="22">
        <f t="shared" si="165"/>
        <v>4.1839091177350513E-3</v>
      </c>
      <c r="AM170" s="62">
        <f t="shared" si="113"/>
        <v>293.33751724245104</v>
      </c>
      <c r="AN170" s="62">
        <f ca="1">AVERAGE(OFFSET($AM$3,0,0,'Données projet'!$E$10+1,1))-AVERAGE(OFFSET($H$3,0,0,'Données projet'!$E$10+1,1))</f>
        <v>164.64952352018145</v>
      </c>
      <c r="AO170" s="62">
        <f t="shared" si="144"/>
        <v>280.08682720086921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5.2866633489643116</v>
      </c>
      <c r="AV170" s="23">
        <f>EXP(-LN(2)/25)*AV169+(1-EXP(-LN(2)/25))/(LN(2)/25)*Calculateur!AQ170*Calculateur!AS170*VLOOKUP('Données projet'!$B$10,Paramètres!$A$1:$I$89,3,0)*0.475*44/12</f>
        <v>0.72072901663027622</v>
      </c>
      <c r="AW170" s="23">
        <f>EXP(-LN(2)/2)*AW169+(1-EXP(-LN(2)/2))/(LN(2)/2)*AQ170*AT170*VLOOKUP('Données projet'!$B$10,Paramètres!$A$1:$I$89,3,0)*0.475*44/12</f>
        <v>1.2990423106607747E-18</v>
      </c>
      <c r="AX170" s="23">
        <f t="shared" si="166"/>
        <v>6.0073923655945878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-1.7053025658242404E-13</v>
      </c>
      <c r="BE170" s="14">
        <f>BD170*VLOOKUP('Données projet'!$B$11,Paramètres!$A$1:$I$89,3,0)*VLOOKUP('Données projet'!$B$11,Paramètres!$A$1:$I$89,5,0)</f>
        <v>-1.4365468814503402E-13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339.58585574836434</v>
      </c>
      <c r="BJ170" s="62">
        <f t="shared" si="146"/>
        <v>42.267525972379588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190.90254014931719</v>
      </c>
      <c r="BQ170" s="23">
        <f>EXP(-LN(2)/25)*BQ169+(1-EXP(-LN(2)/25))/(LN(2)/25)*Calculateur!BL170*Calculateur!BN170*VLOOKUP('Données projet'!$B$11,Paramètres!$A$1:$I$89,3,0)*0.475*44/12</f>
        <v>1.536583224156338</v>
      </c>
      <c r="BR170" s="23">
        <f>EXP(-LN(2)/2)*BR169+(1-EXP(-LN(2)/2))/(LN(2)/2)*BL170*BO170*VLOOKUP('Données projet'!$B$11,Paramètres!$A$1:$I$89,3,0)*0.475*44/12</f>
        <v>7.4885229291210647E-16</v>
      </c>
      <c r="BS170" s="24">
        <f t="shared" si="169"/>
        <v>192.43912337347354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112.34884104798977</v>
      </c>
      <c r="CE170" s="62">
        <f t="shared" si="148"/>
        <v>18.665658139749326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22.734290141992759</v>
      </c>
      <c r="CL170" s="23">
        <f>EXP(-LN(2)/25)*CL169+(1-EXP(-LN(2)/25))/(LN(2)/25)*Calculateur!CG170*Calculateur!CI170*VLOOKUP('Données projet'!$B$12,Paramètres!$A$1:$I$89,3,0)*0.475*44/12</f>
        <v>1.0566823447332732</v>
      </c>
      <c r="CM170" s="23">
        <f>EXP(-LN(2)/2)*CM169+(1-EXP(-LN(2)/2))/(LN(2)/2)*CG170*CJ170*VLOOKUP('Données projet'!$B$12,Paramètres!$A$1:$I$89,3,0)*0.475*44/12</f>
        <v>9.5322345718958447E-18</v>
      </c>
      <c r="CN170" s="24">
        <f t="shared" si="172"/>
        <v>23.79097248672603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-1.1368683772161603E-13</v>
      </c>
      <c r="CU170" s="18">
        <f>CT170*VLOOKUP('Données projet'!$B$13,Paramètres!$A$1:$I$89,3,0)*VLOOKUP('Données projet'!$B$13,Paramètres!$A$1:$I$89,5,0)</f>
        <v>-1.2414602679200469E-13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205.21073681197737</v>
      </c>
      <c r="CZ170" s="62">
        <f t="shared" si="150"/>
        <v>175.16446313750316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8.5775313861762346</v>
      </c>
      <c r="DG170" s="23">
        <f>EXP(-LN(2)/25)*DG169+(1-EXP(-LN(2)/25))/(LN(2)/25)*Calculateur!DB170*Calculateur!DD170*VLOOKUP('Données projet'!$B$13,Paramètres!$A$1:$I$89,3,0)*0.475*44/12</f>
        <v>1.6333162700911912</v>
      </c>
      <c r="DH170" s="23">
        <f>EXP(-LN(2)/2)*DH169+(1-EXP(-LN(2)/2))/(LN(2)/2)*DB170*DE170*VLOOKUP('Données projet'!$B$13,Paramètres!$A$1:$I$89,3,0)*0.475*44/12</f>
        <v>8.5172731973086364E-18</v>
      </c>
      <c r="DI170" s="24">
        <f t="shared" si="175"/>
        <v>10.210847656267426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2.2737367544323206E-13</v>
      </c>
      <c r="DP170" s="18">
        <f>DO170*VLOOKUP('Données projet'!$B$14,Paramètres!$A$1:$I$89,3,0)*VLOOKUP('Données projet'!$B$14,Paramètres!$A$1:$I$89,5,0)</f>
        <v>1.8444552551954985E-13</v>
      </c>
      <c r="DQ170" s="14">
        <f t="shared" si="176"/>
        <v>2.580317449479618E-12</v>
      </c>
      <c r="DR170" s="22">
        <f t="shared" si="177"/>
        <v>4.8152955147902165E-12</v>
      </c>
      <c r="DS170" s="62">
        <f t="shared" si="125"/>
        <v>293.33333333333815</v>
      </c>
      <c r="DT170" s="62">
        <f ca="1">AVERAGE(OFFSET($DS$3,0,0,'Données projet'!$E$14+1,1))-AVERAGE(OFFSET($H$3,0,0,'Données projet'!$E$14+1,1))</f>
        <v>223.63222290670075</v>
      </c>
      <c r="DU170" s="62">
        <f t="shared" si="152"/>
        <v>290.02663909417248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9.133818003158888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7.4805831812921849E-15</v>
      </c>
      <c r="ED170" s="24">
        <f t="shared" si="178"/>
        <v>9.1338180031588951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459.93573789765719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192.24617268603629</v>
      </c>
      <c r="T171" s="62">
        <f t="shared" si="142"/>
        <v>192.48585280662832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10.364306226207068</v>
      </c>
      <c r="AA171" s="23">
        <f>EXP(-LN(2)/25)*AA170+(1-EXP(-LN(2)/25))/(LN(2)/25)*Calculateur!V171*Calculateur!X171*VLOOKUP('Données projet'!$B$9,Paramètres!$A$1:$I$89,3,0)*0.475*44/12</f>
        <v>1.5871967936691926</v>
      </c>
      <c r="AB171" s="23">
        <f>EXP(-LN(2)/2)*AB170+(1-EXP(-LN(2)/2))/(LN(2)/2)*V171*Y171*VLOOKUP('Données projet'!$B$9,Paramètres!$A$1:$I$89,3,0)*0.475*44/12</f>
        <v>2.3296127370097118E-15</v>
      </c>
      <c r="AC171" s="24">
        <f t="shared" si="163"/>
        <v>11.951503019876263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1.9999999998958629E-3</v>
      </c>
      <c r="AJ171" s="14">
        <f>AI171*VLOOKUP('Données projet'!$B$10,Paramètres!$A$1:$I$89,3,0)*VLOOKUP('Données projet'!$B$10,Paramètres!$A$1:$I$89,5,0)</f>
        <v>1.195999999937726E-3</v>
      </c>
      <c r="AK171" s="14">
        <f t="shared" si="164"/>
        <v>1.2062444695752218E-3</v>
      </c>
      <c r="AL171" s="22">
        <f t="shared" si="165"/>
        <v>4.1839091177350513E-3</v>
      </c>
      <c r="AM171" s="62">
        <f t="shared" si="113"/>
        <v>293.33751724245104</v>
      </c>
      <c r="AN171" s="62">
        <f ca="1">AVERAGE(OFFSET($AM$3,0,0,'Données projet'!$E$10+1,1))-AVERAGE(OFFSET($H$3,0,0,'Données projet'!$E$10+1,1))</f>
        <v>164.64952352018145</v>
      </c>
      <c r="AO171" s="62">
        <f t="shared" si="144"/>
        <v>280.08682720086921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5.1829951052373664</v>
      </c>
      <c r="AV171" s="23">
        <f>EXP(-LN(2)/25)*AV170+(1-EXP(-LN(2)/25))/(LN(2)/25)*Calculateur!AQ171*Calculateur!AS171*VLOOKUP('Données projet'!$B$10,Paramètres!$A$1:$I$89,3,0)*0.475*44/12</f>
        <v>0.70102064376902962</v>
      </c>
      <c r="AW171" s="23">
        <f>EXP(-LN(2)/2)*AW170+(1-EXP(-LN(2)/2))/(LN(2)/2)*AQ171*AT171*VLOOKUP('Données projet'!$B$10,Paramètres!$A$1:$I$89,3,0)*0.475*44/12</f>
        <v>9.1856162691647548E-19</v>
      </c>
      <c r="AX171" s="23">
        <f t="shared" si="166"/>
        <v>5.8840157490063962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-1.7053025658242404E-13</v>
      </c>
      <c r="BE171" s="14">
        <f>BD171*VLOOKUP('Données projet'!$B$11,Paramètres!$A$1:$I$89,3,0)*VLOOKUP('Données projet'!$B$11,Paramètres!$A$1:$I$89,5,0)</f>
        <v>-1.4365468814503402E-13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339.58585574836434</v>
      </c>
      <c r="BJ171" s="62">
        <f t="shared" si="146"/>
        <v>42.267525972379588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187.15905777604118</v>
      </c>
      <c r="BQ171" s="23">
        <f>EXP(-LN(2)/25)*BQ170+(1-EXP(-LN(2)/25))/(LN(2)/25)*Calculateur!BL171*Calculateur!BN171*VLOOKUP('Données projet'!$B$11,Paramètres!$A$1:$I$89,3,0)*0.475*44/12</f>
        <v>1.4945652750863831</v>
      </c>
      <c r="BR171" s="23">
        <f>EXP(-LN(2)/2)*BR170+(1-EXP(-LN(2)/2))/(LN(2)/2)*BL171*BO171*VLOOKUP('Données projet'!$B$11,Paramètres!$A$1:$I$89,3,0)*0.475*44/12</f>
        <v>5.2951853442524525E-16</v>
      </c>
      <c r="BS171" s="24">
        <f t="shared" si="169"/>
        <v>188.65362305112757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112.34884104798977</v>
      </c>
      <c r="CE171" s="62">
        <f t="shared" si="148"/>
        <v>18.665658139749326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22.28848457885606</v>
      </c>
      <c r="CL171" s="23">
        <f>EXP(-LN(2)/25)*CL170+(1-EXP(-LN(2)/25))/(LN(2)/25)*Calculateur!CG171*Calculateur!CI171*VLOOKUP('Données projet'!$B$12,Paramètres!$A$1:$I$89,3,0)*0.475*44/12</f>
        <v>1.0277873104480324</v>
      </c>
      <c r="CM171" s="23">
        <f>EXP(-LN(2)/2)*CM170+(1-EXP(-LN(2)/2))/(LN(2)/2)*CG171*CJ171*VLOOKUP('Données projet'!$B$12,Paramètres!$A$1:$I$89,3,0)*0.475*44/12</f>
        <v>6.7403077056483987E-18</v>
      </c>
      <c r="CN171" s="24">
        <f t="shared" si="172"/>
        <v>23.316271889304094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-1.1368683772161603E-13</v>
      </c>
      <c r="CU171" s="18">
        <f>CT171*VLOOKUP('Données projet'!$B$13,Paramètres!$A$1:$I$89,3,0)*VLOOKUP('Données projet'!$B$13,Paramètres!$A$1:$I$89,5,0)</f>
        <v>-1.2414602679200469E-13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205.21073681197737</v>
      </c>
      <c r="CZ171" s="62">
        <f t="shared" si="150"/>
        <v>175.16446313750316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8.4093312274708687</v>
      </c>
      <c r="DG171" s="23">
        <f>EXP(-LN(2)/25)*DG170+(1-EXP(-LN(2)/25))/(LN(2)/25)*Calculateur!DB171*Calculateur!DD171*VLOOKUP('Données projet'!$B$13,Paramètres!$A$1:$I$89,3,0)*0.475*44/12</f>
        <v>1.5886531507931778</v>
      </c>
      <c r="DH171" s="23">
        <f>EXP(-LN(2)/2)*DH170+(1-EXP(-LN(2)/2))/(LN(2)/2)*DB171*DE171*VLOOKUP('Données projet'!$B$13,Paramètres!$A$1:$I$89,3,0)*0.475*44/12</f>
        <v>6.0226216350353641E-18</v>
      </c>
      <c r="DI171" s="24">
        <f t="shared" si="175"/>
        <v>9.9979843782640465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2.2737367544323206E-13</v>
      </c>
      <c r="DP171" s="18">
        <f>DO171*VLOOKUP('Données projet'!$B$14,Paramètres!$A$1:$I$89,3,0)*VLOOKUP('Données projet'!$B$14,Paramètres!$A$1:$I$89,5,0)</f>
        <v>1.8444552551954985E-13</v>
      </c>
      <c r="DQ171" s="14">
        <f t="shared" si="176"/>
        <v>2.580317449479618E-12</v>
      </c>
      <c r="DR171" s="22">
        <f t="shared" si="177"/>
        <v>4.8152955147902165E-12</v>
      </c>
      <c r="DS171" s="62">
        <f t="shared" si="125"/>
        <v>293.33333333333815</v>
      </c>
      <c r="DT171" s="62">
        <f ca="1">AVERAGE(OFFSET($DS$3,0,0,'Données projet'!$E$14+1,1))-AVERAGE(OFFSET($H$3,0,0,'Données projet'!$E$14+1,1))</f>
        <v>223.63222290670075</v>
      </c>
      <c r="DU171" s="62">
        <f t="shared" si="152"/>
        <v>290.02663909417248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8.9547094031958263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5.2895710947217406E-15</v>
      </c>
      <c r="ED171" s="24">
        <f t="shared" si="178"/>
        <v>8.9547094031958316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461.11544789618642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192.24617268603629</v>
      </c>
      <c r="T172" s="62">
        <f t="shared" si="142"/>
        <v>192.48585280662832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10.161068502713739</v>
      </c>
      <c r="AA172" s="23">
        <f>EXP(-LN(2)/25)*AA171+(1-EXP(-LN(2)/25))/(LN(2)/25)*Calculateur!V172*Calculateur!X172*VLOOKUP('Données projet'!$B$9,Paramètres!$A$1:$I$89,3,0)*0.475*44/12</f>
        <v>1.5437948138792568</v>
      </c>
      <c r="AB172" s="23">
        <f>EXP(-LN(2)/2)*AB171+(1-EXP(-LN(2)/2))/(LN(2)/2)*V172*Y172*VLOOKUP('Données projet'!$B$9,Paramètres!$A$1:$I$89,3,0)*0.475*44/12</f>
        <v>1.6472849638781204E-15</v>
      </c>
      <c r="AC172" s="24">
        <f t="shared" si="163"/>
        <v>11.704863316592999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1.9999999998958629E-3</v>
      </c>
      <c r="AJ172" s="14">
        <f>AI172*VLOOKUP('Données projet'!$B$10,Paramètres!$A$1:$I$89,3,0)*VLOOKUP('Données projet'!$B$10,Paramètres!$A$1:$I$89,5,0)</f>
        <v>1.195999999937726E-3</v>
      </c>
      <c r="AK172" s="14">
        <f t="shared" si="164"/>
        <v>1.2062444695752218E-3</v>
      </c>
      <c r="AL172" s="22">
        <f t="shared" si="165"/>
        <v>4.1839091177350513E-3</v>
      </c>
      <c r="AM172" s="62">
        <f t="shared" si="113"/>
        <v>293.33751724245104</v>
      </c>
      <c r="AN172" s="62">
        <f ca="1">AVERAGE(OFFSET($AM$3,0,0,'Données projet'!$E$10+1,1))-AVERAGE(OFFSET($H$3,0,0,'Données projet'!$E$10+1,1))</f>
        <v>164.64952352018145</v>
      </c>
      <c r="AO172" s="62">
        <f t="shared" si="144"/>
        <v>280.08682720086921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5.0813597325385222</v>
      </c>
      <c r="AV172" s="23">
        <f>EXP(-LN(2)/25)*AV171+(1-EXP(-LN(2)/25))/(LN(2)/25)*Calculateur!AQ172*Calculateur!AS172*VLOOKUP('Données projet'!$B$10,Paramètres!$A$1:$I$89,3,0)*0.475*44/12</f>
        <v>0.68185119740009204</v>
      </c>
      <c r="AW172" s="23">
        <f>EXP(-LN(2)/2)*AW171+(1-EXP(-LN(2)/2))/(LN(2)/2)*AQ172*AT172*VLOOKUP('Données projet'!$B$10,Paramètres!$A$1:$I$89,3,0)*0.475*44/12</f>
        <v>6.4952115533038734E-19</v>
      </c>
      <c r="AX172" s="23">
        <f t="shared" si="166"/>
        <v>5.7632109299386141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-1.7053025658242404E-13</v>
      </c>
      <c r="BE172" s="14">
        <f>BD172*VLOOKUP('Données projet'!$B$11,Paramètres!$A$1:$I$89,3,0)*VLOOKUP('Données projet'!$B$11,Paramètres!$A$1:$I$89,5,0)</f>
        <v>-1.4365468814503402E-13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339.58585574836434</v>
      </c>
      <c r="BJ172" s="62">
        <f t="shared" si="146"/>
        <v>42.267525972379588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183.4889828088063</v>
      </c>
      <c r="BQ172" s="23">
        <f>EXP(-LN(2)/25)*BQ171+(1-EXP(-LN(2)/25))/(LN(2)/25)*Calculateur!BL172*Calculateur!BN172*VLOOKUP('Données projet'!$B$11,Paramètres!$A$1:$I$89,3,0)*0.475*44/12</f>
        <v>1.4536963090433741</v>
      </c>
      <c r="BR172" s="23">
        <f>EXP(-LN(2)/2)*BR171+(1-EXP(-LN(2)/2))/(LN(2)/2)*BL172*BO172*VLOOKUP('Données projet'!$B$11,Paramètres!$A$1:$I$89,3,0)*0.475*44/12</f>
        <v>3.7442614645605324E-16</v>
      </c>
      <c r="BS172" s="24">
        <f t="shared" si="169"/>
        <v>184.94267911784968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112.34884104798977</v>
      </c>
      <c r="CE172" s="62">
        <f t="shared" si="148"/>
        <v>18.665658139749326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21.851420990897928</v>
      </c>
      <c r="CL172" s="23">
        <f>EXP(-LN(2)/25)*CL171+(1-EXP(-LN(2)/25))/(LN(2)/25)*Calculateur!CG172*Calculateur!CI172*VLOOKUP('Données projet'!$B$12,Paramètres!$A$1:$I$89,3,0)*0.475*44/12</f>
        <v>0.99968241239484534</v>
      </c>
      <c r="CM172" s="23">
        <f>EXP(-LN(2)/2)*CM171+(1-EXP(-LN(2)/2))/(LN(2)/2)*CG172*CJ172*VLOOKUP('Données projet'!$B$12,Paramètres!$A$1:$I$89,3,0)*0.475*44/12</f>
        <v>4.7661172859479224E-18</v>
      </c>
      <c r="CN172" s="24">
        <f t="shared" si="172"/>
        <v>22.851103403292775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-1.1368683772161603E-13</v>
      </c>
      <c r="CU172" s="18">
        <f>CT172*VLOOKUP('Données projet'!$B$13,Paramètres!$A$1:$I$89,3,0)*VLOOKUP('Données projet'!$B$13,Paramètres!$A$1:$I$89,5,0)</f>
        <v>-1.2414602679200469E-13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205.21073681197737</v>
      </c>
      <c r="CZ172" s="62">
        <f t="shared" si="150"/>
        <v>175.16446313750316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8.244429371285749</v>
      </c>
      <c r="DG172" s="23">
        <f>EXP(-LN(2)/25)*DG171+(1-EXP(-LN(2)/25))/(LN(2)/25)*Calculateur!DB172*Calculateur!DD172*VLOOKUP('Données projet'!$B$13,Paramètres!$A$1:$I$89,3,0)*0.475*44/12</f>
        <v>1.5452113468411002</v>
      </c>
      <c r="DH172" s="23">
        <f>EXP(-LN(2)/2)*DH171+(1-EXP(-LN(2)/2))/(LN(2)/2)*DB172*DE172*VLOOKUP('Données projet'!$B$13,Paramètres!$A$1:$I$89,3,0)*0.475*44/12</f>
        <v>4.2586365986543182E-18</v>
      </c>
      <c r="DI172" s="24">
        <f t="shared" si="175"/>
        <v>9.789640718126849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2.2737367544323206E-13</v>
      </c>
      <c r="DP172" s="18">
        <f>DO172*VLOOKUP('Données projet'!$B$14,Paramètres!$A$1:$I$89,3,0)*VLOOKUP('Données projet'!$B$14,Paramètres!$A$1:$I$89,5,0)</f>
        <v>1.8444552551954985E-13</v>
      </c>
      <c r="DQ172" s="14">
        <f t="shared" si="176"/>
        <v>2.580317449479618E-12</v>
      </c>
      <c r="DR172" s="22">
        <f t="shared" si="177"/>
        <v>4.8152955147902165E-12</v>
      </c>
      <c r="DS172" s="62">
        <f t="shared" si="125"/>
        <v>293.33333333333815</v>
      </c>
      <c r="DT172" s="62">
        <f ca="1">AVERAGE(OFFSET($DS$3,0,0,'Données projet'!$E$14+1,1))-AVERAGE(OFFSET($H$3,0,0,'Données projet'!$E$14+1,1))</f>
        <v>223.63222290670075</v>
      </c>
      <c r="DU172" s="62">
        <f t="shared" si="152"/>
        <v>290.02663909417248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8.7791130136325801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3.7402915906460925E-15</v>
      </c>
      <c r="ED172" s="24">
        <f t="shared" si="178"/>
        <v>8.7791130136325837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462.29500038785034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192.24617268603629</v>
      </c>
      <c r="T173" s="62">
        <f t="shared" si="142"/>
        <v>192.48585280662832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9.9618161470153428</v>
      </c>
      <c r="AA173" s="23">
        <f>EXP(-LN(2)/25)*AA172+(1-EXP(-LN(2)/25))/(LN(2)/25)*Calculateur!V173*Calculateur!X173*VLOOKUP('Données projet'!$B$9,Paramètres!$A$1:$I$89,3,0)*0.475*44/12</f>
        <v>1.5015796635090877</v>
      </c>
      <c r="AB173" s="23">
        <f>EXP(-LN(2)/2)*AB172+(1-EXP(-LN(2)/2))/(LN(2)/2)*V173*Y173*VLOOKUP('Données projet'!$B$9,Paramètres!$A$1:$I$89,3,0)*0.475*44/12</f>
        <v>1.1648063685048559E-15</v>
      </c>
      <c r="AC173" s="24">
        <f t="shared" si="163"/>
        <v>11.463395810524432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1.9999999998958629E-3</v>
      </c>
      <c r="AJ173" s="14">
        <f>AI173*VLOOKUP('Données projet'!$B$10,Paramètres!$A$1:$I$89,3,0)*VLOOKUP('Données projet'!$B$10,Paramètres!$A$1:$I$89,5,0)</f>
        <v>1.195999999937726E-3</v>
      </c>
      <c r="AK173" s="14">
        <f t="shared" si="164"/>
        <v>1.2062444695752218E-3</v>
      </c>
      <c r="AL173" s="22">
        <f t="shared" si="165"/>
        <v>4.1839091177350513E-3</v>
      </c>
      <c r="AM173" s="62">
        <f t="shared" si="113"/>
        <v>293.33751724245104</v>
      </c>
      <c r="AN173" s="62">
        <f ca="1">AVERAGE(OFFSET($AM$3,0,0,'Données projet'!$E$10+1,1))-AVERAGE(OFFSET($H$3,0,0,'Données projet'!$E$10+1,1))</f>
        <v>164.64952352018145</v>
      </c>
      <c r="AO173" s="62">
        <f t="shared" si="144"/>
        <v>280.08682720086921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4.981717367506846</v>
      </c>
      <c r="AV173" s="23">
        <f>EXP(-LN(2)/25)*AV172+(1-EXP(-LN(2)/25))/(LN(2)/25)*Calculateur!AQ173*Calculateur!AS173*VLOOKUP('Données projet'!$B$10,Paramètres!$A$1:$I$89,3,0)*0.475*44/12</f>
        <v>0.66320594055019044</v>
      </c>
      <c r="AW173" s="23">
        <f>EXP(-LN(2)/2)*AW172+(1-EXP(-LN(2)/2))/(LN(2)/2)*AQ173*AT173*VLOOKUP('Données projet'!$B$10,Paramètres!$A$1:$I$89,3,0)*0.475*44/12</f>
        <v>4.5928081345823774E-19</v>
      </c>
      <c r="AX173" s="23">
        <f t="shared" si="166"/>
        <v>5.6449233080570362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-1.7053025658242404E-13</v>
      </c>
      <c r="BE173" s="14">
        <f>BD173*VLOOKUP('Données projet'!$B$11,Paramètres!$A$1:$I$89,3,0)*VLOOKUP('Données projet'!$B$11,Paramètres!$A$1:$I$89,5,0)</f>
        <v>-1.4365468814503402E-13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339.58585574836434</v>
      </c>
      <c r="BJ173" s="62">
        <f t="shared" si="146"/>
        <v>42.267525972379588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179.89087577315422</v>
      </c>
      <c r="BQ173" s="23">
        <f>EXP(-LN(2)/25)*BQ172+(1-EXP(-LN(2)/25))/(LN(2)/25)*Calculateur!BL173*Calculateur!BN173*VLOOKUP('Données projet'!$B$11,Paramètres!$A$1:$I$89,3,0)*0.475*44/12</f>
        <v>1.4139449070260166</v>
      </c>
      <c r="BR173" s="23">
        <f>EXP(-LN(2)/2)*BR172+(1-EXP(-LN(2)/2))/(LN(2)/2)*BL173*BO173*VLOOKUP('Données projet'!$B$11,Paramètres!$A$1:$I$89,3,0)*0.475*44/12</f>
        <v>2.6475926721262263E-16</v>
      </c>
      <c r="BS173" s="24">
        <f t="shared" si="169"/>
        <v>181.30482068018023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112.34884104798977</v>
      </c>
      <c r="CE173" s="62">
        <f t="shared" si="148"/>
        <v>18.665658139749326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21.422927953317188</v>
      </c>
      <c r="CL173" s="23">
        <f>EXP(-LN(2)/25)*CL172+(1-EXP(-LN(2)/25))/(LN(2)/25)*Calculateur!CG173*Calculateur!CI173*VLOOKUP('Données projet'!$B$12,Paramètres!$A$1:$I$89,3,0)*0.475*44/12</f>
        <v>0.97234604425689508</v>
      </c>
      <c r="CM173" s="23">
        <f>EXP(-LN(2)/2)*CM172+(1-EXP(-LN(2)/2))/(LN(2)/2)*CG173*CJ173*VLOOKUP('Données projet'!$B$12,Paramètres!$A$1:$I$89,3,0)*0.475*44/12</f>
        <v>3.3701538528241993E-18</v>
      </c>
      <c r="CN173" s="24">
        <f t="shared" si="172"/>
        <v>22.395273997574083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-1.1368683772161603E-13</v>
      </c>
      <c r="CU173" s="18">
        <f>CT173*VLOOKUP('Données projet'!$B$13,Paramètres!$A$1:$I$89,3,0)*VLOOKUP('Données projet'!$B$13,Paramètres!$A$1:$I$89,5,0)</f>
        <v>-1.2414602679200469E-13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205.21073681197737</v>
      </c>
      <c r="CZ173" s="62">
        <f t="shared" si="150"/>
        <v>175.16446313750316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8.0827611399202191</v>
      </c>
      <c r="DG173" s="23">
        <f>EXP(-LN(2)/25)*DG172+(1-EXP(-LN(2)/25))/(LN(2)/25)*Calculateur!DB173*Calculateur!DD173*VLOOKUP('Données projet'!$B$13,Paramètres!$A$1:$I$89,3,0)*0.475*44/12</f>
        <v>1.5029574613025971</v>
      </c>
      <c r="DH173" s="23">
        <f>EXP(-LN(2)/2)*DH172+(1-EXP(-LN(2)/2))/(LN(2)/2)*DB173*DE173*VLOOKUP('Données projet'!$B$13,Paramètres!$A$1:$I$89,3,0)*0.475*44/12</f>
        <v>3.011310817517682E-18</v>
      </c>
      <c r="DI173" s="24">
        <f t="shared" si="175"/>
        <v>9.5857186012228155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2.2737367544323206E-13</v>
      </c>
      <c r="DP173" s="18">
        <f>DO173*VLOOKUP('Données projet'!$B$14,Paramètres!$A$1:$I$89,3,0)*VLOOKUP('Données projet'!$B$14,Paramètres!$A$1:$I$89,5,0)</f>
        <v>1.8444552551954985E-13</v>
      </c>
      <c r="DQ173" s="14">
        <f t="shared" si="176"/>
        <v>2.580317449479618E-12</v>
      </c>
      <c r="DR173" s="22">
        <f t="shared" si="177"/>
        <v>4.8152955147902165E-12</v>
      </c>
      <c r="DS173" s="62">
        <f t="shared" si="125"/>
        <v>293.33333333333815</v>
      </c>
      <c r="DT173" s="62">
        <f ca="1">AVERAGE(OFFSET($DS$3,0,0,'Données projet'!$E$14+1,1))-AVERAGE(OFFSET($H$3,0,0,'Données projet'!$E$14+1,1))</f>
        <v>223.63222290670075</v>
      </c>
      <c r="DU173" s="62">
        <f t="shared" si="152"/>
        <v>290.02663909417248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8.6069599621654476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2.6447855473608703E-15</v>
      </c>
      <c r="ED173" s="24">
        <f t="shared" si="178"/>
        <v>8.6069599621654493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463.47439640666357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192.24617268603629</v>
      </c>
      <c r="T174" s="62">
        <f t="shared" si="142"/>
        <v>192.48585280662832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9.7664710084802557</v>
      </c>
      <c r="AA174" s="23">
        <f>EXP(-LN(2)/25)*AA173+(1-EXP(-LN(2)/25))/(LN(2)/25)*Calculateur!V174*Calculateur!X174*VLOOKUP('Données projet'!$B$9,Paramètres!$A$1:$I$89,3,0)*0.475*44/12</f>
        <v>1.4605188886457892</v>
      </c>
      <c r="AB174" s="23">
        <f>EXP(-LN(2)/2)*AB173+(1-EXP(-LN(2)/2))/(LN(2)/2)*V174*Y174*VLOOKUP('Données projet'!$B$9,Paramètres!$A$1:$I$89,3,0)*0.475*44/12</f>
        <v>8.2364248193906019E-16</v>
      </c>
      <c r="AC174" s="24">
        <f t="shared" si="163"/>
        <v>11.226989897126044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1.9999999998958629E-3</v>
      </c>
      <c r="AJ174" s="14">
        <f>AI174*VLOOKUP('Données projet'!$B$10,Paramètres!$A$1:$I$89,3,0)*VLOOKUP('Données projet'!$B$10,Paramètres!$A$1:$I$89,5,0)</f>
        <v>1.195999999937726E-3</v>
      </c>
      <c r="AK174" s="14">
        <f t="shared" si="164"/>
        <v>1.2062444695752218E-3</v>
      </c>
      <c r="AL174" s="22">
        <f t="shared" si="165"/>
        <v>4.1839091177350513E-3</v>
      </c>
      <c r="AM174" s="62">
        <f t="shared" si="113"/>
        <v>293.33751724245104</v>
      </c>
      <c r="AN174" s="62">
        <f ca="1">AVERAGE(OFFSET($AM$3,0,0,'Données projet'!$E$10+1,1))-AVERAGE(OFFSET($H$3,0,0,'Données projet'!$E$10+1,1))</f>
        <v>164.64952352018145</v>
      </c>
      <c r="AO174" s="62">
        <f t="shared" si="144"/>
        <v>280.08682720086921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4.8840289284775995</v>
      </c>
      <c r="AV174" s="23">
        <f>EXP(-LN(2)/25)*AV173+(1-EXP(-LN(2)/25))/(LN(2)/25)*Calculateur!AQ174*Calculateur!AS174*VLOOKUP('Données projet'!$B$10,Paramètres!$A$1:$I$89,3,0)*0.475*44/12</f>
        <v>0.64507053922936086</v>
      </c>
      <c r="AW174" s="23">
        <f>EXP(-LN(2)/2)*AW173+(1-EXP(-LN(2)/2))/(LN(2)/2)*AQ174*AT174*VLOOKUP('Données projet'!$B$10,Paramètres!$A$1:$I$89,3,0)*0.475*44/12</f>
        <v>3.2476057766519367E-19</v>
      </c>
      <c r="AX174" s="23">
        <f t="shared" si="166"/>
        <v>5.5290994677069607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-1.7053025658242404E-13</v>
      </c>
      <c r="BE174" s="14">
        <f>BD174*VLOOKUP('Données projet'!$B$11,Paramètres!$A$1:$I$89,3,0)*VLOOKUP('Données projet'!$B$11,Paramètres!$A$1:$I$89,5,0)</f>
        <v>-1.4365468814503402E-13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339.58585574836434</v>
      </c>
      <c r="BJ174" s="62">
        <f t="shared" si="146"/>
        <v>42.267525972379588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176.36332542184269</v>
      </c>
      <c r="BQ174" s="23">
        <f>EXP(-LN(2)/25)*BQ173+(1-EXP(-LN(2)/25))/(LN(2)/25)*Calculateur!BL174*Calculateur!BN174*VLOOKUP('Données projet'!$B$11,Paramètres!$A$1:$I$89,3,0)*0.475*44/12</f>
        <v>1.3752805091872591</v>
      </c>
      <c r="BR174" s="23">
        <f>EXP(-LN(2)/2)*BR173+(1-EXP(-LN(2)/2))/(LN(2)/2)*BL174*BO174*VLOOKUP('Données projet'!$B$11,Paramètres!$A$1:$I$89,3,0)*0.475*44/12</f>
        <v>1.8721307322802662E-16</v>
      </c>
      <c r="BS174" s="24">
        <f t="shared" si="169"/>
        <v>177.73860593102995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112.34884104798977</v>
      </c>
      <c r="CE174" s="62">
        <f t="shared" si="148"/>
        <v>18.665658139749326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21.00283740284846</v>
      </c>
      <c r="CL174" s="23">
        <f>EXP(-LN(2)/25)*CL173+(1-EXP(-LN(2)/25))/(LN(2)/25)*Calculateur!CG174*Calculateur!CI174*VLOOKUP('Données projet'!$B$12,Paramètres!$A$1:$I$89,3,0)*0.475*44/12</f>
        <v>0.94575719054323415</v>
      </c>
      <c r="CM174" s="23">
        <f>EXP(-LN(2)/2)*CM173+(1-EXP(-LN(2)/2))/(LN(2)/2)*CG174*CJ174*VLOOKUP('Données projet'!$B$12,Paramètres!$A$1:$I$89,3,0)*0.475*44/12</f>
        <v>2.3830586429739612E-18</v>
      </c>
      <c r="CN174" s="24">
        <f t="shared" si="172"/>
        <v>21.948594593391693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-1.1368683772161603E-13</v>
      </c>
      <c r="CU174" s="18">
        <f>CT174*VLOOKUP('Données projet'!$B$13,Paramètres!$A$1:$I$89,3,0)*VLOOKUP('Données projet'!$B$13,Paramètres!$A$1:$I$89,5,0)</f>
        <v>-1.2414602679200469E-13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205.21073681197737</v>
      </c>
      <c r="CZ174" s="62">
        <f t="shared" si="150"/>
        <v>175.16446313750316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7.9242631239638817</v>
      </c>
      <c r="DG174" s="23">
        <f>EXP(-LN(2)/25)*DG173+(1-EXP(-LN(2)/25))/(LN(2)/25)*Calculateur!DB174*Calculateur!DD174*VLOOKUP('Données projet'!$B$13,Paramètres!$A$1:$I$89,3,0)*0.475*44/12</f>
        <v>1.4618590104861797</v>
      </c>
      <c r="DH174" s="23">
        <f>EXP(-LN(2)/2)*DH173+(1-EXP(-LN(2)/2))/(LN(2)/2)*DB174*DE174*VLOOKUP('Données projet'!$B$13,Paramètres!$A$1:$I$89,3,0)*0.475*44/12</f>
        <v>2.1293182993271591E-18</v>
      </c>
      <c r="DI174" s="24">
        <f t="shared" si="175"/>
        <v>9.386122134450062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2.2737367544323206E-13</v>
      </c>
      <c r="DP174" s="18">
        <f>DO174*VLOOKUP('Données projet'!$B$14,Paramètres!$A$1:$I$89,3,0)*VLOOKUP('Données projet'!$B$14,Paramètres!$A$1:$I$89,5,0)</f>
        <v>1.8444552551954985E-13</v>
      </c>
      <c r="DQ174" s="14">
        <f t="shared" si="176"/>
        <v>2.580317449479618E-12</v>
      </c>
      <c r="DR174" s="22">
        <f t="shared" si="177"/>
        <v>4.8152955147902165E-12</v>
      </c>
      <c r="DS174" s="62">
        <f t="shared" si="125"/>
        <v>293.33333333333815</v>
      </c>
      <c r="DT174" s="62">
        <f ca="1">AVERAGE(OFFSET($DS$3,0,0,'Données projet'!$E$14+1,1))-AVERAGE(OFFSET($H$3,0,0,'Données projet'!$E$14+1,1))</f>
        <v>223.63222290670075</v>
      </c>
      <c r="DU174" s="62">
        <f t="shared" si="152"/>
        <v>290.02663909417248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8.4381827270345919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1.8701457953230462E-15</v>
      </c>
      <c r="ED174" s="24">
        <f t="shared" si="178"/>
        <v>8.4381827270345937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464.65363697384748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192.24617268603629</v>
      </c>
      <c r="T175" s="62">
        <f t="shared" si="142"/>
        <v>192.48585280662832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9.5749564689630731</v>
      </c>
      <c r="AA175" s="23">
        <f>EXP(-LN(2)/25)*AA174+(1-EXP(-LN(2)/25))/(LN(2)/25)*Calculateur!V175*Calculateur!X175*VLOOKUP('Données projet'!$B$9,Paramètres!$A$1:$I$89,3,0)*0.475*44/12</f>
        <v>1.4205809228304198</v>
      </c>
      <c r="AB175" s="23">
        <f>EXP(-LN(2)/2)*AB174+(1-EXP(-LN(2)/2))/(LN(2)/2)*V175*Y175*VLOOKUP('Données projet'!$B$9,Paramètres!$A$1:$I$89,3,0)*0.475*44/12</f>
        <v>5.8240318425242795E-16</v>
      </c>
      <c r="AC175" s="24">
        <f t="shared" si="163"/>
        <v>10.995537391793492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1.9999999998958629E-3</v>
      </c>
      <c r="AJ175" s="14">
        <f>AI175*VLOOKUP('Données projet'!$B$10,Paramètres!$A$1:$I$89,3,0)*VLOOKUP('Données projet'!$B$10,Paramètres!$A$1:$I$89,5,0)</f>
        <v>1.195999999937726E-3</v>
      </c>
      <c r="AK175" s="14">
        <f t="shared" si="164"/>
        <v>1.2062444695752218E-3</v>
      </c>
      <c r="AL175" s="22">
        <f t="shared" si="165"/>
        <v>4.1839091177350513E-3</v>
      </c>
      <c r="AM175" s="62">
        <f t="shared" si="113"/>
        <v>293.33751724245104</v>
      </c>
      <c r="AN175" s="62">
        <f ca="1">AVERAGE(OFFSET($AM$3,0,0,'Données projet'!$E$10+1,1))-AVERAGE(OFFSET($H$3,0,0,'Données projet'!$E$10+1,1))</f>
        <v>164.64952352018145</v>
      </c>
      <c r="AO175" s="62">
        <f t="shared" si="144"/>
        <v>280.08682720086921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4.7882561001536521</v>
      </c>
      <c r="AV175" s="23">
        <f>EXP(-LN(2)/25)*AV174+(1-EXP(-LN(2)/25))/(LN(2)/25)*Calculateur!AQ175*Calculateur!AS175*VLOOKUP('Données projet'!$B$10,Paramètres!$A$1:$I$89,3,0)*0.475*44/12</f>
        <v>0.62743105141134869</v>
      </c>
      <c r="AW175" s="23">
        <f>EXP(-LN(2)/2)*AW174+(1-EXP(-LN(2)/2))/(LN(2)/2)*AQ175*AT175*VLOOKUP('Données projet'!$B$10,Paramètres!$A$1:$I$89,3,0)*0.475*44/12</f>
        <v>2.2964040672911887E-19</v>
      </c>
      <c r="AX175" s="23">
        <f t="shared" si="166"/>
        <v>5.4156871515650007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-1.7053025658242404E-13</v>
      </c>
      <c r="BE175" s="14">
        <f>BD175*VLOOKUP('Données projet'!$B$11,Paramètres!$A$1:$I$89,3,0)*VLOOKUP('Données projet'!$B$11,Paramètres!$A$1:$I$89,5,0)</f>
        <v>-1.4365468814503402E-13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339.58585574836434</v>
      </c>
      <c r="BJ175" s="62">
        <f t="shared" si="146"/>
        <v>42.267525972379588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172.90494818132711</v>
      </c>
      <c r="BQ175" s="23">
        <f>EXP(-LN(2)/25)*BQ174+(1-EXP(-LN(2)/25))/(LN(2)/25)*Calculateur!BL175*Calculateur!BN175*VLOOKUP('Données projet'!$B$11,Paramètres!$A$1:$I$89,3,0)*0.475*44/12</f>
        <v>1.3376733913406746</v>
      </c>
      <c r="BR175" s="23">
        <f>EXP(-LN(2)/2)*BR174+(1-EXP(-LN(2)/2))/(LN(2)/2)*BL175*BO175*VLOOKUP('Données projet'!$B$11,Paramètres!$A$1:$I$89,3,0)*0.475*44/12</f>
        <v>1.3237963360631131E-16</v>
      </c>
      <c r="BS175" s="24">
        <f t="shared" si="169"/>
        <v>174.24262157266779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112.34884104798977</v>
      </c>
      <c r="CE175" s="62">
        <f t="shared" si="148"/>
        <v>18.665658139749326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20.590984571844491</v>
      </c>
      <c r="CL175" s="23">
        <f>EXP(-LN(2)/25)*CL174+(1-EXP(-LN(2)/25))/(LN(2)/25)*Calculateur!CG175*Calculateur!CI175*VLOOKUP('Données projet'!$B$12,Paramètres!$A$1:$I$89,3,0)*0.475*44/12</f>
        <v>0.91989541043262035</v>
      </c>
      <c r="CM175" s="23">
        <f>EXP(-LN(2)/2)*CM174+(1-EXP(-LN(2)/2))/(LN(2)/2)*CG175*CJ175*VLOOKUP('Données projet'!$B$12,Paramètres!$A$1:$I$89,3,0)*0.475*44/12</f>
        <v>1.6850769264120997E-18</v>
      </c>
      <c r="CN175" s="24">
        <f t="shared" si="172"/>
        <v>21.51087998227711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-1.1368683772161603E-13</v>
      </c>
      <c r="CU175" s="18">
        <f>CT175*VLOOKUP('Données projet'!$B$13,Paramètres!$A$1:$I$89,3,0)*VLOOKUP('Données projet'!$B$13,Paramètres!$A$1:$I$89,5,0)</f>
        <v>-1.2414602679200469E-13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205.21073681197737</v>
      </c>
      <c r="CZ175" s="62">
        <f t="shared" si="150"/>
        <v>175.16446313750316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7.7688731574262047</v>
      </c>
      <c r="DG175" s="23">
        <f>EXP(-LN(2)/25)*DG174+(1-EXP(-LN(2)/25))/(LN(2)/25)*Calculateur!DB175*Calculateur!DD175*VLOOKUP('Données projet'!$B$13,Paramètres!$A$1:$I$89,3,0)*0.475*44/12</f>
        <v>1.421884398968611</v>
      </c>
      <c r="DH175" s="23">
        <f>EXP(-LN(2)/2)*DH174+(1-EXP(-LN(2)/2))/(LN(2)/2)*DB175*DE175*VLOOKUP('Données projet'!$B$13,Paramètres!$A$1:$I$89,3,0)*0.475*44/12</f>
        <v>1.505655408758841E-18</v>
      </c>
      <c r="DI175" s="24">
        <f t="shared" si="175"/>
        <v>9.1907575563948161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2.2737367544323206E-13</v>
      </c>
      <c r="DP175" s="18">
        <f>DO175*VLOOKUP('Données projet'!$B$14,Paramètres!$A$1:$I$89,3,0)*VLOOKUP('Données projet'!$B$14,Paramètres!$A$1:$I$89,5,0)</f>
        <v>1.8444552551954985E-13</v>
      </c>
      <c r="DQ175" s="14">
        <f t="shared" si="176"/>
        <v>2.580317449479618E-12</v>
      </c>
      <c r="DR175" s="22">
        <f t="shared" si="177"/>
        <v>4.8152955147902165E-12</v>
      </c>
      <c r="DS175" s="62">
        <f t="shared" si="125"/>
        <v>293.33333333333815</v>
      </c>
      <c r="DT175" s="62">
        <f ca="1">AVERAGE(OFFSET($DS$3,0,0,'Données projet'!$E$14+1,1))-AVERAGE(OFFSET($H$3,0,0,'Données projet'!$E$14+1,1))</f>
        <v>223.63222290670075</v>
      </c>
      <c r="DU175" s="62">
        <f t="shared" si="152"/>
        <v>290.02663909417248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8.2727151105407053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1.3223927736804352E-15</v>
      </c>
      <c r="ED175" s="24">
        <f t="shared" si="178"/>
        <v>8.2727151105407071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465.83272309806171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192.24617268603629</v>
      </c>
      <c r="T176" s="62">
        <f t="shared" si="142"/>
        <v>192.48585280662832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9.387197412753487</v>
      </c>
      <c r="AA176" s="23">
        <f>EXP(-LN(2)/25)*AA175+(1-EXP(-LN(2)/25))/(LN(2)/25)*Calculateur!V176*Calculateur!X176*VLOOKUP('Données projet'!$B$9,Paramètres!$A$1:$I$89,3,0)*0.475*44/12</f>
        <v>1.3817350627905181</v>
      </c>
      <c r="AB176" s="23">
        <f>EXP(-LN(2)/2)*AB175+(1-EXP(-LN(2)/2))/(LN(2)/2)*V176*Y176*VLOOKUP('Données projet'!$B$9,Paramètres!$A$1:$I$89,3,0)*0.475*44/12</f>
        <v>4.118212409695301E-16</v>
      </c>
      <c r="AC176" s="24">
        <f t="shared" si="163"/>
        <v>10.768932475544005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1.9999999998958629E-3</v>
      </c>
      <c r="AJ176" s="14">
        <f>AI176*VLOOKUP('Données projet'!$B$10,Paramètres!$A$1:$I$89,3,0)*VLOOKUP('Données projet'!$B$10,Paramètres!$A$1:$I$89,5,0)</f>
        <v>1.195999999937726E-3</v>
      </c>
      <c r="AK176" s="14">
        <f t="shared" si="164"/>
        <v>1.2062444695752218E-3</v>
      </c>
      <c r="AL176" s="22">
        <f t="shared" si="165"/>
        <v>4.1839091177350513E-3</v>
      </c>
      <c r="AM176" s="62">
        <f t="shared" si="113"/>
        <v>293.33751724245104</v>
      </c>
      <c r="AN176" s="62">
        <f ca="1">AVERAGE(OFFSET($AM$3,0,0,'Données projet'!$E$10+1,1))-AVERAGE(OFFSET($H$3,0,0,'Données projet'!$E$10+1,1))</f>
        <v>164.64952352018145</v>
      </c>
      <c r="AO176" s="62">
        <f t="shared" si="144"/>
        <v>280.08682720086921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4.6943613185774797</v>
      </c>
      <c r="AV176" s="23">
        <f>EXP(-LN(2)/25)*AV175+(1-EXP(-LN(2)/25))/(LN(2)/25)*Calculateur!AQ176*Calculateur!AS176*VLOOKUP('Données projet'!$B$10,Paramètres!$A$1:$I$89,3,0)*0.475*44/12</f>
        <v>0.61027391631534034</v>
      </c>
      <c r="AW176" s="23">
        <f>EXP(-LN(2)/2)*AW175+(1-EXP(-LN(2)/2))/(LN(2)/2)*AQ176*AT176*VLOOKUP('Données projet'!$B$10,Paramètres!$A$1:$I$89,3,0)*0.475*44/12</f>
        <v>1.6238028883259684E-19</v>
      </c>
      <c r="AX176" s="23">
        <f t="shared" si="166"/>
        <v>5.3046352348928201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-1.7053025658242404E-13</v>
      </c>
      <c r="BE176" s="14">
        <f>BD176*VLOOKUP('Données projet'!$B$11,Paramètres!$A$1:$I$89,3,0)*VLOOKUP('Données projet'!$B$11,Paramètres!$A$1:$I$89,5,0)</f>
        <v>-1.4365468814503402E-13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339.58585574836434</v>
      </c>
      <c r="BJ176" s="62">
        <f t="shared" si="146"/>
        <v>42.267525972379588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169.51438760909622</v>
      </c>
      <c r="BQ176" s="23">
        <f>EXP(-LN(2)/25)*BQ175+(1-EXP(-LN(2)/25))/(LN(2)/25)*Calculateur!BL176*Calculateur!BN176*VLOOKUP('Données projet'!$B$11,Paramètres!$A$1:$I$89,3,0)*0.475*44/12</f>
        <v>1.3010946421092775</v>
      </c>
      <c r="BR176" s="23">
        <f>EXP(-LN(2)/2)*BR175+(1-EXP(-LN(2)/2))/(LN(2)/2)*BL176*BO176*VLOOKUP('Données projet'!$B$11,Paramètres!$A$1:$I$89,3,0)*0.475*44/12</f>
        <v>9.3606536614013309E-17</v>
      </c>
      <c r="BS176" s="24">
        <f t="shared" si="169"/>
        <v>170.81548225120551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112.34884104798977</v>
      </c>
      <c r="CE176" s="62">
        <f t="shared" si="148"/>
        <v>18.665658139749326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20.187207923651084</v>
      </c>
      <c r="CL176" s="23">
        <f>EXP(-LN(2)/25)*CL175+(1-EXP(-LN(2)/25))/(LN(2)/25)*Calculateur!CG176*Calculateur!CI176*VLOOKUP('Données projet'!$B$12,Paramètres!$A$1:$I$89,3,0)*0.475*44/12</f>
        <v>0.89474082205914318</v>
      </c>
      <c r="CM176" s="23">
        <f>EXP(-LN(2)/2)*CM175+(1-EXP(-LN(2)/2))/(LN(2)/2)*CG176*CJ176*VLOOKUP('Données projet'!$B$12,Paramètres!$A$1:$I$89,3,0)*0.475*44/12</f>
        <v>1.1915293214869806E-18</v>
      </c>
      <c r="CN176" s="24">
        <f t="shared" si="172"/>
        <v>21.081948745710228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-1.1368683772161603E-13</v>
      </c>
      <c r="CU176" s="18">
        <f>CT176*VLOOKUP('Données projet'!$B$13,Paramètres!$A$1:$I$89,3,0)*VLOOKUP('Données projet'!$B$13,Paramètres!$A$1:$I$89,5,0)</f>
        <v>-1.2414602679200469E-13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205.21073681197737</v>
      </c>
      <c r="CZ176" s="62">
        <f t="shared" si="150"/>
        <v>175.16446313750316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7.6165302933538106</v>
      </c>
      <c r="DG176" s="23">
        <f>EXP(-LN(2)/25)*DG175+(1-EXP(-LN(2)/25))/(LN(2)/25)*Calculateur!DB176*Calculateur!DD176*VLOOKUP('Données projet'!$B$13,Paramètres!$A$1:$I$89,3,0)*0.475*44/12</f>
        <v>1.3830028953051634</v>
      </c>
      <c r="DH176" s="23">
        <f>EXP(-LN(2)/2)*DH175+(1-EXP(-LN(2)/2))/(LN(2)/2)*DB176*DE176*VLOOKUP('Données projet'!$B$13,Paramètres!$A$1:$I$89,3,0)*0.475*44/12</f>
        <v>1.0646591496635796E-18</v>
      </c>
      <c r="DI176" s="24">
        <f t="shared" si="175"/>
        <v>8.9995331886589742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2.2737367544323206E-13</v>
      </c>
      <c r="DP176" s="18">
        <f>DO176*VLOOKUP('Données projet'!$B$14,Paramètres!$A$1:$I$89,3,0)*VLOOKUP('Données projet'!$B$14,Paramètres!$A$1:$I$89,5,0)</f>
        <v>1.8444552551954985E-13</v>
      </c>
      <c r="DQ176" s="14">
        <f t="shared" si="176"/>
        <v>2.580317449479618E-12</v>
      </c>
      <c r="DR176" s="22">
        <f t="shared" si="177"/>
        <v>4.8152955147902165E-12</v>
      </c>
      <c r="DS176" s="62">
        <f t="shared" si="125"/>
        <v>293.33333333333815</v>
      </c>
      <c r="DT176" s="62">
        <f ca="1">AVERAGE(OFFSET($DS$3,0,0,'Données projet'!$E$14+1,1))-AVERAGE(OFFSET($H$3,0,0,'Données projet'!$E$14+1,1))</f>
        <v>223.63222290670075</v>
      </c>
      <c r="DU176" s="62">
        <f t="shared" si="152"/>
        <v>290.02663909417248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8.1104922130809829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9.3507289766152311E-16</v>
      </c>
      <c r="ED176" s="24">
        <f t="shared" si="178"/>
        <v>8.1104922130809847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467.01165577563029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192.24617268603629</v>
      </c>
      <c r="T177" s="62">
        <f t="shared" si="142"/>
        <v>192.48585280662832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9.2031201971144547</v>
      </c>
      <c r="AA177" s="23">
        <f>EXP(-LN(2)/25)*AA176+(1-EXP(-LN(2)/25))/(LN(2)/25)*Calculateur!V177*Calculateur!X177*VLOOKUP('Données projet'!$B$9,Paramètres!$A$1:$I$89,3,0)*0.475*44/12</f>
        <v>1.3439514448362224</v>
      </c>
      <c r="AB177" s="23">
        <f>EXP(-LN(2)/2)*AB176+(1-EXP(-LN(2)/2))/(LN(2)/2)*V177*Y177*VLOOKUP('Données projet'!$B$9,Paramètres!$A$1:$I$89,3,0)*0.475*44/12</f>
        <v>2.9120159212621398E-16</v>
      </c>
      <c r="AC177" s="24">
        <f t="shared" si="163"/>
        <v>10.547071641950676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1.9999999998958629E-3</v>
      </c>
      <c r="AJ177" s="14">
        <f>AI177*VLOOKUP('Données projet'!$B$10,Paramètres!$A$1:$I$89,3,0)*VLOOKUP('Données projet'!$B$10,Paramètres!$A$1:$I$89,5,0)</f>
        <v>1.195999999937726E-3</v>
      </c>
      <c r="AK177" s="14">
        <f t="shared" si="164"/>
        <v>1.2062444695752218E-3</v>
      </c>
      <c r="AL177" s="22">
        <f t="shared" si="165"/>
        <v>4.1839091177350513E-3</v>
      </c>
      <c r="AM177" s="62">
        <f t="shared" si="113"/>
        <v>293.33751724245104</v>
      </c>
      <c r="AN177" s="62">
        <f ca="1">AVERAGE(OFFSET($AM$3,0,0,'Données projet'!$E$10+1,1))-AVERAGE(OFFSET($H$3,0,0,'Données projet'!$E$10+1,1))</f>
        <v>164.64952352018145</v>
      </c>
      <c r="AO177" s="62">
        <f t="shared" si="144"/>
        <v>280.08682720086921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4.6023077563978543</v>
      </c>
      <c r="AV177" s="23">
        <f>EXP(-LN(2)/25)*AV176+(1-EXP(-LN(2)/25))/(LN(2)/25)*Calculateur!AQ177*Calculateur!AS177*VLOOKUP('Données projet'!$B$10,Paramètres!$A$1:$I$89,3,0)*0.475*44/12</f>
        <v>0.5935859439807869</v>
      </c>
      <c r="AW177" s="23">
        <f>EXP(-LN(2)/2)*AW176+(1-EXP(-LN(2)/2))/(LN(2)/2)*AQ177*AT177*VLOOKUP('Données projet'!$B$10,Paramètres!$A$1:$I$89,3,0)*0.475*44/12</f>
        <v>1.1482020336455944E-19</v>
      </c>
      <c r="AX177" s="23">
        <f t="shared" si="166"/>
        <v>5.1958937003786412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-1.7053025658242404E-13</v>
      </c>
      <c r="BE177" s="14">
        <f>BD177*VLOOKUP('Données projet'!$B$11,Paramètres!$A$1:$I$89,3,0)*VLOOKUP('Données projet'!$B$11,Paramètres!$A$1:$I$89,5,0)</f>
        <v>-1.4365468814503402E-13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339.58585574836434</v>
      </c>
      <c r="BJ177" s="62">
        <f t="shared" si="146"/>
        <v>42.267525972379588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166.190313861649</v>
      </c>
      <c r="BQ177" s="23">
        <f>EXP(-LN(2)/25)*BQ176+(1-EXP(-LN(2)/25))/(LN(2)/25)*Calculateur!BL177*Calculateur!BN177*VLOOKUP('Données projet'!$B$11,Paramètres!$A$1:$I$89,3,0)*0.475*44/12</f>
        <v>1.2655161406992057</v>
      </c>
      <c r="BR177" s="23">
        <f>EXP(-LN(2)/2)*BR176+(1-EXP(-LN(2)/2))/(LN(2)/2)*BL177*BO177*VLOOKUP('Données projet'!$B$11,Paramètres!$A$1:$I$89,3,0)*0.475*44/12</f>
        <v>6.6189816803155657E-17</v>
      </c>
      <c r="BS177" s="24">
        <f t="shared" si="169"/>
        <v>167.45583000234822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112.34884104798977</v>
      </c>
      <c r="CE177" s="62">
        <f t="shared" si="148"/>
        <v>18.665658139749326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19.791349089249312</v>
      </c>
      <c r="CL177" s="23">
        <f>EXP(-LN(2)/25)*CL176+(1-EXP(-LN(2)/25))/(LN(2)/25)*Calculateur!CG177*Calculateur!CI177*VLOOKUP('Données projet'!$B$12,Paramètres!$A$1:$I$89,3,0)*0.475*44/12</f>
        <v>0.87027408722756106</v>
      </c>
      <c r="CM177" s="23">
        <f>EXP(-LN(2)/2)*CM176+(1-EXP(-LN(2)/2))/(LN(2)/2)*CG177*CJ177*VLOOKUP('Données projet'!$B$12,Paramètres!$A$1:$I$89,3,0)*0.475*44/12</f>
        <v>8.4253846320604983E-19</v>
      </c>
      <c r="CN177" s="24">
        <f t="shared" si="172"/>
        <v>20.661623176476873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-1.1368683772161603E-13</v>
      </c>
      <c r="CU177" s="18">
        <f>CT177*VLOOKUP('Données projet'!$B$13,Paramètres!$A$1:$I$89,3,0)*VLOOKUP('Données projet'!$B$13,Paramètres!$A$1:$I$89,5,0)</f>
        <v>-1.2414602679200469E-13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205.21073681197737</v>
      </c>
      <c r="CZ177" s="62">
        <f t="shared" si="150"/>
        <v>175.16446313750316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7.4671747799259043</v>
      </c>
      <c r="DG177" s="23">
        <f>EXP(-LN(2)/25)*DG176+(1-EXP(-LN(2)/25))/(LN(2)/25)*Calculateur!DB177*Calculateur!DD177*VLOOKUP('Données projet'!$B$13,Paramètres!$A$1:$I$89,3,0)*0.475*44/12</f>
        <v>1.3451846084040824</v>
      </c>
      <c r="DH177" s="23">
        <f>EXP(-LN(2)/2)*DH176+(1-EXP(-LN(2)/2))/(LN(2)/2)*DB177*DE177*VLOOKUP('Données projet'!$B$13,Paramètres!$A$1:$I$89,3,0)*0.475*44/12</f>
        <v>7.5282770437942051E-19</v>
      </c>
      <c r="DI177" s="24">
        <f t="shared" si="175"/>
        <v>8.8123593883299876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2.2737367544323206E-13</v>
      </c>
      <c r="DP177" s="18">
        <f>DO177*VLOOKUP('Données projet'!$B$14,Paramètres!$A$1:$I$89,3,0)*VLOOKUP('Données projet'!$B$14,Paramètres!$A$1:$I$89,5,0)</f>
        <v>1.8444552551954985E-13</v>
      </c>
      <c r="DQ177" s="14">
        <f t="shared" si="176"/>
        <v>2.580317449479618E-12</v>
      </c>
      <c r="DR177" s="22">
        <f t="shared" si="177"/>
        <v>4.8152955147902165E-12</v>
      </c>
      <c r="DS177" s="62">
        <f t="shared" si="125"/>
        <v>293.33333333333815</v>
      </c>
      <c r="DT177" s="62">
        <f ca="1">AVERAGE(OFFSET($DS$3,0,0,'Données projet'!$E$14+1,1))-AVERAGE(OFFSET($H$3,0,0,'Données projet'!$E$14+1,1))</f>
        <v>223.63222290670075</v>
      </c>
      <c r="DU177" s="62">
        <f t="shared" si="152"/>
        <v>290.02663909417248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7.9514504076942476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6.6119638684021758E-16</v>
      </c>
      <c r="ED177" s="24">
        <f t="shared" si="178"/>
        <v>7.9514504076942485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468.19043599076269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192.24617268603629</v>
      </c>
      <c r="T178" s="62">
        <f t="shared" si="142"/>
        <v>192.48585280662832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9.0226526233980877</v>
      </c>
      <c r="AA178" s="23">
        <f>EXP(-LN(2)/25)*AA177+(1-EXP(-LN(2)/25))/(LN(2)/25)*Calculateur!V178*Calculateur!X178*VLOOKUP('Données projet'!$B$9,Paramètres!$A$1:$I$89,3,0)*0.475*44/12</f>
        <v>1.3072010219018411</v>
      </c>
      <c r="AB178" s="23">
        <f>EXP(-LN(2)/2)*AB177+(1-EXP(-LN(2)/2))/(LN(2)/2)*V178*Y178*VLOOKUP('Données projet'!$B$9,Paramètres!$A$1:$I$89,3,0)*0.475*44/12</f>
        <v>2.0591062048476505E-16</v>
      </c>
      <c r="AC178" s="24">
        <f t="shared" si="163"/>
        <v>10.329853645299929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1.9999999998958629E-3</v>
      </c>
      <c r="AJ178" s="14">
        <f>AI178*VLOOKUP('Données projet'!$B$10,Paramètres!$A$1:$I$89,3,0)*VLOOKUP('Données projet'!$B$10,Paramètres!$A$1:$I$89,5,0)</f>
        <v>1.195999999937726E-3</v>
      </c>
      <c r="AK178" s="14">
        <f t="shared" si="164"/>
        <v>1.2062444695752218E-3</v>
      </c>
      <c r="AL178" s="22">
        <f t="shared" si="165"/>
        <v>4.1839091177350513E-3</v>
      </c>
      <c r="AM178" s="62">
        <f t="shared" si="113"/>
        <v>293.33751724245104</v>
      </c>
      <c r="AN178" s="62">
        <f ca="1">AVERAGE(OFFSET($AM$3,0,0,'Données projet'!$E$10+1,1))-AVERAGE(OFFSET($H$3,0,0,'Données projet'!$E$10+1,1))</f>
        <v>164.64952352018145</v>
      </c>
      <c r="AO178" s="62">
        <f t="shared" si="144"/>
        <v>280.08682720086921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4.5120593084254423</v>
      </c>
      <c r="AV178" s="23">
        <f>EXP(-LN(2)/25)*AV177+(1-EXP(-LN(2)/25))/(LN(2)/25)*Calculateur!AQ178*Calculateur!AS178*VLOOKUP('Données projet'!$B$10,Paramètres!$A$1:$I$89,3,0)*0.475*44/12</f>
        <v>0.57735430512730412</v>
      </c>
      <c r="AW178" s="23">
        <f>EXP(-LN(2)/2)*AW177+(1-EXP(-LN(2)/2))/(LN(2)/2)*AQ178*AT178*VLOOKUP('Données projet'!$B$10,Paramètres!$A$1:$I$89,3,0)*0.475*44/12</f>
        <v>8.1190144416298418E-20</v>
      </c>
      <c r="AX178" s="23">
        <f t="shared" si="166"/>
        <v>5.0894136135527468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-1.7053025658242404E-13</v>
      </c>
      <c r="BE178" s="14">
        <f>BD178*VLOOKUP('Données projet'!$B$11,Paramètres!$A$1:$I$89,3,0)*VLOOKUP('Données projet'!$B$11,Paramètres!$A$1:$I$89,5,0)</f>
        <v>-1.4365468814503402E-13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339.58585574836434</v>
      </c>
      <c r="BJ178" s="62">
        <f t="shared" si="146"/>
        <v>42.267525972379588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162.93142317290446</v>
      </c>
      <c r="BQ178" s="23">
        <f>EXP(-LN(2)/25)*BQ177+(1-EXP(-LN(2)/25))/(LN(2)/25)*Calculateur!BL178*Calculateur!BN178*VLOOKUP('Données projet'!$B$11,Paramètres!$A$1:$I$89,3,0)*0.475*44/12</f>
        <v>1.2309105352811844</v>
      </c>
      <c r="BR178" s="23">
        <f>EXP(-LN(2)/2)*BR177+(1-EXP(-LN(2)/2))/(LN(2)/2)*BL178*BO178*VLOOKUP('Données projet'!$B$11,Paramètres!$A$1:$I$89,3,0)*0.475*44/12</f>
        <v>4.6803268307006654E-17</v>
      </c>
      <c r="BS178" s="24">
        <f t="shared" si="169"/>
        <v>164.16233370818566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112.34884104798977</v>
      </c>
      <c r="CE178" s="62">
        <f t="shared" si="148"/>
        <v>18.665658139749326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19.403252805140113</v>
      </c>
      <c r="CL178" s="23">
        <f>EXP(-LN(2)/25)*CL177+(1-EXP(-LN(2)/25))/(LN(2)/25)*Calculateur!CG178*Calculateur!CI178*VLOOKUP('Données projet'!$B$12,Paramètres!$A$1:$I$89,3,0)*0.475*44/12</f>
        <v>0.84647639654659823</v>
      </c>
      <c r="CM178" s="23">
        <f>EXP(-LN(2)/2)*CM177+(1-EXP(-LN(2)/2))/(LN(2)/2)*CG178*CJ178*VLOOKUP('Données projet'!$B$12,Paramètres!$A$1:$I$89,3,0)*0.475*44/12</f>
        <v>5.9576466074349029E-19</v>
      </c>
      <c r="CN178" s="24">
        <f t="shared" si="172"/>
        <v>20.249729201686712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-1.1368683772161603E-13</v>
      </c>
      <c r="CU178" s="18">
        <f>CT178*VLOOKUP('Données projet'!$B$13,Paramètres!$A$1:$I$89,3,0)*VLOOKUP('Données projet'!$B$13,Paramètres!$A$1:$I$89,5,0)</f>
        <v>-1.2414602679200469E-13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205.21073681197737</v>
      </c>
      <c r="CZ178" s="62">
        <f t="shared" si="150"/>
        <v>175.16446313750316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7.3207480370184506</v>
      </c>
      <c r="DG178" s="23">
        <f>EXP(-LN(2)/25)*DG177+(1-EXP(-LN(2)/25))/(LN(2)/25)*Calculateur!DB178*Calculateur!DD178*VLOOKUP('Données projet'!$B$13,Paramètres!$A$1:$I$89,3,0)*0.475*44/12</f>
        <v>1.3084004645470886</v>
      </c>
      <c r="DH178" s="23">
        <f>EXP(-LN(2)/2)*DH177+(1-EXP(-LN(2)/2))/(LN(2)/2)*DB178*DE178*VLOOKUP('Données projet'!$B$13,Paramètres!$A$1:$I$89,3,0)*0.475*44/12</f>
        <v>5.3232957483178978E-19</v>
      </c>
      <c r="DI178" s="24">
        <f t="shared" si="175"/>
        <v>8.6291485015655383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2.2737367544323206E-13</v>
      </c>
      <c r="DP178" s="18">
        <f>DO178*VLOOKUP('Données projet'!$B$14,Paramètres!$A$1:$I$89,3,0)*VLOOKUP('Données projet'!$B$14,Paramètres!$A$1:$I$89,5,0)</f>
        <v>1.8444552551954985E-13</v>
      </c>
      <c r="DQ178" s="14">
        <f t="shared" si="176"/>
        <v>2.580317449479618E-12</v>
      </c>
      <c r="DR178" s="22">
        <f t="shared" si="177"/>
        <v>4.8152955147902165E-12</v>
      </c>
      <c r="DS178" s="62">
        <f t="shared" si="125"/>
        <v>293.33333333333815</v>
      </c>
      <c r="DT178" s="62">
        <f ca="1">AVERAGE(OFFSET($DS$3,0,0,'Données projet'!$E$14+1,1))-AVERAGE(OFFSET($H$3,0,0,'Données projet'!$E$14+1,1))</f>
        <v>223.63222290670075</v>
      </c>
      <c r="DU178" s="62">
        <f t="shared" si="152"/>
        <v>290.02663909417248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7.7955273151052236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4.6753644883076156E-16</v>
      </c>
      <c r="ED178" s="24">
        <f t="shared" si="178"/>
        <v>7.7955273151052245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469.3690647157693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192.24617268603629</v>
      </c>
      <c r="T179" s="62">
        <f t="shared" si="142"/>
        <v>192.48585280662832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8.8457239087279476</v>
      </c>
      <c r="AA179" s="23">
        <f>EXP(-LN(2)/25)*AA178+(1-EXP(-LN(2)/25))/(LN(2)/25)*Calculateur!V179*Calculateur!X179*VLOOKUP('Données projet'!$B$9,Paramètres!$A$1:$I$89,3,0)*0.475*44/12</f>
        <v>1.2714555412152211</v>
      </c>
      <c r="AB179" s="23">
        <f>EXP(-LN(2)/2)*AB178+(1-EXP(-LN(2)/2))/(LN(2)/2)*V179*Y179*VLOOKUP('Données projet'!$B$9,Paramètres!$A$1:$I$89,3,0)*0.475*44/12</f>
        <v>1.4560079606310699E-16</v>
      </c>
      <c r="AC179" s="24">
        <f t="shared" si="163"/>
        <v>10.117179449943169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1.9999999998958629E-3</v>
      </c>
      <c r="AJ179" s="14">
        <f>AI179*VLOOKUP('Données projet'!$B$10,Paramètres!$A$1:$I$89,3,0)*VLOOKUP('Données projet'!$B$10,Paramètres!$A$1:$I$89,5,0)</f>
        <v>1.195999999937726E-3</v>
      </c>
      <c r="AK179" s="14">
        <f t="shared" si="164"/>
        <v>1.2062444695752218E-3</v>
      </c>
      <c r="AL179" s="22">
        <f t="shared" si="165"/>
        <v>4.1839091177350513E-3</v>
      </c>
      <c r="AM179" s="62">
        <f t="shared" si="113"/>
        <v>293.33751724245104</v>
      </c>
      <c r="AN179" s="62">
        <f ca="1">AVERAGE(OFFSET($AM$3,0,0,'Données projet'!$E$10+1,1))-AVERAGE(OFFSET($H$3,0,0,'Données projet'!$E$10+1,1))</f>
        <v>164.64952352018145</v>
      </c>
      <c r="AO179" s="62">
        <f t="shared" si="144"/>
        <v>280.08682720086921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4.4235805774716521</v>
      </c>
      <c r="AV179" s="23">
        <f>EXP(-LN(2)/25)*AV178+(1-EXP(-LN(2)/25))/(LN(2)/25)*Calculateur!AQ179*Calculateur!AS179*VLOOKUP('Données projet'!$B$10,Paramètres!$A$1:$I$89,3,0)*0.475*44/12</f>
        <v>0.56156652129185469</v>
      </c>
      <c r="AW179" s="23">
        <f>EXP(-LN(2)/2)*AW178+(1-EXP(-LN(2)/2))/(LN(2)/2)*AQ179*AT179*VLOOKUP('Données projet'!$B$10,Paramètres!$A$1:$I$89,3,0)*0.475*44/12</f>
        <v>5.7410101682279718E-20</v>
      </c>
      <c r="AX179" s="23">
        <f t="shared" si="166"/>
        <v>4.9851470987635071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-1.7053025658242404E-13</v>
      </c>
      <c r="BE179" s="14">
        <f>BD179*VLOOKUP('Données projet'!$B$11,Paramètres!$A$1:$I$89,3,0)*VLOOKUP('Données projet'!$B$11,Paramètres!$A$1:$I$89,5,0)</f>
        <v>-1.4365468814503402E-13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339.58585574836434</v>
      </c>
      <c r="BJ179" s="62">
        <f t="shared" si="146"/>
        <v>42.267525972379588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159.73643734283914</v>
      </c>
      <c r="BQ179" s="23">
        <f>EXP(-LN(2)/25)*BQ178+(1-EXP(-LN(2)/25))/(LN(2)/25)*Calculateur!BL179*Calculateur!BN179*VLOOKUP('Données projet'!$B$11,Paramètres!$A$1:$I$89,3,0)*0.475*44/12</f>
        <v>1.1972512219631486</v>
      </c>
      <c r="BR179" s="23">
        <f>EXP(-LN(2)/2)*BR178+(1-EXP(-LN(2)/2))/(LN(2)/2)*BL179*BO179*VLOOKUP('Données projet'!$B$11,Paramètres!$A$1:$I$89,3,0)*0.475*44/12</f>
        <v>3.3094908401577828E-17</v>
      </c>
      <c r="BS179" s="24">
        <f t="shared" si="169"/>
        <v>160.93368856480228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112.34884104798977</v>
      </c>
      <c r="CE179" s="62">
        <f t="shared" si="148"/>
        <v>18.665658139749326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19.022766852446935</v>
      </c>
      <c r="CL179" s="23">
        <f>EXP(-LN(2)/25)*CL178+(1-EXP(-LN(2)/25))/(LN(2)/25)*Calculateur!CG179*Calculateur!CI179*VLOOKUP('Données projet'!$B$12,Paramètres!$A$1:$I$89,3,0)*0.475*44/12</f>
        <v>0.82332945496877241</v>
      </c>
      <c r="CM179" s="23">
        <f>EXP(-LN(2)/2)*CM178+(1-EXP(-LN(2)/2))/(LN(2)/2)*CG179*CJ179*VLOOKUP('Données projet'!$B$12,Paramètres!$A$1:$I$89,3,0)*0.475*44/12</f>
        <v>4.2126923160302492E-19</v>
      </c>
      <c r="CN179" s="24">
        <f t="shared" si="172"/>
        <v>19.846096307415706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-1.1368683772161603E-13</v>
      </c>
      <c r="CU179" s="18">
        <f>CT179*VLOOKUP('Données projet'!$B$13,Paramètres!$A$1:$I$89,3,0)*VLOOKUP('Données projet'!$B$13,Paramètres!$A$1:$I$89,5,0)</f>
        <v>-1.2414602679200469E-13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205.21073681197737</v>
      </c>
      <c r="CZ179" s="62">
        <f t="shared" si="150"/>
        <v>175.16446313750316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7.1771926332279179</v>
      </c>
      <c r="DG179" s="23">
        <f>EXP(-LN(2)/25)*DG178+(1-EXP(-LN(2)/25))/(LN(2)/25)*Calculateur!DB179*Calculateur!DD179*VLOOKUP('Données projet'!$B$13,Paramètres!$A$1:$I$89,3,0)*0.475*44/12</f>
        <v>1.2726221850382584</v>
      </c>
      <c r="DH179" s="23">
        <f>EXP(-LN(2)/2)*DH178+(1-EXP(-LN(2)/2))/(LN(2)/2)*DB179*DE179*VLOOKUP('Données projet'!$B$13,Paramètres!$A$1:$I$89,3,0)*0.475*44/12</f>
        <v>3.7641385218971025E-19</v>
      </c>
      <c r="DI179" s="24">
        <f t="shared" si="175"/>
        <v>8.4498148182661765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2.2737367544323206E-13</v>
      </c>
      <c r="DP179" s="18">
        <f>DO179*VLOOKUP('Données projet'!$B$14,Paramètres!$A$1:$I$89,3,0)*VLOOKUP('Données projet'!$B$14,Paramètres!$A$1:$I$89,5,0)</f>
        <v>1.8444552551954985E-13</v>
      </c>
      <c r="DQ179" s="14">
        <f t="shared" si="176"/>
        <v>2.580317449479618E-12</v>
      </c>
      <c r="DR179" s="22">
        <f t="shared" si="177"/>
        <v>4.8152955147902165E-12</v>
      </c>
      <c r="DS179" s="62">
        <f t="shared" si="125"/>
        <v>293.33333333333815</v>
      </c>
      <c r="DT179" s="62">
        <f ca="1">AVERAGE(OFFSET($DS$3,0,0,'Données projet'!$E$14+1,1))-AVERAGE(OFFSET($H$3,0,0,'Données projet'!$E$14+1,1))</f>
        <v>223.63222290670075</v>
      </c>
      <c r="DU179" s="62">
        <f t="shared" si="152"/>
        <v>290.02663909417248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7.6426617792581748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3.3059819342010879E-16</v>
      </c>
      <c r="ED179" s="24">
        <f t="shared" si="178"/>
        <v>7.6426617792581748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470.54754291127216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192.24617268603629</v>
      </c>
      <c r="T180" s="62">
        <f t="shared" si="142"/>
        <v>192.48585280662832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8.6722646582366298</v>
      </c>
      <c r="AA180" s="23">
        <f>EXP(-LN(2)/25)*AA179+(1-EXP(-LN(2)/25))/(LN(2)/25)*Calculateur!V180*Calculateur!X180*VLOOKUP('Données projet'!$B$9,Paramètres!$A$1:$I$89,3,0)*0.475*44/12</f>
        <v>1.2366875225777498</v>
      </c>
      <c r="AB180" s="23">
        <f>EXP(-LN(2)/2)*AB179+(1-EXP(-LN(2)/2))/(LN(2)/2)*V180*Y180*VLOOKUP('Données projet'!$B$9,Paramètres!$A$1:$I$89,3,0)*0.475*44/12</f>
        <v>1.0295531024238252E-16</v>
      </c>
      <c r="AC180" s="24">
        <f t="shared" si="163"/>
        <v>9.9089521808143797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1.9999999998958629E-3</v>
      </c>
      <c r="AJ180" s="14">
        <f>AI180*VLOOKUP('Données projet'!$B$10,Paramètres!$A$1:$I$89,3,0)*VLOOKUP('Données projet'!$B$10,Paramètres!$A$1:$I$89,5,0)</f>
        <v>1.195999999937726E-3</v>
      </c>
      <c r="AK180" s="14">
        <f t="shared" si="164"/>
        <v>1.2062444695752218E-3</v>
      </c>
      <c r="AL180" s="22">
        <f t="shared" si="165"/>
        <v>4.1839091177350513E-3</v>
      </c>
      <c r="AM180" s="62">
        <f t="shared" si="113"/>
        <v>293.33751724245104</v>
      </c>
      <c r="AN180" s="62">
        <f ca="1">AVERAGE(OFFSET($AM$3,0,0,'Données projet'!$E$10+1,1))-AVERAGE(OFFSET($H$3,0,0,'Données projet'!$E$10+1,1))</f>
        <v>164.64952352018145</v>
      </c>
      <c r="AO180" s="62">
        <f t="shared" si="144"/>
        <v>280.08682720086921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4.3368368604651684</v>
      </c>
      <c r="AV180" s="23">
        <f>EXP(-LN(2)/25)*AV179+(1-EXP(-LN(2)/25))/(LN(2)/25)*Calculateur!AQ180*Calculateur!AS180*VLOOKUP('Données projet'!$B$10,Paramètres!$A$1:$I$89,3,0)*0.475*44/12</f>
        <v>0.54621045523562906</v>
      </c>
      <c r="AW180" s="23">
        <f>EXP(-LN(2)/2)*AW179+(1-EXP(-LN(2)/2))/(LN(2)/2)*AQ180*AT180*VLOOKUP('Données projet'!$B$10,Paramètres!$A$1:$I$89,3,0)*0.475*44/12</f>
        <v>4.0595072208149209E-20</v>
      </c>
      <c r="AX180" s="23">
        <f t="shared" si="166"/>
        <v>4.8830473157007974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-1.7053025658242404E-13</v>
      </c>
      <c r="BE180" s="14">
        <f>BD180*VLOOKUP('Données projet'!$B$11,Paramètres!$A$1:$I$89,3,0)*VLOOKUP('Données projet'!$B$11,Paramètres!$A$1:$I$89,5,0)</f>
        <v>-1.4365468814503402E-13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339.58585574836434</v>
      </c>
      <c r="BJ180" s="62">
        <f t="shared" si="146"/>
        <v>42.267525972379588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156.60410323615247</v>
      </c>
      <c r="BQ180" s="23">
        <f>EXP(-LN(2)/25)*BQ179+(1-EXP(-LN(2)/25))/(LN(2)/25)*Calculateur!BL180*Calculateur!BN180*VLOOKUP('Données projet'!$B$11,Paramètres!$A$1:$I$89,3,0)*0.475*44/12</f>
        <v>1.1645123243378608</v>
      </c>
      <c r="BR180" s="23">
        <f>EXP(-LN(2)/2)*BR179+(1-EXP(-LN(2)/2))/(LN(2)/2)*BL180*BO180*VLOOKUP('Données projet'!$B$11,Paramètres!$A$1:$I$89,3,0)*0.475*44/12</f>
        <v>2.3401634153503327E-17</v>
      </c>
      <c r="BS180" s="24">
        <f t="shared" si="169"/>
        <v>157.76861556049033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112.34884104798977</v>
      </c>
      <c r="CE180" s="62">
        <f t="shared" si="148"/>
        <v>18.665658139749326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18.649741997212555</v>
      </c>
      <c r="CL180" s="23">
        <f>EXP(-LN(2)/25)*CL179+(1-EXP(-LN(2)/25))/(LN(2)/25)*Calculateur!CG180*Calculateur!CI180*VLOOKUP('Données projet'!$B$12,Paramètres!$A$1:$I$89,3,0)*0.475*44/12</f>
        <v>0.80081546772563705</v>
      </c>
      <c r="CM180" s="23">
        <f>EXP(-LN(2)/2)*CM179+(1-EXP(-LN(2)/2))/(LN(2)/2)*CG180*CJ180*VLOOKUP('Données projet'!$B$12,Paramètres!$A$1:$I$89,3,0)*0.475*44/12</f>
        <v>2.9788233037174515E-19</v>
      </c>
      <c r="CN180" s="24">
        <f t="shared" si="172"/>
        <v>19.450557464938193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-1.1368683772161603E-13</v>
      </c>
      <c r="CU180" s="18">
        <f>CT180*VLOOKUP('Données projet'!$B$13,Paramètres!$A$1:$I$89,3,0)*VLOOKUP('Données projet'!$B$13,Paramètres!$A$1:$I$89,5,0)</f>
        <v>-1.2414602679200469E-13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205.21073681197737</v>
      </c>
      <c r="CZ180" s="62">
        <f t="shared" si="150"/>
        <v>175.16446313750316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7.0364522633455673</v>
      </c>
      <c r="DG180" s="23">
        <f>EXP(-LN(2)/25)*DG179+(1-EXP(-LN(2)/25))/(LN(2)/25)*Calculateur!DB180*Calculateur!DD180*VLOOKUP('Données projet'!$B$13,Paramètres!$A$1:$I$89,3,0)*0.475*44/12</f>
        <v>1.237822264464095</v>
      </c>
      <c r="DH180" s="23">
        <f>EXP(-LN(2)/2)*DH179+(1-EXP(-LN(2)/2))/(LN(2)/2)*DB180*DE180*VLOOKUP('Données projet'!$B$13,Paramètres!$A$1:$I$89,3,0)*0.475*44/12</f>
        <v>2.6616478741589489E-19</v>
      </c>
      <c r="DI180" s="24">
        <f t="shared" si="175"/>
        <v>8.2742745278096628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2.2737367544323206E-13</v>
      </c>
      <c r="DP180" s="18">
        <f>DO180*VLOOKUP('Données projet'!$B$14,Paramètres!$A$1:$I$89,3,0)*VLOOKUP('Données projet'!$B$14,Paramètres!$A$1:$I$89,5,0)</f>
        <v>1.8444552551954985E-13</v>
      </c>
      <c r="DQ180" s="14">
        <f t="shared" si="176"/>
        <v>2.580317449479618E-12</v>
      </c>
      <c r="DR180" s="22">
        <f t="shared" si="177"/>
        <v>4.8152955147902165E-12</v>
      </c>
      <c r="DS180" s="62">
        <f t="shared" si="125"/>
        <v>293.33333333333815</v>
      </c>
      <c r="DT180" s="62">
        <f ca="1">AVERAGE(OFFSET($DS$3,0,0,'Données projet'!$E$14+1,1))-AVERAGE(OFFSET($H$3,0,0,'Données projet'!$E$14+1,1))</f>
        <v>223.63222290670075</v>
      </c>
      <c r="DU180" s="62">
        <f t="shared" si="152"/>
        <v>290.02663909417248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7.4927938433303165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2.3376822441538078E-16</v>
      </c>
      <c r="ED180" s="24">
        <f t="shared" si="178"/>
        <v>7.4927938433303165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471.7258715264108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192.24617268603629</v>
      </c>
      <c r="T181" s="62">
        <f t="shared" si="142"/>
        <v>192.48585280662832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8.5022068378477513</v>
      </c>
      <c r="AA181" s="23">
        <f>EXP(-LN(2)/25)*AA180+(1-EXP(-LN(2)/25))/(LN(2)/25)*Calculateur!V181*Calculateur!X181*VLOOKUP('Données projet'!$B$9,Paramètres!$A$1:$I$89,3,0)*0.475*44/12</f>
        <v>1.2028702372382909</v>
      </c>
      <c r="AB181" s="23">
        <f>EXP(-LN(2)/2)*AB180+(1-EXP(-LN(2)/2))/(LN(2)/2)*V181*Y181*VLOOKUP('Données projet'!$B$9,Paramètres!$A$1:$I$89,3,0)*0.475*44/12</f>
        <v>7.2800398031553494E-17</v>
      </c>
      <c r="AC181" s="24">
        <f t="shared" si="163"/>
        <v>9.7050770750860416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1.9999999998958629E-3</v>
      </c>
      <c r="AJ181" s="14">
        <f>AI181*VLOOKUP('Données projet'!$B$10,Paramètres!$A$1:$I$89,3,0)*VLOOKUP('Données projet'!$B$10,Paramètres!$A$1:$I$89,5,0)</f>
        <v>1.195999999937726E-3</v>
      </c>
      <c r="AK181" s="14">
        <f t="shared" si="164"/>
        <v>1.2062444695752218E-3</v>
      </c>
      <c r="AL181" s="22">
        <f t="shared" si="165"/>
        <v>4.1839091177350513E-3</v>
      </c>
      <c r="AM181" s="62">
        <f t="shared" si="113"/>
        <v>293.33751724245104</v>
      </c>
      <c r="AN181" s="62">
        <f ca="1">AVERAGE(OFFSET($AM$3,0,0,'Données projet'!$E$10+1,1))-AVERAGE(OFFSET($H$3,0,0,'Données projet'!$E$10+1,1))</f>
        <v>164.64952352018145</v>
      </c>
      <c r="AO181" s="62">
        <f t="shared" si="144"/>
        <v>280.08682720086921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4.2517941348407389</v>
      </c>
      <c r="AV181" s="23">
        <f>EXP(-LN(2)/25)*AV180+(1-EXP(-LN(2)/25))/(LN(2)/25)*Calculateur!AQ181*Calculateur!AS181*VLOOKUP('Données projet'!$B$10,Paramètres!$A$1:$I$89,3,0)*0.475*44/12</f>
        <v>0.53127430161325129</v>
      </c>
      <c r="AW181" s="23">
        <f>EXP(-LN(2)/2)*AW180+(1-EXP(-LN(2)/2))/(LN(2)/2)*AQ181*AT181*VLOOKUP('Données projet'!$B$10,Paramètres!$A$1:$I$89,3,0)*0.475*44/12</f>
        <v>2.8705050841139859E-20</v>
      </c>
      <c r="AX181" s="23">
        <f t="shared" si="166"/>
        <v>4.7830684364539904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-1.7053025658242404E-13</v>
      </c>
      <c r="BE181" s="14">
        <f>BD181*VLOOKUP('Données projet'!$B$11,Paramètres!$A$1:$I$89,3,0)*VLOOKUP('Données projet'!$B$11,Paramètres!$A$1:$I$89,5,0)</f>
        <v>-1.4365468814503402E-13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339.58585574836434</v>
      </c>
      <c r="BJ181" s="62">
        <f t="shared" si="146"/>
        <v>42.267525972379588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153.53319229076277</v>
      </c>
      <c r="BQ181" s="23">
        <f>EXP(-LN(2)/25)*BQ180+(1-EXP(-LN(2)/25))/(LN(2)/25)*Calculateur!BL181*Calculateur!BN181*VLOOKUP('Données projet'!$B$11,Paramètres!$A$1:$I$89,3,0)*0.475*44/12</f>
        <v>1.1326686735898004</v>
      </c>
      <c r="BR181" s="23">
        <f>EXP(-LN(2)/2)*BR180+(1-EXP(-LN(2)/2))/(LN(2)/2)*BL181*BO181*VLOOKUP('Données projet'!$B$11,Paramètres!$A$1:$I$89,3,0)*0.475*44/12</f>
        <v>1.6547454200788914E-17</v>
      </c>
      <c r="BS181" s="24">
        <f t="shared" si="169"/>
        <v>154.66586096435256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112.34884104798977</v>
      </c>
      <c r="CE181" s="62">
        <f t="shared" si="148"/>
        <v>18.665658139749326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18.284031931866625</v>
      </c>
      <c r="CL181" s="23">
        <f>EXP(-LN(2)/25)*CL180+(1-EXP(-LN(2)/25))/(LN(2)/25)*Calculateur!CG181*Calculateur!CI181*VLOOKUP('Données projet'!$B$12,Paramètres!$A$1:$I$89,3,0)*0.475*44/12</f>
        <v>0.77891712664762436</v>
      </c>
      <c r="CM181" s="23">
        <f>EXP(-LN(2)/2)*CM180+(1-EXP(-LN(2)/2))/(LN(2)/2)*CG181*CJ181*VLOOKUP('Données projet'!$B$12,Paramètres!$A$1:$I$89,3,0)*0.475*44/12</f>
        <v>2.1063461580151246E-19</v>
      </c>
      <c r="CN181" s="24">
        <f t="shared" si="172"/>
        <v>19.062949058514249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-1.1368683772161603E-13</v>
      </c>
      <c r="CU181" s="18">
        <f>CT181*VLOOKUP('Données projet'!$B$13,Paramètres!$A$1:$I$89,3,0)*VLOOKUP('Données projet'!$B$13,Paramètres!$A$1:$I$89,5,0)</f>
        <v>-1.2414602679200469E-13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205.21073681197737</v>
      </c>
      <c r="CZ181" s="62">
        <f t="shared" si="150"/>
        <v>175.16446313750316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6.8984717262734598</v>
      </c>
      <c r="DG181" s="23">
        <f>EXP(-LN(2)/25)*DG180+(1-EXP(-LN(2)/25))/(LN(2)/25)*Calculateur!DB181*Calculateur!DD181*VLOOKUP('Données projet'!$B$13,Paramètres!$A$1:$I$89,3,0)*0.475*44/12</f>
        <v>1.2039739495480806</v>
      </c>
      <c r="DH181" s="23">
        <f>EXP(-LN(2)/2)*DH180+(1-EXP(-LN(2)/2))/(LN(2)/2)*DB181*DE181*VLOOKUP('Données projet'!$B$13,Paramètres!$A$1:$I$89,3,0)*0.475*44/12</f>
        <v>1.8820692609485513E-19</v>
      </c>
      <c r="DI181" s="24">
        <f t="shared" si="175"/>
        <v>8.1024456758215404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2.2737367544323206E-13</v>
      </c>
      <c r="DP181" s="18">
        <f>DO181*VLOOKUP('Données projet'!$B$14,Paramètres!$A$1:$I$89,3,0)*VLOOKUP('Données projet'!$B$14,Paramètres!$A$1:$I$89,5,0)</f>
        <v>1.8444552551954985E-13</v>
      </c>
      <c r="DQ181" s="14">
        <f t="shared" si="176"/>
        <v>2.580317449479618E-12</v>
      </c>
      <c r="DR181" s="22">
        <f t="shared" si="177"/>
        <v>4.8152955147902165E-12</v>
      </c>
      <c r="DS181" s="62">
        <f t="shared" si="125"/>
        <v>293.33333333333815</v>
      </c>
      <c r="DT181" s="62">
        <f ca="1">AVERAGE(OFFSET($DS$3,0,0,'Données projet'!$E$14+1,1))-AVERAGE(OFFSET($H$3,0,0,'Données projet'!$E$14+1,1))</f>
        <v>223.63222290670075</v>
      </c>
      <c r="DU181" s="62">
        <f t="shared" si="152"/>
        <v>290.02663909417248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7.3458647262155887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1.6529909671005439E-16</v>
      </c>
      <c r="ED181" s="24">
        <f t="shared" si="178"/>
        <v>7.3458647262155887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472.90405149904302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192.24617268603629</v>
      </c>
      <c r="T182" s="62">
        <f t="shared" si="142"/>
        <v>192.48585280662832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8.3354837475916685</v>
      </c>
      <c r="AA182" s="23">
        <f>EXP(-LN(2)/25)*AA181+(1-EXP(-LN(2)/25))/(LN(2)/25)*Calculateur!V182*Calculateur!X182*VLOOKUP('Données projet'!$B$9,Paramètres!$A$1:$I$89,3,0)*0.475*44/12</f>
        <v>1.1699776873448133</v>
      </c>
      <c r="AB182" s="23">
        <f>EXP(-LN(2)/2)*AB181+(1-EXP(-LN(2)/2))/(LN(2)/2)*V182*Y182*VLOOKUP('Données projet'!$B$9,Paramètres!$A$1:$I$89,3,0)*0.475*44/12</f>
        <v>5.1477655121191262E-17</v>
      </c>
      <c r="AC182" s="24">
        <f t="shared" si="163"/>
        <v>9.5054614349364819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1.9999999998958629E-3</v>
      </c>
      <c r="AJ182" s="14">
        <f>AI182*VLOOKUP('Données projet'!$B$10,Paramètres!$A$1:$I$89,3,0)*VLOOKUP('Données projet'!$B$10,Paramètres!$A$1:$I$89,5,0)</f>
        <v>1.195999999937726E-3</v>
      </c>
      <c r="AK182" s="14">
        <f t="shared" si="164"/>
        <v>1.2062444695752218E-3</v>
      </c>
      <c r="AL182" s="22">
        <f t="shared" si="165"/>
        <v>4.1839091177350513E-3</v>
      </c>
      <c r="AM182" s="62">
        <f t="shared" si="113"/>
        <v>293.33751724245104</v>
      </c>
      <c r="AN182" s="62">
        <f ca="1">AVERAGE(OFFSET($AM$3,0,0,'Données projet'!$E$10+1,1))-AVERAGE(OFFSET($H$3,0,0,'Données projet'!$E$10+1,1))</f>
        <v>164.64952352018145</v>
      </c>
      <c r="AO182" s="62">
        <f t="shared" si="144"/>
        <v>280.08682720086921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4.1684190451948631</v>
      </c>
      <c r="AV182" s="23">
        <f>EXP(-LN(2)/25)*AV181+(1-EXP(-LN(2)/25))/(LN(2)/25)*Calculateur!AQ182*Calculateur!AS182*VLOOKUP('Données projet'!$B$10,Paramètres!$A$1:$I$89,3,0)*0.475*44/12</f>
        <v>0.51674657789713563</v>
      </c>
      <c r="AW182" s="23">
        <f>EXP(-LN(2)/2)*AW181+(1-EXP(-LN(2)/2))/(LN(2)/2)*AQ182*AT182*VLOOKUP('Données projet'!$B$10,Paramètres!$A$1:$I$89,3,0)*0.475*44/12</f>
        <v>2.0297536104074604E-20</v>
      </c>
      <c r="AX182" s="23">
        <f t="shared" si="166"/>
        <v>4.6851656230919989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-1.7053025658242404E-13</v>
      </c>
      <c r="BE182" s="14">
        <f>BD182*VLOOKUP('Données projet'!$B$11,Paramètres!$A$1:$I$89,3,0)*VLOOKUP('Données projet'!$B$11,Paramètres!$A$1:$I$89,5,0)</f>
        <v>-1.4365468814503402E-13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339.58585574836434</v>
      </c>
      <c r="BJ182" s="62">
        <f t="shared" si="146"/>
        <v>42.267525972379588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150.52250003594145</v>
      </c>
      <c r="BQ182" s="23">
        <f>EXP(-LN(2)/25)*BQ181+(1-EXP(-LN(2)/25))/(LN(2)/25)*Calculateur!BL182*Calculateur!BN182*VLOOKUP('Données projet'!$B$11,Paramètres!$A$1:$I$89,3,0)*0.475*44/12</f>
        <v>1.1016957891460306</v>
      </c>
      <c r="BR182" s="23">
        <f>EXP(-LN(2)/2)*BR181+(1-EXP(-LN(2)/2))/(LN(2)/2)*BL182*BO182*VLOOKUP('Données projet'!$B$11,Paramètres!$A$1:$I$89,3,0)*0.475*44/12</f>
        <v>1.1700817076751664E-17</v>
      </c>
      <c r="BS182" s="24">
        <f t="shared" si="169"/>
        <v>151.62419582508747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112.34884104798977</v>
      </c>
      <c r="CE182" s="62">
        <f t="shared" si="148"/>
        <v>18.665658139749326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17.925493217841016</v>
      </c>
      <c r="CL182" s="23">
        <f>EXP(-LN(2)/25)*CL181+(1-EXP(-LN(2)/25))/(LN(2)/25)*Calculateur!CG182*Calculateur!CI182*VLOOKUP('Données projet'!$B$12,Paramètres!$A$1:$I$89,3,0)*0.475*44/12</f>
        <v>0.75761759685797359</v>
      </c>
      <c r="CM182" s="23">
        <f>EXP(-LN(2)/2)*CM181+(1-EXP(-LN(2)/2))/(LN(2)/2)*CG182*CJ182*VLOOKUP('Données projet'!$B$12,Paramètres!$A$1:$I$89,3,0)*0.475*44/12</f>
        <v>1.4894116518587257E-19</v>
      </c>
      <c r="CN182" s="24">
        <f t="shared" si="172"/>
        <v>18.683110814698988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-1.1368683772161603E-13</v>
      </c>
      <c r="CU182" s="18">
        <f>CT182*VLOOKUP('Données projet'!$B$13,Paramètres!$A$1:$I$89,3,0)*VLOOKUP('Données projet'!$B$13,Paramètres!$A$1:$I$89,5,0)</f>
        <v>-1.2414602679200469E-13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205.21073681197737</v>
      </c>
      <c r="CZ182" s="62">
        <f t="shared" si="150"/>
        <v>175.16446313750316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6.7631969033735189</v>
      </c>
      <c r="DG182" s="23">
        <f>EXP(-LN(2)/25)*DG181+(1-EXP(-LN(2)/25))/(LN(2)/25)*Calculateur!DB182*Calculateur!DD182*VLOOKUP('Données projet'!$B$13,Paramètres!$A$1:$I$89,3,0)*0.475*44/12</f>
        <v>1.1710512185834501</v>
      </c>
      <c r="DH182" s="23">
        <f>EXP(-LN(2)/2)*DH181+(1-EXP(-LN(2)/2))/(LN(2)/2)*DB182*DE182*VLOOKUP('Données projet'!$B$13,Paramètres!$A$1:$I$89,3,0)*0.475*44/12</f>
        <v>1.3308239370794744E-19</v>
      </c>
      <c r="DI182" s="24">
        <f t="shared" si="175"/>
        <v>7.9342481219569692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2.2737367544323206E-13</v>
      </c>
      <c r="DP182" s="18">
        <f>DO182*VLOOKUP('Données projet'!$B$14,Paramètres!$A$1:$I$89,3,0)*VLOOKUP('Données projet'!$B$14,Paramètres!$A$1:$I$89,5,0)</f>
        <v>1.8444552551954985E-13</v>
      </c>
      <c r="DQ182" s="14">
        <f t="shared" si="176"/>
        <v>2.580317449479618E-12</v>
      </c>
      <c r="DR182" s="22">
        <f t="shared" si="177"/>
        <v>4.8152955147902165E-12</v>
      </c>
      <c r="DS182" s="62">
        <f t="shared" si="125"/>
        <v>293.33333333333815</v>
      </c>
      <c r="DT182" s="62">
        <f ca="1">AVERAGE(OFFSET($DS$3,0,0,'Données projet'!$E$14+1,1))-AVERAGE(OFFSET($H$3,0,0,'Données projet'!$E$14+1,1))</f>
        <v>223.63222290670075</v>
      </c>
      <c r="DU182" s="62">
        <f t="shared" si="152"/>
        <v>290.02663909417248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7.2018167994695679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1.1688411220769039E-16</v>
      </c>
      <c r="ED182" s="24">
        <f t="shared" si="178"/>
        <v>7.2018167994695679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474.08208375594126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192.24617268603629</v>
      </c>
      <c r="T183" s="62">
        <f t="shared" si="142"/>
        <v>192.48585280662832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8.1720299954444648</v>
      </c>
      <c r="AA183" s="23">
        <f>EXP(-LN(2)/25)*AA182+(1-EXP(-LN(2)/25))/(LN(2)/25)*Calculateur!V183*Calculateur!X183*VLOOKUP('Données projet'!$B$9,Paramètres!$A$1:$I$89,3,0)*0.475*44/12</f>
        <v>1.137984585957917</v>
      </c>
      <c r="AB183" s="23">
        <f>EXP(-LN(2)/2)*AB182+(1-EXP(-LN(2)/2))/(LN(2)/2)*V183*Y183*VLOOKUP('Données projet'!$B$9,Paramètres!$A$1:$I$89,3,0)*0.475*44/12</f>
        <v>3.6400199015776747E-17</v>
      </c>
      <c r="AC183" s="24">
        <f t="shared" si="163"/>
        <v>9.3100145814023811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1.9999999998958629E-3</v>
      </c>
      <c r="AJ183" s="14">
        <f>AI183*VLOOKUP('Données projet'!$B$10,Paramètres!$A$1:$I$89,3,0)*VLOOKUP('Données projet'!$B$10,Paramètres!$A$1:$I$89,5,0)</f>
        <v>1.195999999937726E-3</v>
      </c>
      <c r="AK183" s="14">
        <f t="shared" si="164"/>
        <v>1.2062444695752218E-3</v>
      </c>
      <c r="AL183" s="22">
        <f t="shared" si="165"/>
        <v>4.1839091177350513E-3</v>
      </c>
      <c r="AM183" s="62">
        <f t="shared" si="113"/>
        <v>293.33751724245104</v>
      </c>
      <c r="AN183" s="62">
        <f ca="1">AVERAGE(OFFSET($AM$3,0,0,'Données projet'!$E$10+1,1))-AVERAGE(OFFSET($H$3,0,0,'Données projet'!$E$10+1,1))</f>
        <v>164.64952352018145</v>
      </c>
      <c r="AO183" s="62">
        <f t="shared" si="144"/>
        <v>280.08682720086921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4.0866788902031601</v>
      </c>
      <c r="AV183" s="23">
        <f>EXP(-LN(2)/25)*AV182+(1-EXP(-LN(2)/25))/(LN(2)/25)*Calculateur!AQ183*Calculateur!AS183*VLOOKUP('Données projet'!$B$10,Paramètres!$A$1:$I$89,3,0)*0.475*44/12</f>
        <v>0.50261611555001695</v>
      </c>
      <c r="AW183" s="23">
        <f>EXP(-LN(2)/2)*AW182+(1-EXP(-LN(2)/2))/(LN(2)/2)*AQ183*AT183*VLOOKUP('Données projet'!$B$10,Paramètres!$A$1:$I$89,3,0)*0.475*44/12</f>
        <v>1.4352525420569929E-20</v>
      </c>
      <c r="AX183" s="23">
        <f t="shared" si="166"/>
        <v>4.5892950057531774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-1.7053025658242404E-13</v>
      </c>
      <c r="BE183" s="14">
        <f>BD183*VLOOKUP('Données projet'!$B$11,Paramètres!$A$1:$I$89,3,0)*VLOOKUP('Données projet'!$B$11,Paramètres!$A$1:$I$89,5,0)</f>
        <v>-1.4365468814503402E-13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339.58585574836434</v>
      </c>
      <c r="BJ183" s="62">
        <f t="shared" si="146"/>
        <v>42.267525972379588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147.5708456198962</v>
      </c>
      <c r="BQ183" s="23">
        <f>EXP(-LN(2)/25)*BQ182+(1-EXP(-LN(2)/25))/(LN(2)/25)*Calculateur!BL183*Calculateur!BN183*VLOOKUP('Données projet'!$B$11,Paramètres!$A$1:$I$89,3,0)*0.475*44/12</f>
        <v>1.0715698598561687</v>
      </c>
      <c r="BR183" s="23">
        <f>EXP(-LN(2)/2)*BR182+(1-EXP(-LN(2)/2))/(LN(2)/2)*BL183*BO183*VLOOKUP('Données projet'!$B$11,Paramètres!$A$1:$I$89,3,0)*0.475*44/12</f>
        <v>8.2737271003944571E-18</v>
      </c>
      <c r="BS183" s="24">
        <f t="shared" si="169"/>
        <v>148.64241547975237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112.34884104798977</v>
      </c>
      <c r="CE183" s="62">
        <f t="shared" si="148"/>
        <v>18.665658139749326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17.573985229310427</v>
      </c>
      <c r="CL183" s="23">
        <f>EXP(-LN(2)/25)*CL182+(1-EXP(-LN(2)/25))/(LN(2)/25)*Calculateur!CG183*Calculateur!CI183*VLOOKUP('Données projet'!$B$12,Paramètres!$A$1:$I$89,3,0)*0.475*44/12</f>
        <v>0.73690050383051442</v>
      </c>
      <c r="CM183" s="23">
        <f>EXP(-LN(2)/2)*CM182+(1-EXP(-LN(2)/2))/(LN(2)/2)*CG183*CJ183*VLOOKUP('Données projet'!$B$12,Paramètres!$A$1:$I$89,3,0)*0.475*44/12</f>
        <v>1.0531730790075623E-19</v>
      </c>
      <c r="CN183" s="24">
        <f t="shared" si="172"/>
        <v>18.310885733140942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-1.1368683772161603E-13</v>
      </c>
      <c r="CU183" s="18">
        <f>CT183*VLOOKUP('Données projet'!$B$13,Paramètres!$A$1:$I$89,3,0)*VLOOKUP('Données projet'!$B$13,Paramètres!$A$1:$I$89,5,0)</f>
        <v>-1.2414602679200469E-13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205.21073681197737</v>
      </c>
      <c r="CZ183" s="62">
        <f t="shared" si="150"/>
        <v>175.16446313750316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6.630574737241151</v>
      </c>
      <c r="DG183" s="23">
        <f>EXP(-LN(2)/25)*DG182+(1-EXP(-LN(2)/25))/(LN(2)/25)*Calculateur!DB183*Calculateur!DD183*VLOOKUP('Données projet'!$B$13,Paramètres!$A$1:$I$89,3,0)*0.475*44/12</f>
        <v>1.1390287614283785</v>
      </c>
      <c r="DH183" s="23">
        <f>EXP(-LN(2)/2)*DH182+(1-EXP(-LN(2)/2))/(LN(2)/2)*DB183*DE183*VLOOKUP('Données projet'!$B$13,Paramètres!$A$1:$I$89,3,0)*0.475*44/12</f>
        <v>9.4103463047427564E-20</v>
      </c>
      <c r="DI183" s="24">
        <f t="shared" si="175"/>
        <v>7.7696034986695297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2.2737367544323206E-13</v>
      </c>
      <c r="DP183" s="18">
        <f>DO183*VLOOKUP('Données projet'!$B$14,Paramètres!$A$1:$I$89,3,0)*VLOOKUP('Données projet'!$B$14,Paramètres!$A$1:$I$89,5,0)</f>
        <v>1.8444552551954985E-13</v>
      </c>
      <c r="DQ183" s="14">
        <f t="shared" si="176"/>
        <v>2.580317449479618E-12</v>
      </c>
      <c r="DR183" s="22">
        <f t="shared" si="177"/>
        <v>4.8152955147902165E-12</v>
      </c>
      <c r="DS183" s="62">
        <f t="shared" si="125"/>
        <v>293.33333333333815</v>
      </c>
      <c r="DT183" s="62">
        <f ca="1">AVERAGE(OFFSET($DS$3,0,0,'Données projet'!$E$14+1,1))-AVERAGE(OFFSET($H$3,0,0,'Données projet'!$E$14+1,1))</f>
        <v>223.63222290670075</v>
      </c>
      <c r="DU183" s="62">
        <f t="shared" si="152"/>
        <v>290.02663909417248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7.060593564706477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8.2649548355027197E-17</v>
      </c>
      <c r="ED183" s="24">
        <f t="shared" si="178"/>
        <v>7.060593564706477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475.25996921298474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192.24617268603629</v>
      </c>
      <c r="T184" s="62">
        <f t="shared" si="142"/>
        <v>192.48585280662832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8.0117814716799227</v>
      </c>
      <c r="AA184" s="23">
        <f>EXP(-LN(2)/25)*AA183+(1-EXP(-LN(2)/25))/(LN(2)/25)*Calculateur!V184*Calculateur!X184*VLOOKUP('Données projet'!$B$9,Paramètres!$A$1:$I$89,3,0)*0.475*44/12</f>
        <v>1.1068663376108892</v>
      </c>
      <c r="AB184" s="23">
        <f>EXP(-LN(2)/2)*AB183+(1-EXP(-LN(2)/2))/(LN(2)/2)*V184*Y184*VLOOKUP('Données projet'!$B$9,Paramètres!$A$1:$I$89,3,0)*0.475*44/12</f>
        <v>2.5738827560595631E-17</v>
      </c>
      <c r="AC184" s="24">
        <f t="shared" si="163"/>
        <v>9.1186478092908114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1.9999999998958629E-3</v>
      </c>
      <c r="AJ184" s="14">
        <f>AI184*VLOOKUP('Données projet'!$B$10,Paramètres!$A$1:$I$89,3,0)*VLOOKUP('Données projet'!$B$10,Paramètres!$A$1:$I$89,5,0)</f>
        <v>1.195999999937726E-3</v>
      </c>
      <c r="AK184" s="14">
        <f t="shared" si="164"/>
        <v>1.2062444695752218E-3</v>
      </c>
      <c r="AL184" s="22">
        <f t="shared" si="165"/>
        <v>4.1839091177350513E-3</v>
      </c>
      <c r="AM184" s="62">
        <f t="shared" si="113"/>
        <v>293.33751724245104</v>
      </c>
      <c r="AN184" s="62">
        <f ca="1">AVERAGE(OFFSET($AM$3,0,0,'Données projet'!$E$10+1,1))-AVERAGE(OFFSET($H$3,0,0,'Données projet'!$E$10+1,1))</f>
        <v>164.64952352018145</v>
      </c>
      <c r="AO184" s="62">
        <f t="shared" si="144"/>
        <v>280.08682720086921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4.0065416097942723</v>
      </c>
      <c r="AV184" s="23">
        <f>EXP(-LN(2)/25)*AV183+(1-EXP(-LN(2)/25))/(LN(2)/25)*Calculateur!AQ184*Calculateur!AS184*VLOOKUP('Données projet'!$B$10,Paramètres!$A$1:$I$89,3,0)*0.475*44/12</f>
        <v>0.48887205143886897</v>
      </c>
      <c r="AW184" s="23">
        <f>EXP(-LN(2)/2)*AW183+(1-EXP(-LN(2)/2))/(LN(2)/2)*AQ184*AT184*VLOOKUP('Données projet'!$B$10,Paramètres!$A$1:$I$89,3,0)*0.475*44/12</f>
        <v>1.0148768052037302E-20</v>
      </c>
      <c r="AX184" s="23">
        <f t="shared" si="166"/>
        <v>4.4954136612331412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-1.7053025658242404E-13</v>
      </c>
      <c r="BE184" s="14">
        <f>BD184*VLOOKUP('Données projet'!$B$11,Paramètres!$A$1:$I$89,3,0)*VLOOKUP('Données projet'!$B$11,Paramètres!$A$1:$I$89,5,0)</f>
        <v>-1.4365468814503402E-13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339.58585574836434</v>
      </c>
      <c r="BJ184" s="62">
        <f t="shared" si="146"/>
        <v>42.267525972379588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144.67707134661819</v>
      </c>
      <c r="BQ184" s="23">
        <f>EXP(-LN(2)/25)*BQ183+(1-EXP(-LN(2)/25))/(LN(2)/25)*Calculateur!BL184*Calculateur!BN184*VLOOKUP('Données projet'!$B$11,Paramètres!$A$1:$I$89,3,0)*0.475*44/12</f>
        <v>1.0422677256869919</v>
      </c>
      <c r="BR184" s="23">
        <f>EXP(-LN(2)/2)*BR183+(1-EXP(-LN(2)/2))/(LN(2)/2)*BL184*BO184*VLOOKUP('Données projet'!$B$11,Paramètres!$A$1:$I$89,3,0)*0.475*44/12</f>
        <v>5.8504085383758318E-18</v>
      </c>
      <c r="BS184" s="24">
        <f t="shared" si="169"/>
        <v>145.71933907230519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112.34884104798977</v>
      </c>
      <c r="CE184" s="62">
        <f t="shared" si="148"/>
        <v>18.665658139749326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17.22937009803622</v>
      </c>
      <c r="CL184" s="23">
        <f>EXP(-LN(2)/25)*CL183+(1-EXP(-LN(2)/25))/(LN(2)/25)*Calculateur!CG184*Calculateur!CI184*VLOOKUP('Données projet'!$B$12,Paramètres!$A$1:$I$89,3,0)*0.475*44/12</f>
        <v>0.71674992080135569</v>
      </c>
      <c r="CM184" s="23">
        <f>EXP(-LN(2)/2)*CM183+(1-EXP(-LN(2)/2))/(LN(2)/2)*CG184*CJ184*VLOOKUP('Données projet'!$B$12,Paramètres!$A$1:$I$89,3,0)*0.475*44/12</f>
        <v>7.4470582592936287E-20</v>
      </c>
      <c r="CN184" s="24">
        <f t="shared" si="172"/>
        <v>17.946120018837576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-1.1368683772161603E-13</v>
      </c>
      <c r="CU184" s="18">
        <f>CT184*VLOOKUP('Données projet'!$B$13,Paramètres!$A$1:$I$89,3,0)*VLOOKUP('Données projet'!$B$13,Paramètres!$A$1:$I$89,5,0)</f>
        <v>-1.2414602679200469E-13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205.21073681197737</v>
      </c>
      <c r="CZ184" s="62">
        <f t="shared" si="150"/>
        <v>175.16446313750316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6.500553210895105</v>
      </c>
      <c r="DG184" s="23">
        <f>EXP(-LN(2)/25)*DG183+(1-EXP(-LN(2)/25))/(LN(2)/25)*Calculateur!DB184*Calculateur!DD184*VLOOKUP('Données projet'!$B$13,Paramètres!$A$1:$I$89,3,0)*0.475*44/12</f>
        <v>1.1078819600482002</v>
      </c>
      <c r="DH184" s="23">
        <f>EXP(-LN(2)/2)*DH183+(1-EXP(-LN(2)/2))/(LN(2)/2)*DB184*DE184*VLOOKUP('Données projet'!$B$13,Paramètres!$A$1:$I$89,3,0)*0.475*44/12</f>
        <v>6.6541196853973722E-20</v>
      </c>
      <c r="DI184" s="24">
        <f t="shared" si="175"/>
        <v>7.6084351709433049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2.2737367544323206E-13</v>
      </c>
      <c r="DP184" s="18">
        <f>DO184*VLOOKUP('Données projet'!$B$14,Paramètres!$A$1:$I$89,3,0)*VLOOKUP('Données projet'!$B$14,Paramètres!$A$1:$I$89,5,0)</f>
        <v>1.8444552551954985E-13</v>
      </c>
      <c r="DQ184" s="14">
        <f t="shared" si="176"/>
        <v>2.580317449479618E-12</v>
      </c>
      <c r="DR184" s="22">
        <f t="shared" si="177"/>
        <v>4.8152955147902165E-12</v>
      </c>
      <c r="DS184" s="62">
        <f t="shared" si="125"/>
        <v>293.33333333333815</v>
      </c>
      <c r="DT184" s="62">
        <f ca="1">AVERAGE(OFFSET($DS$3,0,0,'Données projet'!$E$14+1,1))-AVERAGE(OFFSET($H$3,0,0,'Données projet'!$E$14+1,1))</f>
        <v>223.63222290670075</v>
      </c>
      <c r="DU184" s="62">
        <f t="shared" si="152"/>
        <v>290.02663909417248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6.9221396314394221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5.8442056103845195E-17</v>
      </c>
      <c r="ED184" s="24">
        <f t="shared" si="178"/>
        <v>6.9221396314394221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476.43770877534655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192.24617268603629</v>
      </c>
      <c r="T185" s="62">
        <f t="shared" si="142"/>
        <v>192.48585280662832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7.8546753237244555</v>
      </c>
      <c r="AA185" s="23">
        <f>EXP(-LN(2)/25)*AA184+(1-EXP(-LN(2)/25))/(LN(2)/25)*Calculateur!V185*Calculateur!X185*VLOOKUP('Données projet'!$B$9,Paramètres!$A$1:$I$89,3,0)*0.475*44/12</f>
        <v>1.0765990194013484</v>
      </c>
      <c r="AB185" s="23">
        <f>EXP(-LN(2)/2)*AB184+(1-EXP(-LN(2)/2))/(LN(2)/2)*V185*Y185*VLOOKUP('Données projet'!$B$9,Paramètres!$A$1:$I$89,3,0)*0.475*44/12</f>
        <v>1.8200099507888374E-17</v>
      </c>
      <c r="AC185" s="24">
        <f t="shared" si="163"/>
        <v>8.9312743431258035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1.9999999998958629E-3</v>
      </c>
      <c r="AJ185" s="14">
        <f>AI185*VLOOKUP('Données projet'!$B$10,Paramètres!$A$1:$I$89,3,0)*VLOOKUP('Données projet'!$B$10,Paramètres!$A$1:$I$89,5,0)</f>
        <v>1.195999999937726E-3</v>
      </c>
      <c r="AK185" s="14">
        <f t="shared" si="164"/>
        <v>1.2062444695752218E-3</v>
      </c>
      <c r="AL185" s="22">
        <f t="shared" si="165"/>
        <v>4.1839091177350513E-3</v>
      </c>
      <c r="AM185" s="62">
        <f t="shared" si="113"/>
        <v>293.33751724245104</v>
      </c>
      <c r="AN185" s="62">
        <f ca="1">AVERAGE(OFFSET($AM$3,0,0,'Données projet'!$E$10+1,1))-AVERAGE(OFFSET($H$3,0,0,'Données projet'!$E$10+1,1))</f>
        <v>164.64952352018145</v>
      </c>
      <c r="AO185" s="62">
        <f t="shared" si="144"/>
        <v>280.08682720086921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3.9279757725752886</v>
      </c>
      <c r="AV185" s="23">
        <f>EXP(-LN(2)/25)*AV184+(1-EXP(-LN(2)/25))/(LN(2)/25)*Calculateur!AQ185*Calculateur!AS185*VLOOKUP('Données projet'!$B$10,Paramètres!$A$1:$I$89,3,0)*0.475*44/12</f>
        <v>0.47550381948360926</v>
      </c>
      <c r="AW185" s="23">
        <f>EXP(-LN(2)/2)*AW184+(1-EXP(-LN(2)/2))/(LN(2)/2)*AQ185*AT185*VLOOKUP('Données projet'!$B$10,Paramètres!$A$1:$I$89,3,0)*0.475*44/12</f>
        <v>7.1762627102849647E-21</v>
      </c>
      <c r="AX185" s="23">
        <f t="shared" si="166"/>
        <v>4.4034795920588978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-1.7053025658242404E-13</v>
      </c>
      <c r="BE185" s="14">
        <f>BD185*VLOOKUP('Données projet'!$B$11,Paramètres!$A$1:$I$89,3,0)*VLOOKUP('Données projet'!$B$11,Paramètres!$A$1:$I$89,5,0)</f>
        <v>-1.4365468814503402E-13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339.58585574836434</v>
      </c>
      <c r="BJ185" s="62">
        <f t="shared" si="146"/>
        <v>42.267525972379588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141.84004222181113</v>
      </c>
      <c r="BQ185" s="23">
        <f>EXP(-LN(2)/25)*BQ184+(1-EXP(-LN(2)/25))/(LN(2)/25)*Calculateur!BL185*Calculateur!BN185*VLOOKUP('Données projet'!$B$11,Paramètres!$A$1:$I$89,3,0)*0.475*44/12</f>
        <v>1.0137668599176035</v>
      </c>
      <c r="BR185" s="23">
        <f>EXP(-LN(2)/2)*BR184+(1-EXP(-LN(2)/2))/(LN(2)/2)*BL185*BO185*VLOOKUP('Données projet'!$B$11,Paramètres!$A$1:$I$89,3,0)*0.475*44/12</f>
        <v>4.1368635501972285E-18</v>
      </c>
      <c r="BS185" s="24">
        <f t="shared" si="169"/>
        <v>142.85380908172874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112.34884104798977</v>
      </c>
      <c r="CE185" s="62">
        <f t="shared" si="148"/>
        <v>18.665658139749326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16.891512659291823</v>
      </c>
      <c r="CL185" s="23">
        <f>EXP(-LN(2)/25)*CL184+(1-EXP(-LN(2)/25))/(LN(2)/25)*Calculateur!CG185*Calculateur!CI185*VLOOKUP('Données projet'!$B$12,Paramètres!$A$1:$I$89,3,0)*0.475*44/12</f>
        <v>0.69715035652480239</v>
      </c>
      <c r="CM185" s="23">
        <f>EXP(-LN(2)/2)*CM184+(1-EXP(-LN(2)/2))/(LN(2)/2)*CG185*CJ185*VLOOKUP('Données projet'!$B$12,Paramètres!$A$1:$I$89,3,0)*0.475*44/12</f>
        <v>5.2658653950378115E-20</v>
      </c>
      <c r="CN185" s="24">
        <f t="shared" si="172"/>
        <v>17.588663015816625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-1.1368683772161603E-13</v>
      </c>
      <c r="CU185" s="18">
        <f>CT185*VLOOKUP('Données projet'!$B$13,Paramètres!$A$1:$I$89,3,0)*VLOOKUP('Données projet'!$B$13,Paramètres!$A$1:$I$89,5,0)</f>
        <v>-1.2414602679200469E-13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205.21073681197737</v>
      </c>
      <c r="CZ185" s="62">
        <f t="shared" si="150"/>
        <v>175.16446313750316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6.373081327375405</v>
      </c>
      <c r="DG185" s="23">
        <f>EXP(-LN(2)/25)*DG184+(1-EXP(-LN(2)/25))/(LN(2)/25)*Calculateur!DB185*Calculateur!DD185*VLOOKUP('Données projet'!$B$13,Paramètres!$A$1:$I$89,3,0)*0.475*44/12</f>
        <v>1.077586869589702</v>
      </c>
      <c r="DH185" s="23">
        <f>EXP(-LN(2)/2)*DH184+(1-EXP(-LN(2)/2))/(LN(2)/2)*DB185*DE185*VLOOKUP('Données projet'!$B$13,Paramètres!$A$1:$I$89,3,0)*0.475*44/12</f>
        <v>4.7051731523713782E-20</v>
      </c>
      <c r="DI185" s="24">
        <f t="shared" si="175"/>
        <v>7.4506681969651067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2.2737367544323206E-13</v>
      </c>
      <c r="DP185" s="18">
        <f>DO185*VLOOKUP('Données projet'!$B$14,Paramètres!$A$1:$I$89,3,0)*VLOOKUP('Données projet'!$B$14,Paramètres!$A$1:$I$89,5,0)</f>
        <v>1.8444552551954985E-13</v>
      </c>
      <c r="DQ185" s="14">
        <f t="shared" si="176"/>
        <v>2.580317449479618E-12</v>
      </c>
      <c r="DR185" s="22">
        <f t="shared" si="177"/>
        <v>4.8152955147902165E-12</v>
      </c>
      <c r="DS185" s="62">
        <f t="shared" si="125"/>
        <v>293.33333333333815</v>
      </c>
      <c r="DT185" s="62">
        <f ca="1">AVERAGE(OFFSET($DS$3,0,0,'Données projet'!$E$14+1,1))-AVERAGE(OFFSET($H$3,0,0,'Données projet'!$E$14+1,1))</f>
        <v>223.63222290670075</v>
      </c>
      <c r="DU185" s="62">
        <f t="shared" si="152"/>
        <v>290.02663909417248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6.7864006953551739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4.1324774177513599E-17</v>
      </c>
      <c r="ED185" s="24">
        <f t="shared" si="178"/>
        <v>6.7864006953551739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477.61530333767718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192.24617268603629</v>
      </c>
      <c r="T186" s="62">
        <f t="shared" si="142"/>
        <v>192.48585280662832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7.7006499315051062</v>
      </c>
      <c r="AA186" s="23">
        <f>EXP(-LN(2)/25)*AA185+(1-EXP(-LN(2)/25))/(LN(2)/25)*Calculateur!V186*Calculateur!X186*VLOOKUP('Données projet'!$B$9,Paramètres!$A$1:$I$89,3,0)*0.475*44/12</f>
        <v>1.0471593625999367</v>
      </c>
      <c r="AB186" s="23">
        <f>EXP(-LN(2)/2)*AB185+(1-EXP(-LN(2)/2))/(LN(2)/2)*V186*Y186*VLOOKUP('Données projet'!$B$9,Paramètres!$A$1:$I$89,3,0)*0.475*44/12</f>
        <v>1.2869413780297816E-17</v>
      </c>
      <c r="AC186" s="24">
        <f t="shared" si="163"/>
        <v>8.7478092941050427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1.9999999998958629E-3</v>
      </c>
      <c r="AJ186" s="14">
        <f>AI186*VLOOKUP('Données projet'!$B$10,Paramètres!$A$1:$I$89,3,0)*VLOOKUP('Données projet'!$B$10,Paramètres!$A$1:$I$89,5,0)</f>
        <v>1.195999999937726E-3</v>
      </c>
      <c r="AK186" s="14">
        <f t="shared" si="164"/>
        <v>1.2062444695752218E-3</v>
      </c>
      <c r="AL186" s="22">
        <f t="shared" si="165"/>
        <v>4.1839091177350513E-3</v>
      </c>
      <c r="AM186" s="62">
        <f t="shared" si="113"/>
        <v>293.33751724245104</v>
      </c>
      <c r="AN186" s="62">
        <f ca="1">AVERAGE(OFFSET($AM$3,0,0,'Données projet'!$E$10+1,1))-AVERAGE(OFFSET($H$3,0,0,'Données projet'!$E$10+1,1))</f>
        <v>164.64952352018145</v>
      </c>
      <c r="AO186" s="62">
        <f t="shared" si="144"/>
        <v>280.08682720086921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3.8509505635037402</v>
      </c>
      <c r="AV186" s="23">
        <f>EXP(-LN(2)/25)*AV185+(1-EXP(-LN(2)/25))/(LN(2)/25)*Calculateur!AQ186*Calculateur!AS186*VLOOKUP('Données projet'!$B$10,Paramètres!$A$1:$I$89,3,0)*0.475*44/12</f>
        <v>0.46250114253417085</v>
      </c>
      <c r="AW186" s="23">
        <f>EXP(-LN(2)/2)*AW185+(1-EXP(-LN(2)/2))/(LN(2)/2)*AQ186*AT186*VLOOKUP('Données projet'!$B$10,Paramètres!$A$1:$I$89,3,0)*0.475*44/12</f>
        <v>5.0743840260186511E-21</v>
      </c>
      <c r="AX186" s="23">
        <f t="shared" si="166"/>
        <v>4.3134517060379114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-1.7053025658242404E-13</v>
      </c>
      <c r="BE186" s="14">
        <f>BD186*VLOOKUP('Données projet'!$B$11,Paramètres!$A$1:$I$89,3,0)*VLOOKUP('Données projet'!$B$11,Paramètres!$A$1:$I$89,5,0)</f>
        <v>-1.4365468814503402E-13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339.58585574836434</v>
      </c>
      <c r="BJ186" s="62">
        <f t="shared" si="146"/>
        <v>42.267525972379588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139.05864550772463</v>
      </c>
      <c r="BQ186" s="23">
        <f>EXP(-LN(2)/25)*BQ185+(1-EXP(-LN(2)/25))/(LN(2)/25)*Calculateur!BL186*Calculateur!BN186*VLOOKUP('Données projet'!$B$11,Paramètres!$A$1:$I$89,3,0)*0.475*44/12</f>
        <v>0.98604535182147446</v>
      </c>
      <c r="BR186" s="23">
        <f>EXP(-LN(2)/2)*BR185+(1-EXP(-LN(2)/2))/(LN(2)/2)*BL186*BO186*VLOOKUP('Données projet'!$B$11,Paramètres!$A$1:$I$89,3,0)*0.475*44/12</f>
        <v>2.9252042691879159E-18</v>
      </c>
      <c r="BS186" s="24">
        <f t="shared" si="169"/>
        <v>140.04469085954611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112.34884104798977</v>
      </c>
      <c r="CE186" s="62">
        <f t="shared" si="148"/>
        <v>18.665658139749326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16.560280398848516</v>
      </c>
      <c r="CL186" s="23">
        <f>EXP(-LN(2)/25)*CL185+(1-EXP(-LN(2)/25))/(LN(2)/25)*Calculateur!CG186*Calculateur!CI186*VLOOKUP('Données projet'!$B$12,Paramètres!$A$1:$I$89,3,0)*0.475*44/12</f>
        <v>0.67808674336408781</v>
      </c>
      <c r="CM186" s="23">
        <f>EXP(-LN(2)/2)*CM185+(1-EXP(-LN(2)/2))/(LN(2)/2)*CG186*CJ186*VLOOKUP('Données projet'!$B$12,Paramètres!$A$1:$I$89,3,0)*0.475*44/12</f>
        <v>3.7235291296468143E-20</v>
      </c>
      <c r="CN186" s="24">
        <f t="shared" si="172"/>
        <v>17.238367142212603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-1.1368683772161603E-13</v>
      </c>
      <c r="CU186" s="18">
        <f>CT186*VLOOKUP('Données projet'!$B$13,Paramètres!$A$1:$I$89,3,0)*VLOOKUP('Données projet'!$B$13,Paramètres!$A$1:$I$89,5,0)</f>
        <v>-1.2414602679200469E-13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205.21073681197737</v>
      </c>
      <c r="CZ186" s="62">
        <f t="shared" si="150"/>
        <v>175.16446313750316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6.2481090897413543</v>
      </c>
      <c r="DG186" s="23">
        <f>EXP(-LN(2)/25)*DG185+(1-EXP(-LN(2)/25))/(LN(2)/25)*Calculateur!DB186*Calculateur!DD186*VLOOKUP('Données projet'!$B$13,Paramètres!$A$1:$I$89,3,0)*0.475*44/12</f>
        <v>1.048120199972941</v>
      </c>
      <c r="DH186" s="23">
        <f>EXP(-LN(2)/2)*DH185+(1-EXP(-LN(2)/2))/(LN(2)/2)*DB186*DE186*VLOOKUP('Données projet'!$B$13,Paramètres!$A$1:$I$89,3,0)*0.475*44/12</f>
        <v>3.3270598426986861E-20</v>
      </c>
      <c r="DI186" s="24">
        <f t="shared" si="175"/>
        <v>7.2962292897142955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2.2737367544323206E-13</v>
      </c>
      <c r="DP186" s="18">
        <f>DO186*VLOOKUP('Données projet'!$B$14,Paramètres!$A$1:$I$89,3,0)*VLOOKUP('Données projet'!$B$14,Paramètres!$A$1:$I$89,5,0)</f>
        <v>1.8444552551954985E-13</v>
      </c>
      <c r="DQ186" s="14">
        <f t="shared" si="176"/>
        <v>2.580317449479618E-12</v>
      </c>
      <c r="DR186" s="22">
        <f t="shared" si="177"/>
        <v>4.8152955147902165E-12</v>
      </c>
      <c r="DS186" s="62">
        <f t="shared" si="125"/>
        <v>293.33333333333815</v>
      </c>
      <c r="DT186" s="62">
        <f ca="1">AVERAGE(OFFSET($DS$3,0,0,'Données projet'!$E$14+1,1))-AVERAGE(OFFSET($H$3,0,0,'Données projet'!$E$14+1,1))</f>
        <v>223.63222290670075</v>
      </c>
      <c r="DU186" s="62">
        <f t="shared" si="152"/>
        <v>290.02663909417248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6.6533235170149618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2.9221028051922597E-17</v>
      </c>
      <c r="ED186" s="24">
        <f t="shared" si="178"/>
        <v>6.6533235170149618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478.79275378428366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192.24617268603629</v>
      </c>
      <c r="T187" s="62">
        <f t="shared" si="142"/>
        <v>192.48585280662832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7.5496448832809655</v>
      </c>
      <c r="AA187" s="23">
        <f>EXP(-LN(2)/25)*AA186+(1-EXP(-LN(2)/25))/(LN(2)/25)*Calculateur!V187*Calculateur!X187*VLOOKUP('Données projet'!$B$9,Paramètres!$A$1:$I$89,3,0)*0.475*44/12</f>
        <v>1.018524734761924</v>
      </c>
      <c r="AB187" s="23">
        <f>EXP(-LN(2)/2)*AB186+(1-EXP(-LN(2)/2))/(LN(2)/2)*V187*Y187*VLOOKUP('Données projet'!$B$9,Paramètres!$A$1:$I$89,3,0)*0.475*44/12</f>
        <v>9.1000497539441868E-18</v>
      </c>
      <c r="AC187" s="24">
        <f t="shared" si="163"/>
        <v>8.568169618042889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1.9999999998958629E-3</v>
      </c>
      <c r="AJ187" s="14">
        <f>AI187*VLOOKUP('Données projet'!$B$10,Paramètres!$A$1:$I$89,3,0)*VLOOKUP('Données projet'!$B$10,Paramètres!$A$1:$I$89,5,0)</f>
        <v>1.195999999937726E-3</v>
      </c>
      <c r="AK187" s="14">
        <f t="shared" si="164"/>
        <v>1.2062444695752218E-3</v>
      </c>
      <c r="AL187" s="22">
        <f t="shared" si="165"/>
        <v>4.1839091177350513E-3</v>
      </c>
      <c r="AM187" s="62">
        <f t="shared" si="113"/>
        <v>293.33751724245104</v>
      </c>
      <c r="AN187" s="62">
        <f ca="1">AVERAGE(OFFSET($AM$3,0,0,'Données projet'!$E$10+1,1))-AVERAGE(OFFSET($H$3,0,0,'Données projet'!$E$10+1,1))</f>
        <v>164.64952352018145</v>
      </c>
      <c r="AO187" s="62">
        <f t="shared" si="144"/>
        <v>280.08682720086921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3.7754357718013463</v>
      </c>
      <c r="AV187" s="23">
        <f>EXP(-LN(2)/25)*AV186+(1-EXP(-LN(2)/25))/(LN(2)/25)*Calculateur!AQ187*Calculateur!AS187*VLOOKUP('Données projet'!$B$10,Paramètres!$A$1:$I$89,3,0)*0.475*44/12</f>
        <v>0.44985402446969591</v>
      </c>
      <c r="AW187" s="23">
        <f>EXP(-LN(2)/2)*AW186+(1-EXP(-LN(2)/2))/(LN(2)/2)*AQ187*AT187*VLOOKUP('Données projet'!$B$10,Paramètres!$A$1:$I$89,3,0)*0.475*44/12</f>
        <v>3.5881313551424823E-21</v>
      </c>
      <c r="AX187" s="23">
        <f t="shared" si="166"/>
        <v>4.2252897962710421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-1.7053025658242404E-13</v>
      </c>
      <c r="BE187" s="14">
        <f>BD187*VLOOKUP('Données projet'!$B$11,Paramètres!$A$1:$I$89,3,0)*VLOOKUP('Données projet'!$B$11,Paramètres!$A$1:$I$89,5,0)</f>
        <v>-1.4365468814503402E-13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339.58585574836434</v>
      </c>
      <c r="BJ187" s="62">
        <f t="shared" si="146"/>
        <v>42.267525972379588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136.33179028671688</v>
      </c>
      <c r="BQ187" s="23">
        <f>EXP(-LN(2)/25)*BQ186+(1-EXP(-LN(2)/25))/(LN(2)/25)*Calculateur!BL187*Calculateur!BN187*VLOOKUP('Données projet'!$B$11,Paramètres!$A$1:$I$89,3,0)*0.475*44/12</f>
        <v>0.95908188982204479</v>
      </c>
      <c r="BR187" s="23">
        <f>EXP(-LN(2)/2)*BR186+(1-EXP(-LN(2)/2))/(LN(2)/2)*BL187*BO187*VLOOKUP('Données projet'!$B$11,Paramètres!$A$1:$I$89,3,0)*0.475*44/12</f>
        <v>2.0684317750986143E-18</v>
      </c>
      <c r="BS187" s="24">
        <f t="shared" si="169"/>
        <v>137.29087217653893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112.34884104798977</v>
      </c>
      <c r="CE187" s="62">
        <f t="shared" si="148"/>
        <v>18.665658139749326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16.235543401000772</v>
      </c>
      <c r="CL187" s="23">
        <f>EXP(-LN(2)/25)*CL186+(1-EXP(-LN(2)/25))/(LN(2)/25)*Calculateur!CG187*Calculateur!CI187*VLOOKUP('Données projet'!$B$12,Paramètres!$A$1:$I$89,3,0)*0.475*44/12</f>
        <v>0.65954442570776473</v>
      </c>
      <c r="CM187" s="23">
        <f>EXP(-LN(2)/2)*CM186+(1-EXP(-LN(2)/2))/(LN(2)/2)*CG187*CJ187*VLOOKUP('Données projet'!$B$12,Paramètres!$A$1:$I$89,3,0)*0.475*44/12</f>
        <v>2.6329326975189057E-20</v>
      </c>
      <c r="CN187" s="24">
        <f t="shared" si="172"/>
        <v>16.895087826708536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-1.1368683772161603E-13</v>
      </c>
      <c r="CU187" s="18">
        <f>CT187*VLOOKUP('Données projet'!$B$13,Paramètres!$A$1:$I$89,3,0)*VLOOKUP('Données projet'!$B$13,Paramètres!$A$1:$I$89,5,0)</f>
        <v>-1.2414602679200469E-13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205.21073681197737</v>
      </c>
      <c r="CZ187" s="62">
        <f t="shared" si="150"/>
        <v>175.16446313750316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6.1255874814617686</v>
      </c>
      <c r="DG187" s="23">
        <f>EXP(-LN(2)/25)*DG186+(1-EXP(-LN(2)/25))/(LN(2)/25)*Calculateur!DB187*Calculateur!DD187*VLOOKUP('Données projet'!$B$13,Paramètres!$A$1:$I$89,3,0)*0.475*44/12</f>
        <v>1.0194592979864352</v>
      </c>
      <c r="DH187" s="23">
        <f>EXP(-LN(2)/2)*DH186+(1-EXP(-LN(2)/2))/(LN(2)/2)*DB187*DE187*VLOOKUP('Données projet'!$B$13,Paramètres!$A$1:$I$89,3,0)*0.475*44/12</f>
        <v>2.3525865761856891E-20</v>
      </c>
      <c r="DI187" s="24">
        <f t="shared" si="175"/>
        <v>7.1450467794482035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2.2737367544323206E-13</v>
      </c>
      <c r="DP187" s="18">
        <f>DO187*VLOOKUP('Données projet'!$B$14,Paramètres!$A$1:$I$89,3,0)*VLOOKUP('Données projet'!$B$14,Paramètres!$A$1:$I$89,5,0)</f>
        <v>1.8444552551954985E-13</v>
      </c>
      <c r="DQ187" s="14">
        <f t="shared" si="176"/>
        <v>2.580317449479618E-12</v>
      </c>
      <c r="DR187" s="22">
        <f t="shared" si="177"/>
        <v>4.8152955147902165E-12</v>
      </c>
      <c r="DS187" s="62">
        <f t="shared" si="125"/>
        <v>293.33333333333815</v>
      </c>
      <c r="DT187" s="62">
        <f ca="1">AVERAGE(OFFSET($DS$3,0,0,'Données projet'!$E$14+1,1))-AVERAGE(OFFSET($H$3,0,0,'Données projet'!$E$14+1,1))</f>
        <v>223.63222290670075</v>
      </c>
      <c r="DU187" s="62">
        <f t="shared" si="152"/>
        <v>290.02663909417248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6.522855900972937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2.0662387088756799E-17</v>
      </c>
      <c r="ED187" s="24">
        <f t="shared" si="178"/>
        <v>6.522855900972937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479.97006098930456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192.24617268603629</v>
      </c>
      <c r="T188" s="62">
        <f t="shared" si="142"/>
        <v>192.48585280662832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7.4016009519485157</v>
      </c>
      <c r="AA188" s="23">
        <f>EXP(-LN(2)/25)*AA187+(1-EXP(-LN(2)/25))/(LN(2)/25)*Calculateur!V188*Calculateur!X188*VLOOKUP('Données projet'!$B$9,Paramètres!$A$1:$I$89,3,0)*0.475*44/12</f>
        <v>0.99067312232797122</v>
      </c>
      <c r="AB188" s="23">
        <f>EXP(-LN(2)/2)*AB187+(1-EXP(-LN(2)/2))/(LN(2)/2)*V188*Y188*VLOOKUP('Données projet'!$B$9,Paramètres!$A$1:$I$89,3,0)*0.475*44/12</f>
        <v>6.4347068901489078E-18</v>
      </c>
      <c r="AC188" s="24">
        <f t="shared" si="163"/>
        <v>8.3922740742764876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1.9999999998958629E-3</v>
      </c>
      <c r="AJ188" s="14">
        <f>AI188*VLOOKUP('Données projet'!$B$10,Paramètres!$A$1:$I$89,3,0)*VLOOKUP('Données projet'!$B$10,Paramètres!$A$1:$I$89,5,0)</f>
        <v>1.195999999937726E-3</v>
      </c>
      <c r="AK188" s="14">
        <f t="shared" si="164"/>
        <v>1.2062444695752218E-3</v>
      </c>
      <c r="AL188" s="22">
        <f t="shared" si="165"/>
        <v>4.1839091177350513E-3</v>
      </c>
      <c r="AM188" s="62">
        <f t="shared" si="113"/>
        <v>293.33751724245104</v>
      </c>
      <c r="AN188" s="62">
        <f ca="1">AVERAGE(OFFSET($AM$3,0,0,'Données projet'!$E$10+1,1))-AVERAGE(OFFSET($H$3,0,0,'Données projet'!$E$10+1,1))</f>
        <v>164.64952352018145</v>
      </c>
      <c r="AO188" s="62">
        <f t="shared" si="144"/>
        <v>280.08682720086921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3.7014017791047613</v>
      </c>
      <c r="AV188" s="23">
        <f>EXP(-LN(2)/25)*AV187+(1-EXP(-LN(2)/25))/(LN(2)/25)*Calculateur!AQ188*Calculateur!AS188*VLOOKUP('Données projet'!$B$10,Paramètres!$A$1:$I$89,3,0)*0.475*44/12</f>
        <v>0.43755274251377707</v>
      </c>
      <c r="AW188" s="23">
        <f>EXP(-LN(2)/2)*AW187+(1-EXP(-LN(2)/2))/(LN(2)/2)*AQ188*AT188*VLOOKUP('Données projet'!$B$10,Paramètres!$A$1:$I$89,3,0)*0.475*44/12</f>
        <v>2.5371920130093255E-21</v>
      </c>
      <c r="AX188" s="23">
        <f t="shared" si="166"/>
        <v>4.1389545216185386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-1.7053025658242404E-13</v>
      </c>
      <c r="BE188" s="14">
        <f>BD188*VLOOKUP('Données projet'!$B$11,Paramètres!$A$1:$I$89,3,0)*VLOOKUP('Données projet'!$B$11,Paramètres!$A$1:$I$89,5,0)</f>
        <v>-1.4365468814503402E-13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339.58585574836434</v>
      </c>
      <c r="BJ188" s="62">
        <f t="shared" si="146"/>
        <v>42.267525972379588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133.65840703337565</v>
      </c>
      <c r="BQ188" s="23">
        <f>EXP(-LN(2)/25)*BQ187+(1-EXP(-LN(2)/25))/(LN(2)/25)*Calculateur!BL188*Calculateur!BN188*VLOOKUP('Données projet'!$B$11,Paramètres!$A$1:$I$89,3,0)*0.475*44/12</f>
        <v>0.93285574510893643</v>
      </c>
      <c r="BR188" s="23">
        <f>EXP(-LN(2)/2)*BR187+(1-EXP(-LN(2)/2))/(LN(2)/2)*BL188*BO188*VLOOKUP('Données projet'!$B$11,Paramètres!$A$1:$I$89,3,0)*0.475*44/12</f>
        <v>1.4626021345939579E-18</v>
      </c>
      <c r="BS188" s="24">
        <f t="shared" si="169"/>
        <v>134.59126277848458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112.34884104798977</v>
      </c>
      <c r="CE188" s="62">
        <f t="shared" si="148"/>
        <v>18.665658139749326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15.91717429761081</v>
      </c>
      <c r="CL188" s="23">
        <f>EXP(-LN(2)/25)*CL187+(1-EXP(-LN(2)/25))/(LN(2)/25)*Calculateur!CG188*Calculateur!CI188*VLOOKUP('Données projet'!$B$12,Paramètres!$A$1:$I$89,3,0)*0.475*44/12</f>
        <v>0.64150914870285192</v>
      </c>
      <c r="CM188" s="23">
        <f>EXP(-LN(2)/2)*CM187+(1-EXP(-LN(2)/2))/(LN(2)/2)*CG188*CJ188*VLOOKUP('Données projet'!$B$12,Paramètres!$A$1:$I$89,3,0)*0.475*44/12</f>
        <v>1.8617645648234072E-20</v>
      </c>
      <c r="CN188" s="24">
        <f t="shared" si="172"/>
        <v>16.558683446313662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-1.1368683772161603E-13</v>
      </c>
      <c r="CU188" s="18">
        <f>CT188*VLOOKUP('Données projet'!$B$13,Paramètres!$A$1:$I$89,3,0)*VLOOKUP('Données projet'!$B$13,Paramètres!$A$1:$I$89,5,0)</f>
        <v>-1.2414602679200469E-13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205.21073681197737</v>
      </c>
      <c r="CZ188" s="62">
        <f t="shared" si="150"/>
        <v>175.16446313750316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6.0054684471897444</v>
      </c>
      <c r="DG188" s="23">
        <f>EXP(-LN(2)/25)*DG187+(1-EXP(-LN(2)/25))/(LN(2)/25)*Calculateur!DB188*Calculateur!DD188*VLOOKUP('Données projet'!$B$13,Paramètres!$A$1:$I$89,3,0)*0.475*44/12</f>
        <v>0.9915821298719617</v>
      </c>
      <c r="DH188" s="23">
        <f>EXP(-LN(2)/2)*DH187+(1-EXP(-LN(2)/2))/(LN(2)/2)*DB188*DE188*VLOOKUP('Données projet'!$B$13,Paramètres!$A$1:$I$89,3,0)*0.475*44/12</f>
        <v>1.6635299213493431E-20</v>
      </c>
      <c r="DI188" s="24">
        <f t="shared" si="175"/>
        <v>6.9970505770617057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2.2737367544323206E-13</v>
      </c>
      <c r="DP188" s="18">
        <f>DO188*VLOOKUP('Données projet'!$B$14,Paramètres!$A$1:$I$89,3,0)*VLOOKUP('Données projet'!$B$14,Paramètres!$A$1:$I$89,5,0)</f>
        <v>1.8444552551954985E-13</v>
      </c>
      <c r="DQ188" s="14">
        <f t="shared" si="176"/>
        <v>2.580317449479618E-12</v>
      </c>
      <c r="DR188" s="22">
        <f t="shared" si="177"/>
        <v>4.8152955147902165E-12</v>
      </c>
      <c r="DS188" s="62">
        <f t="shared" si="125"/>
        <v>293.33333333333815</v>
      </c>
      <c r="DT188" s="62">
        <f ca="1">AVERAGE(OFFSET($DS$3,0,0,'Données projet'!$E$14+1,1))-AVERAGE(OFFSET($H$3,0,0,'Données projet'!$E$14+1,1))</f>
        <v>223.63222290670075</v>
      </c>
      <c r="DU188" s="62">
        <f t="shared" si="152"/>
        <v>290.02663909417248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6.3949466753041078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1.4610514025961299E-17</v>
      </c>
      <c r="ED188" s="24">
        <f t="shared" si="178"/>
        <v>6.3949466753041078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481.1472258168813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192.24617268603629</v>
      </c>
      <c r="T189" s="62">
        <f t="shared" si="142"/>
        <v>192.48585280662832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7.2564600718116132</v>
      </c>
      <c r="AA189" s="23">
        <f>EXP(-LN(2)/25)*AA188+(1-EXP(-LN(2)/25))/(LN(2)/25)*Calculateur!V189*Calculateur!X189*VLOOKUP('Données projet'!$B$9,Paramètres!$A$1:$I$89,3,0)*0.475*44/12</f>
        <v>0.96358311370067751</v>
      </c>
      <c r="AB189" s="23">
        <f>EXP(-LN(2)/2)*AB188+(1-EXP(-LN(2)/2))/(LN(2)/2)*V189*Y189*VLOOKUP('Données projet'!$B$9,Paramètres!$A$1:$I$89,3,0)*0.475*44/12</f>
        <v>4.5500248769720934E-18</v>
      </c>
      <c r="AC189" s="24">
        <f t="shared" si="163"/>
        <v>8.2200431855122904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1.9999999998958629E-3</v>
      </c>
      <c r="AJ189" s="14">
        <f>AI189*VLOOKUP('Données projet'!$B$10,Paramètres!$A$1:$I$89,3,0)*VLOOKUP('Données projet'!$B$10,Paramètres!$A$1:$I$89,5,0)</f>
        <v>1.195999999937726E-3</v>
      </c>
      <c r="AK189" s="14">
        <f t="shared" si="164"/>
        <v>1.2062444695752218E-3</v>
      </c>
      <c r="AL189" s="22">
        <f t="shared" si="165"/>
        <v>4.1839091177350513E-3</v>
      </c>
      <c r="AM189" s="62">
        <f t="shared" si="113"/>
        <v>293.33751724245104</v>
      </c>
      <c r="AN189" s="62">
        <f ca="1">AVERAGE(OFFSET($AM$3,0,0,'Données projet'!$E$10+1,1))-AVERAGE(OFFSET($H$3,0,0,'Données projet'!$E$10+1,1))</f>
        <v>164.64952352018145</v>
      </c>
      <c r="AO189" s="62">
        <f t="shared" si="144"/>
        <v>280.08682720086921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3.6288195478486793</v>
      </c>
      <c r="AV189" s="23">
        <f>EXP(-LN(2)/25)*AV188+(1-EXP(-LN(2)/25))/(LN(2)/25)*Calculateur!AQ189*Calculateur!AS189*VLOOKUP('Données projet'!$B$10,Paramètres!$A$1:$I$89,3,0)*0.475*44/12</f>
        <v>0.42558783975983916</v>
      </c>
      <c r="AW189" s="23">
        <f>EXP(-LN(2)/2)*AW188+(1-EXP(-LN(2)/2))/(LN(2)/2)*AQ189*AT189*VLOOKUP('Données projet'!$B$10,Paramètres!$A$1:$I$89,3,0)*0.475*44/12</f>
        <v>1.7940656775712412E-21</v>
      </c>
      <c r="AX189" s="23">
        <f t="shared" si="166"/>
        <v>4.0544073876085189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-1.7053025658242404E-13</v>
      </c>
      <c r="BE189" s="14">
        <f>BD189*VLOOKUP('Données projet'!$B$11,Paramètres!$A$1:$I$89,3,0)*VLOOKUP('Données projet'!$B$11,Paramètres!$A$1:$I$89,5,0)</f>
        <v>-1.4365468814503402E-13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339.58585574836434</v>
      </c>
      <c r="BJ189" s="62">
        <f t="shared" si="146"/>
        <v>42.267525972379588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131.03744719502967</v>
      </c>
      <c r="BQ189" s="23">
        <f>EXP(-LN(2)/25)*BQ188+(1-EXP(-LN(2)/25))/(LN(2)/25)*Calculateur!BL189*Calculateur!BN189*VLOOKUP('Données projet'!$B$11,Paramètres!$A$1:$I$89,3,0)*0.475*44/12</f>
        <v>0.90734675570218104</v>
      </c>
      <c r="BR189" s="23">
        <f>EXP(-LN(2)/2)*BR188+(1-EXP(-LN(2)/2))/(LN(2)/2)*BL189*BO189*VLOOKUP('Données projet'!$B$11,Paramètres!$A$1:$I$89,3,0)*0.475*44/12</f>
        <v>1.0342158875493071E-18</v>
      </c>
      <c r="BS189" s="24">
        <f t="shared" si="169"/>
        <v>131.94479395073185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112.34884104798977</v>
      </c>
      <c r="CE189" s="62">
        <f t="shared" si="148"/>
        <v>18.665658139749326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15.605048218152348</v>
      </c>
      <c r="CL189" s="23">
        <f>EXP(-LN(2)/25)*CL188+(1-EXP(-LN(2)/25))/(LN(2)/25)*Calculateur!CG189*Calculateur!CI189*VLOOKUP('Données projet'!$B$12,Paramètres!$A$1:$I$89,3,0)*0.475*44/12</f>
        <v>0.62396704729607244</v>
      </c>
      <c r="CM189" s="23">
        <f>EXP(-LN(2)/2)*CM188+(1-EXP(-LN(2)/2))/(LN(2)/2)*CG189*CJ189*VLOOKUP('Données projet'!$B$12,Paramètres!$A$1:$I$89,3,0)*0.475*44/12</f>
        <v>1.3164663487594529E-20</v>
      </c>
      <c r="CN189" s="24">
        <f t="shared" si="172"/>
        <v>16.229015265448421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-1.1368683772161603E-13</v>
      </c>
      <c r="CU189" s="18">
        <f>CT189*VLOOKUP('Données projet'!$B$13,Paramètres!$A$1:$I$89,3,0)*VLOOKUP('Données projet'!$B$13,Paramètres!$A$1:$I$89,5,0)</f>
        <v>-1.2414602679200469E-13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205.21073681197737</v>
      </c>
      <c r="CZ189" s="62">
        <f t="shared" si="150"/>
        <v>175.16446313750316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5.8877048739144175</v>
      </c>
      <c r="DG189" s="23">
        <f>EXP(-LN(2)/25)*DG188+(1-EXP(-LN(2)/25))/(LN(2)/25)*Calculateur!DB189*Calculateur!DD189*VLOOKUP('Données projet'!$B$13,Paramètres!$A$1:$I$89,3,0)*0.475*44/12</f>
        <v>0.96446726438557495</v>
      </c>
      <c r="DH189" s="23">
        <f>EXP(-LN(2)/2)*DH188+(1-EXP(-LN(2)/2))/(LN(2)/2)*DB189*DE189*VLOOKUP('Données projet'!$B$13,Paramètres!$A$1:$I$89,3,0)*0.475*44/12</f>
        <v>1.1762932880928445E-20</v>
      </c>
      <c r="DI189" s="24">
        <f t="shared" si="175"/>
        <v>6.8521721382999923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2.2737367544323206E-13</v>
      </c>
      <c r="DP189" s="18">
        <f>DO189*VLOOKUP('Données projet'!$B$14,Paramètres!$A$1:$I$89,3,0)*VLOOKUP('Données projet'!$B$14,Paramètres!$A$1:$I$89,5,0)</f>
        <v>1.8444552551954985E-13</v>
      </c>
      <c r="DQ189" s="14">
        <f t="shared" si="176"/>
        <v>2.580317449479618E-12</v>
      </c>
      <c r="DR189" s="22">
        <f t="shared" si="177"/>
        <v>4.8152955147902165E-12</v>
      </c>
      <c r="DS189" s="62">
        <f t="shared" si="125"/>
        <v>293.33333333333815</v>
      </c>
      <c r="DT189" s="62">
        <f ca="1">AVERAGE(OFFSET($DS$3,0,0,'Données projet'!$E$14+1,1))-AVERAGE(OFFSET($H$3,0,0,'Données projet'!$E$14+1,1))</f>
        <v>223.63222290670075</v>
      </c>
      <c r="DU189" s="62">
        <f t="shared" si="152"/>
        <v>290.02663909417248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6.269545671533721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1.03311935443784E-17</v>
      </c>
      <c r="ED189" s="24">
        <f t="shared" si="178"/>
        <v>6.269545671533721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482.32424912132575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192.24617268603629</v>
      </c>
      <c r="T190" s="62">
        <f t="shared" si="142"/>
        <v>192.48585280662832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7.114165315807</v>
      </c>
      <c r="AA190" s="23">
        <f>EXP(-LN(2)/25)*AA189+(1-EXP(-LN(2)/25))/(LN(2)/25)*Calculateur!V190*Calculateur!X190*VLOOKUP('Données projet'!$B$9,Paramètres!$A$1:$I$89,3,0)*0.475*44/12</f>
        <v>0.93723388278389885</v>
      </c>
      <c r="AB190" s="23">
        <f>EXP(-LN(2)/2)*AB189+(1-EXP(-LN(2)/2))/(LN(2)/2)*V190*Y190*VLOOKUP('Données projet'!$B$9,Paramètres!$A$1:$I$89,3,0)*0.475*44/12</f>
        <v>3.2173534450744539E-18</v>
      </c>
      <c r="AC190" s="24">
        <f t="shared" si="163"/>
        <v>8.0513991985908984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1.9999999998958629E-3</v>
      </c>
      <c r="AJ190" s="14">
        <f>AI190*VLOOKUP('Données projet'!$B$10,Paramètres!$A$1:$I$89,3,0)*VLOOKUP('Données projet'!$B$10,Paramètres!$A$1:$I$89,5,0)</f>
        <v>1.195999999937726E-3</v>
      </c>
      <c r="AK190" s="14">
        <f t="shared" si="164"/>
        <v>1.2062444695752218E-3</v>
      </c>
      <c r="AL190" s="22">
        <f t="shared" si="165"/>
        <v>4.1839091177350513E-3</v>
      </c>
      <c r="AM190" s="62">
        <f t="shared" si="113"/>
        <v>293.33751724245104</v>
      </c>
      <c r="AN190" s="62">
        <f ca="1">AVERAGE(OFFSET($AM$3,0,0,'Données projet'!$E$10+1,1))-AVERAGE(OFFSET($H$3,0,0,'Données projet'!$E$10+1,1))</f>
        <v>164.64952352018145</v>
      </c>
      <c r="AO190" s="62">
        <f t="shared" si="144"/>
        <v>280.08682720086921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3.5576606098767396</v>
      </c>
      <c r="AV190" s="23">
        <f>EXP(-LN(2)/25)*AV189+(1-EXP(-LN(2)/25))/(LN(2)/25)*Calculateur!AQ190*Calculateur!AS190*VLOOKUP('Données projet'!$B$10,Paramètres!$A$1:$I$89,3,0)*0.475*44/12</f>
        <v>0.41395011790091457</v>
      </c>
      <c r="AW190" s="23">
        <f>EXP(-LN(2)/2)*AW189+(1-EXP(-LN(2)/2))/(LN(2)/2)*AQ190*AT190*VLOOKUP('Données projet'!$B$10,Paramètres!$A$1:$I$89,3,0)*0.475*44/12</f>
        <v>1.2685960065046628E-21</v>
      </c>
      <c r="AX190" s="23">
        <f t="shared" si="166"/>
        <v>3.9716107277776542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-1.7053025658242404E-13</v>
      </c>
      <c r="BE190" s="14">
        <f>BD190*VLOOKUP('Données projet'!$B$11,Paramètres!$A$1:$I$89,3,0)*VLOOKUP('Données projet'!$B$11,Paramètres!$A$1:$I$89,5,0)</f>
        <v>-1.4365468814503402E-13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339.58585574836434</v>
      </c>
      <c r="BJ190" s="62">
        <f t="shared" si="146"/>
        <v>42.267525972379588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128.46788278048601</v>
      </c>
      <c r="BQ190" s="23">
        <f>EXP(-LN(2)/25)*BQ189+(1-EXP(-LN(2)/25))/(LN(2)/25)*Calculateur!BL190*Calculateur!BN190*VLOOKUP('Données projet'!$B$11,Paramètres!$A$1:$I$89,3,0)*0.475*44/12</f>
        <v>0.88253531095221283</v>
      </c>
      <c r="BR190" s="23">
        <f>EXP(-LN(2)/2)*BR189+(1-EXP(-LN(2)/2))/(LN(2)/2)*BL190*BO190*VLOOKUP('Données projet'!$B$11,Paramètres!$A$1:$I$89,3,0)*0.475*44/12</f>
        <v>7.3130106729697897E-19</v>
      </c>
      <c r="BS190" s="24">
        <f t="shared" si="169"/>
        <v>129.35041809143823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112.34884104798977</v>
      </c>
      <c r="CE190" s="62">
        <f t="shared" si="148"/>
        <v>18.665658139749326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15.299042740733954</v>
      </c>
      <c r="CL190" s="23">
        <f>EXP(-LN(2)/25)*CL189+(1-EXP(-LN(2)/25))/(LN(2)/25)*Calculateur!CG190*Calculateur!CI190*VLOOKUP('Données projet'!$B$12,Paramètres!$A$1:$I$89,3,0)*0.475*44/12</f>
        <v>0.60690463557476038</v>
      </c>
      <c r="CM190" s="23">
        <f>EXP(-LN(2)/2)*CM189+(1-EXP(-LN(2)/2))/(LN(2)/2)*CG190*CJ190*VLOOKUP('Données projet'!$B$12,Paramètres!$A$1:$I$89,3,0)*0.475*44/12</f>
        <v>9.3088228241170358E-21</v>
      </c>
      <c r="CN190" s="24">
        <f t="shared" si="172"/>
        <v>15.905947376308715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-1.1368683772161603E-13</v>
      </c>
      <c r="CU190" s="18">
        <f>CT190*VLOOKUP('Données projet'!$B$13,Paramètres!$A$1:$I$89,3,0)*VLOOKUP('Données projet'!$B$13,Paramètres!$A$1:$I$89,5,0)</f>
        <v>-1.2414602679200469E-13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205.21073681197737</v>
      </c>
      <c r="CZ190" s="62">
        <f t="shared" si="150"/>
        <v>175.16446313750316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5.7722505724823323</v>
      </c>
      <c r="DG190" s="23">
        <f>EXP(-LN(2)/25)*DG189+(1-EXP(-LN(2)/25))/(LN(2)/25)*Calculateur!DB190*Calculateur!DD190*VLOOKUP('Données projet'!$B$13,Paramètres!$A$1:$I$89,3,0)*0.475*44/12</f>
        <v>0.93809385632182229</v>
      </c>
      <c r="DH190" s="23">
        <f>EXP(-LN(2)/2)*DH189+(1-EXP(-LN(2)/2))/(LN(2)/2)*DB190*DE190*VLOOKUP('Données projet'!$B$13,Paramètres!$A$1:$I$89,3,0)*0.475*44/12</f>
        <v>8.3176496067467153E-21</v>
      </c>
      <c r="DI190" s="24">
        <f t="shared" si="175"/>
        <v>6.7103444288041549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2.2737367544323206E-13</v>
      </c>
      <c r="DP190" s="18">
        <f>DO190*VLOOKUP('Données projet'!$B$14,Paramètres!$A$1:$I$89,3,0)*VLOOKUP('Données projet'!$B$14,Paramètres!$A$1:$I$89,5,0)</f>
        <v>1.8444552551954985E-13</v>
      </c>
      <c r="DQ190" s="14">
        <f t="shared" si="176"/>
        <v>2.580317449479618E-12</v>
      </c>
      <c r="DR190" s="22">
        <f t="shared" si="177"/>
        <v>4.8152955147902165E-12</v>
      </c>
      <c r="DS190" s="62">
        <f t="shared" si="125"/>
        <v>293.33333333333815</v>
      </c>
      <c r="DT190" s="62">
        <f ca="1">AVERAGE(OFFSET($DS$3,0,0,'Données projet'!$E$14+1,1))-AVERAGE(OFFSET($H$3,0,0,'Données projet'!$E$14+1,1))</f>
        <v>223.63222290670075</v>
      </c>
      <c r="DU190" s="62">
        <f t="shared" si="152"/>
        <v>290.02663909417248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6.1466037049602109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7.3052570129806493E-18</v>
      </c>
      <c r="ED190" s="24">
        <f t="shared" si="178"/>
        <v>6.1466037049602109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483.50113174728358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192.24617268603629</v>
      </c>
      <c r="T191" s="62">
        <f t="shared" si="142"/>
        <v>192.48585280662832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6.9746608731764059</v>
      </c>
      <c r="AA191" s="23">
        <f>EXP(-LN(2)/25)*AA190+(1-EXP(-LN(2)/25))/(LN(2)/25)*Calculateur!V191*Calculateur!X191*VLOOKUP('Données projet'!$B$9,Paramètres!$A$1:$I$89,3,0)*0.475*44/12</f>
        <v>0.91160517297218535</v>
      </c>
      <c r="AB191" s="23">
        <f>EXP(-LN(2)/2)*AB190+(1-EXP(-LN(2)/2))/(LN(2)/2)*V191*Y191*VLOOKUP('Données projet'!$B$9,Paramètres!$A$1:$I$89,3,0)*0.475*44/12</f>
        <v>2.2750124384860467E-18</v>
      </c>
      <c r="AC191" s="24">
        <f t="shared" si="163"/>
        <v>7.8862660461485916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1.9999999998958629E-3</v>
      </c>
      <c r="AJ191" s="14">
        <f>AI191*VLOOKUP('Données projet'!$B$10,Paramètres!$A$1:$I$89,3,0)*VLOOKUP('Données projet'!$B$10,Paramètres!$A$1:$I$89,5,0)</f>
        <v>1.195999999937726E-3</v>
      </c>
      <c r="AK191" s="14">
        <f t="shared" si="164"/>
        <v>1.2062444695752218E-3</v>
      </c>
      <c r="AL191" s="22">
        <f t="shared" si="165"/>
        <v>4.1839091177350513E-3</v>
      </c>
      <c r="AM191" s="62">
        <f t="shared" si="113"/>
        <v>293.33751724245104</v>
      </c>
      <c r="AN191" s="62">
        <f ca="1">AVERAGE(OFFSET($AM$3,0,0,'Données projet'!$E$10+1,1))-AVERAGE(OFFSET($H$3,0,0,'Données projet'!$E$10+1,1))</f>
        <v>164.64952352018145</v>
      </c>
      <c r="AO191" s="62">
        <f t="shared" si="144"/>
        <v>280.08682720086921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3.4878970552757633</v>
      </c>
      <c r="AV191" s="23">
        <f>EXP(-LN(2)/25)*AV190+(1-EXP(-LN(2)/25))/(LN(2)/25)*Calculateur!AQ191*Calculateur!AS191*VLOOKUP('Données projet'!$B$10,Paramètres!$A$1:$I$89,3,0)*0.475*44/12</f>
        <v>0.40263063015822348</v>
      </c>
      <c r="AW191" s="23">
        <f>EXP(-LN(2)/2)*AW190+(1-EXP(-LN(2)/2))/(LN(2)/2)*AQ191*AT191*VLOOKUP('Données projet'!$B$10,Paramètres!$A$1:$I$89,3,0)*0.475*44/12</f>
        <v>8.9703283878562059E-22</v>
      </c>
      <c r="AX191" s="23">
        <f t="shared" si="166"/>
        <v>3.890527685433987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-1.7053025658242404E-13</v>
      </c>
      <c r="BE191" s="14">
        <f>BD191*VLOOKUP('Données projet'!$B$11,Paramètres!$A$1:$I$89,3,0)*VLOOKUP('Données projet'!$B$11,Paramètres!$A$1:$I$89,5,0)</f>
        <v>-1.4365468814503402E-13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339.58585574836434</v>
      </c>
      <c r="BJ191" s="62">
        <f t="shared" si="146"/>
        <v>42.267525972379588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125.948705956832</v>
      </c>
      <c r="BQ191" s="23">
        <f>EXP(-LN(2)/25)*BQ190+(1-EXP(-LN(2)/25))/(LN(2)/25)*Calculateur!BL191*Calculateur!BN191*VLOOKUP('Données projet'!$B$11,Paramètres!$A$1:$I$89,3,0)*0.475*44/12</f>
        <v>0.85840233646370967</v>
      </c>
      <c r="BR191" s="23">
        <f>EXP(-LN(2)/2)*BR190+(1-EXP(-LN(2)/2))/(LN(2)/2)*BL191*BO191*VLOOKUP('Données projet'!$B$11,Paramètres!$A$1:$I$89,3,0)*0.475*44/12</f>
        <v>5.1710794377465357E-19</v>
      </c>
      <c r="BS191" s="24">
        <f t="shared" si="169"/>
        <v>126.80710829329571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112.34884104798977</v>
      </c>
      <c r="CE191" s="62">
        <f t="shared" si="148"/>
        <v>18.665658139749326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14.999037844082824</v>
      </c>
      <c r="CL191" s="23">
        <f>EXP(-LN(2)/25)*CL190+(1-EXP(-LN(2)/25))/(LN(2)/25)*Calculateur!CG191*Calculateur!CI191*VLOOKUP('Données projet'!$B$12,Paramètres!$A$1:$I$89,3,0)*0.475*44/12</f>
        <v>0.59030879639924083</v>
      </c>
      <c r="CM191" s="23">
        <f>EXP(-LN(2)/2)*CM190+(1-EXP(-LN(2)/2))/(LN(2)/2)*CG191*CJ191*VLOOKUP('Données projet'!$B$12,Paramètres!$A$1:$I$89,3,0)*0.475*44/12</f>
        <v>6.5823317437972643E-21</v>
      </c>
      <c r="CN191" s="24">
        <f t="shared" si="172"/>
        <v>15.589346640482065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-1.1368683772161603E-13</v>
      </c>
      <c r="CU191" s="18">
        <f>CT191*VLOOKUP('Données projet'!$B$13,Paramètres!$A$1:$I$89,3,0)*VLOOKUP('Données projet'!$B$13,Paramètres!$A$1:$I$89,5,0)</f>
        <v>-1.2414602679200469E-13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205.21073681197737</v>
      </c>
      <c r="CZ191" s="62">
        <f t="shared" si="150"/>
        <v>175.16446313750316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5.6590602594811603</v>
      </c>
      <c r="DG191" s="23">
        <f>EXP(-LN(2)/25)*DG190+(1-EXP(-LN(2)/25))/(LN(2)/25)*Calculateur!DB191*Calculateur!DD191*VLOOKUP('Données projet'!$B$13,Paramètres!$A$1:$I$89,3,0)*0.475*44/12</f>
        <v>0.91244163048849025</v>
      </c>
      <c r="DH191" s="23">
        <f>EXP(-LN(2)/2)*DH190+(1-EXP(-LN(2)/2))/(LN(2)/2)*DB191*DE191*VLOOKUP('Données projet'!$B$13,Paramètres!$A$1:$I$89,3,0)*0.475*44/12</f>
        <v>5.8814664404642227E-21</v>
      </c>
      <c r="DI191" s="24">
        <f t="shared" si="175"/>
        <v>6.5715018899696505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2.2737367544323206E-13</v>
      </c>
      <c r="DP191" s="18">
        <f>DO191*VLOOKUP('Données projet'!$B$14,Paramètres!$A$1:$I$89,3,0)*VLOOKUP('Données projet'!$B$14,Paramètres!$A$1:$I$89,5,0)</f>
        <v>1.8444552551954985E-13</v>
      </c>
      <c r="DQ191" s="14">
        <f t="shared" si="176"/>
        <v>2.580317449479618E-12</v>
      </c>
      <c r="DR191" s="22">
        <f t="shared" si="177"/>
        <v>4.8152955147902165E-12</v>
      </c>
      <c r="DS191" s="62">
        <f t="shared" si="125"/>
        <v>293.33333333333815</v>
      </c>
      <c r="DT191" s="62">
        <f ca="1">AVERAGE(OFFSET($DS$3,0,0,'Données projet'!$E$14+1,1))-AVERAGE(OFFSET($H$3,0,0,'Données projet'!$E$14+1,1))</f>
        <v>223.63222290670075</v>
      </c>
      <c r="DU191" s="62">
        <f t="shared" si="152"/>
        <v>290.02663909417248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6.0260725553640127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5.1655967721891998E-18</v>
      </c>
      <c r="ED191" s="24">
        <f t="shared" si="178"/>
        <v>6.0260725553640127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484.67787452989506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192.24617268603629</v>
      </c>
      <c r="T192" s="62">
        <f t="shared" si="142"/>
        <v>192.48585280662832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6.8378920275764896</v>
      </c>
      <c r="AA192" s="23">
        <f>EXP(-LN(2)/25)*AA191+(1-EXP(-LN(2)/25))/(LN(2)/25)*Calculateur!V192*Calculateur!X192*VLOOKUP('Données projet'!$B$9,Paramètres!$A$1:$I$89,3,0)*0.475*44/12</f>
        <v>0.88667728157802839</v>
      </c>
      <c r="AB192" s="23">
        <f>EXP(-LN(2)/2)*AB191+(1-EXP(-LN(2)/2))/(LN(2)/2)*V192*Y192*VLOOKUP('Données projet'!$B$9,Paramètres!$A$1:$I$89,3,0)*0.475*44/12</f>
        <v>1.6086767225372269E-18</v>
      </c>
      <c r="AC192" s="24">
        <f t="shared" si="163"/>
        <v>7.7245693091545178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1.9999999998958629E-3</v>
      </c>
      <c r="AJ192" s="14">
        <f>AI192*VLOOKUP('Données projet'!$B$10,Paramètres!$A$1:$I$89,3,0)*VLOOKUP('Données projet'!$B$10,Paramètres!$A$1:$I$89,5,0)</f>
        <v>1.195999999937726E-3</v>
      </c>
      <c r="AK192" s="14">
        <f t="shared" si="164"/>
        <v>1.2062444695752218E-3</v>
      </c>
      <c r="AL192" s="22">
        <f t="shared" si="165"/>
        <v>4.1839091177350513E-3</v>
      </c>
      <c r="AM192" s="62">
        <f t="shared" si="113"/>
        <v>293.33751724245104</v>
      </c>
      <c r="AN192" s="62">
        <f ca="1">AVERAGE(OFFSET($AM$3,0,0,'Données projet'!$E$10+1,1))-AVERAGE(OFFSET($H$3,0,0,'Données projet'!$E$10+1,1))</f>
        <v>164.64952352018145</v>
      </c>
      <c r="AO192" s="62">
        <f t="shared" si="144"/>
        <v>280.08682720086921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3.4195015214289453</v>
      </c>
      <c r="AV192" s="23">
        <f>EXP(-LN(2)/25)*AV191+(1-EXP(-LN(2)/25))/(LN(2)/25)*Calculateur!AQ192*Calculateur!AS192*VLOOKUP('Données projet'!$B$10,Paramètres!$A$1:$I$89,3,0)*0.475*44/12</f>
        <v>0.39162067440312226</v>
      </c>
      <c r="AW192" s="23">
        <f>EXP(-LN(2)/2)*AW191+(1-EXP(-LN(2)/2))/(LN(2)/2)*AQ192*AT192*VLOOKUP('Données projet'!$B$10,Paramètres!$A$1:$I$89,3,0)*0.475*44/12</f>
        <v>6.3429800325233139E-22</v>
      </c>
      <c r="AX192" s="23">
        <f t="shared" si="166"/>
        <v>3.8111221958320676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-1.7053025658242404E-13</v>
      </c>
      <c r="BE192" s="14">
        <f>BD192*VLOOKUP('Données projet'!$B$11,Paramètres!$A$1:$I$89,3,0)*VLOOKUP('Données projet'!$B$11,Paramètres!$A$1:$I$89,5,0)</f>
        <v>-1.4365468814503402E-13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339.58585574836434</v>
      </c>
      <c r="BJ192" s="62">
        <f t="shared" si="146"/>
        <v>42.267525972379588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123.4789286541437</v>
      </c>
      <c r="BQ192" s="23">
        <f>EXP(-LN(2)/25)*BQ191+(1-EXP(-LN(2)/25))/(LN(2)/25)*Calculateur!BL192*Calculateur!BN192*VLOOKUP('Données projet'!$B$11,Paramètres!$A$1:$I$89,3,0)*0.475*44/12</f>
        <v>0.83492927943169259</v>
      </c>
      <c r="BR192" s="23">
        <f>EXP(-LN(2)/2)*BR191+(1-EXP(-LN(2)/2))/(LN(2)/2)*BL192*BO192*VLOOKUP('Données projet'!$B$11,Paramètres!$A$1:$I$89,3,0)*0.475*44/12</f>
        <v>3.6565053364848949E-19</v>
      </c>
      <c r="BS192" s="24">
        <f t="shared" si="169"/>
        <v>124.31385793357539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112.34884104798977</v>
      </c>
      <c r="CE192" s="62">
        <f t="shared" si="148"/>
        <v>18.665658139749326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14.704915860470106</v>
      </c>
      <c r="CL192" s="23">
        <f>EXP(-LN(2)/25)*CL191+(1-EXP(-LN(2)/25))/(LN(2)/25)*Calculateur!CG192*Calculateur!CI192*VLOOKUP('Données projet'!$B$12,Paramètres!$A$1:$I$89,3,0)*0.475*44/12</f>
        <v>0.57416677131871319</v>
      </c>
      <c r="CM192" s="23">
        <f>EXP(-LN(2)/2)*CM191+(1-EXP(-LN(2)/2))/(LN(2)/2)*CG192*CJ192*VLOOKUP('Données projet'!$B$12,Paramètres!$A$1:$I$89,3,0)*0.475*44/12</f>
        <v>4.6544114120585179E-21</v>
      </c>
      <c r="CN192" s="24">
        <f t="shared" si="172"/>
        <v>15.279082631788819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-1.1368683772161603E-13</v>
      </c>
      <c r="CU192" s="18">
        <f>CT192*VLOOKUP('Données projet'!$B$13,Paramètres!$A$1:$I$89,3,0)*VLOOKUP('Données projet'!$B$13,Paramètres!$A$1:$I$89,5,0)</f>
        <v>-1.2414602679200469E-13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205.21073681197737</v>
      </c>
      <c r="CZ192" s="62">
        <f t="shared" si="150"/>
        <v>175.16446313750316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5.5480895394786671</v>
      </c>
      <c r="DG192" s="23">
        <f>EXP(-LN(2)/25)*DG191+(1-EXP(-LN(2)/25))/(LN(2)/25)*Calculateur!DB192*Calculateur!DD192*VLOOKUP('Données projet'!$B$13,Paramètres!$A$1:$I$89,3,0)*0.475*44/12</f>
        <v>0.88749086611956252</v>
      </c>
      <c r="DH192" s="23">
        <f>EXP(-LN(2)/2)*DH191+(1-EXP(-LN(2)/2))/(LN(2)/2)*DB192*DE192*VLOOKUP('Données projet'!$B$13,Paramètres!$A$1:$I$89,3,0)*0.475*44/12</f>
        <v>4.1588248033733576E-21</v>
      </c>
      <c r="DI192" s="24">
        <f t="shared" si="175"/>
        <v>6.4355804055982295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2.2737367544323206E-13</v>
      </c>
      <c r="DP192" s="18">
        <f>DO192*VLOOKUP('Données projet'!$B$14,Paramètres!$A$1:$I$89,3,0)*VLOOKUP('Données projet'!$B$14,Paramètres!$A$1:$I$89,5,0)</f>
        <v>1.8444552551954985E-13</v>
      </c>
      <c r="DQ192" s="14">
        <f t="shared" si="176"/>
        <v>2.580317449479618E-12</v>
      </c>
      <c r="DR192" s="22">
        <f t="shared" si="177"/>
        <v>4.8152955147902165E-12</v>
      </c>
      <c r="DS192" s="62">
        <f t="shared" si="125"/>
        <v>293.33333333333815</v>
      </c>
      <c r="DT192" s="62">
        <f ca="1">AVERAGE(OFFSET($DS$3,0,0,'Données projet'!$E$14+1,1))-AVERAGE(OFFSET($H$3,0,0,'Données projet'!$E$14+1,1))</f>
        <v>223.63222290670075</v>
      </c>
      <c r="DU192" s="62">
        <f t="shared" si="152"/>
        <v>290.02663909417248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5.9079049480946537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3.6526285064903247E-18</v>
      </c>
      <c r="ED192" s="24">
        <f t="shared" si="178"/>
        <v>5.9079049480946537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485.85447829495109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192.24617268603629</v>
      </c>
      <c r="T193" s="62">
        <f t="shared" si="142"/>
        <v>192.48585280662832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6.7038051356180288</v>
      </c>
      <c r="AA193" s="23">
        <f>EXP(-LN(2)/25)*AA192+(1-EXP(-LN(2)/25))/(LN(2)/25)*Calculateur!V193*Calculateur!X193*VLOOKUP('Données projet'!$B$9,Paramètres!$A$1:$I$89,3,0)*0.475*44/12</f>
        <v>0.86243104468494547</v>
      </c>
      <c r="AB193" s="23">
        <f>EXP(-LN(2)/2)*AB192+(1-EXP(-LN(2)/2))/(LN(2)/2)*V193*Y193*VLOOKUP('Données projet'!$B$9,Paramètres!$A$1:$I$89,3,0)*0.475*44/12</f>
        <v>1.1375062192430233E-18</v>
      </c>
      <c r="AC193" s="24">
        <f t="shared" si="163"/>
        <v>7.5662361803029743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1.9999999998958629E-3</v>
      </c>
      <c r="AJ193" s="14">
        <f>AI193*VLOOKUP('Données projet'!$B$10,Paramètres!$A$1:$I$89,3,0)*VLOOKUP('Données projet'!$B$10,Paramètres!$A$1:$I$89,5,0)</f>
        <v>1.195999999937726E-3</v>
      </c>
      <c r="AK193" s="14">
        <f t="shared" si="164"/>
        <v>1.2062444695752218E-3</v>
      </c>
      <c r="AL193" s="22">
        <f t="shared" si="165"/>
        <v>4.1839091177350513E-3</v>
      </c>
      <c r="AM193" s="62">
        <f t="shared" si="113"/>
        <v>293.33751724245104</v>
      </c>
      <c r="AN193" s="62">
        <f ca="1">AVERAGE(OFFSET($AM$3,0,0,'Données projet'!$E$10+1,1))-AVERAGE(OFFSET($H$3,0,0,'Données projet'!$E$10+1,1))</f>
        <v>164.64952352018145</v>
      </c>
      <c r="AO193" s="62">
        <f t="shared" si="144"/>
        <v>280.08682720086921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3.352447182283707</v>
      </c>
      <c r="AV193" s="23">
        <f>EXP(-LN(2)/25)*AV192+(1-EXP(-LN(2)/25))/(LN(2)/25)*Calculateur!AQ193*Calculateur!AS193*VLOOKUP('Données projet'!$B$10,Paramètres!$A$1:$I$89,3,0)*0.475*44/12</f>
        <v>0.3809117864671327</v>
      </c>
      <c r="AW193" s="23">
        <f>EXP(-LN(2)/2)*AW192+(1-EXP(-LN(2)/2))/(LN(2)/2)*AQ193*AT193*VLOOKUP('Données projet'!$B$10,Paramètres!$A$1:$I$89,3,0)*0.475*44/12</f>
        <v>4.4851641939281029E-22</v>
      </c>
      <c r="AX193" s="23">
        <f t="shared" si="166"/>
        <v>3.7333589687508395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-1.7053025658242404E-13</v>
      </c>
      <c r="BE193" s="14">
        <f>BD193*VLOOKUP('Données projet'!$B$11,Paramètres!$A$1:$I$89,3,0)*VLOOKUP('Données projet'!$B$11,Paramètres!$A$1:$I$89,5,0)</f>
        <v>-1.4365468814503402E-13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339.58585574836434</v>
      </c>
      <c r="BJ193" s="62">
        <f t="shared" si="146"/>
        <v>42.267525972379588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121.05758217794572</v>
      </c>
      <c r="BQ193" s="23">
        <f>EXP(-LN(2)/25)*BQ192+(1-EXP(-LN(2)/25))/(LN(2)/25)*Calculateur!BL193*Calculateur!BN193*VLOOKUP('Données projet'!$B$11,Paramètres!$A$1:$I$89,3,0)*0.475*44/12</f>
        <v>0.81209809437861036</v>
      </c>
      <c r="BR193" s="23">
        <f>EXP(-LN(2)/2)*BR192+(1-EXP(-LN(2)/2))/(LN(2)/2)*BL193*BO193*VLOOKUP('Données projet'!$B$11,Paramètres!$A$1:$I$89,3,0)*0.475*44/12</f>
        <v>2.5855397188732678E-19</v>
      </c>
      <c r="BS193" s="24">
        <f t="shared" si="169"/>
        <v>121.86968027232433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112.34884104798977</v>
      </c>
      <c r="CE193" s="62">
        <f t="shared" si="148"/>
        <v>18.665658139749326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14.416561429559335</v>
      </c>
      <c r="CL193" s="23">
        <f>EXP(-LN(2)/25)*CL192+(1-EXP(-LN(2)/25))/(LN(2)/25)*Calculateur!CG193*Calculateur!CI193*VLOOKUP('Données projet'!$B$12,Paramètres!$A$1:$I$89,3,0)*0.475*44/12</f>
        <v>0.55846615076288475</v>
      </c>
      <c r="CM193" s="23">
        <f>EXP(-LN(2)/2)*CM192+(1-EXP(-LN(2)/2))/(LN(2)/2)*CG193*CJ193*VLOOKUP('Données projet'!$B$12,Paramètres!$A$1:$I$89,3,0)*0.475*44/12</f>
        <v>3.2911658718986322E-21</v>
      </c>
      <c r="CN193" s="24">
        <f t="shared" si="172"/>
        <v>14.975027580322219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-1.1368683772161603E-13</v>
      </c>
      <c r="CU193" s="18">
        <f>CT193*VLOOKUP('Données projet'!$B$13,Paramètres!$A$1:$I$89,3,0)*VLOOKUP('Données projet'!$B$13,Paramètres!$A$1:$I$89,5,0)</f>
        <v>-1.2414602679200469E-13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205.21073681197737</v>
      </c>
      <c r="CZ193" s="62">
        <f t="shared" si="150"/>
        <v>175.16446313750316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5.4392948876099672</v>
      </c>
      <c r="DG193" s="23">
        <f>EXP(-LN(2)/25)*DG192+(1-EXP(-LN(2)/25))/(LN(2)/25)*Calculateur!DB193*Calculateur!DD193*VLOOKUP('Données projet'!$B$13,Paramètres!$A$1:$I$89,3,0)*0.475*44/12</f>
        <v>0.86322238171440679</v>
      </c>
      <c r="DH193" s="23">
        <f>EXP(-LN(2)/2)*DH192+(1-EXP(-LN(2)/2))/(LN(2)/2)*DB193*DE193*VLOOKUP('Données projet'!$B$13,Paramètres!$A$1:$I$89,3,0)*0.475*44/12</f>
        <v>2.9407332202321114E-21</v>
      </c>
      <c r="DI193" s="24">
        <f t="shared" si="175"/>
        <v>6.3025172693243743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2.2737367544323206E-13</v>
      </c>
      <c r="DP193" s="18">
        <f>DO193*VLOOKUP('Données projet'!$B$14,Paramètres!$A$1:$I$89,3,0)*VLOOKUP('Données projet'!$B$14,Paramètres!$A$1:$I$89,5,0)</f>
        <v>1.8444552551954985E-13</v>
      </c>
      <c r="DQ193" s="14">
        <f t="shared" si="176"/>
        <v>2.580317449479618E-12</v>
      </c>
      <c r="DR193" s="22">
        <f t="shared" si="177"/>
        <v>4.8152955147902165E-12</v>
      </c>
      <c r="DS193" s="62">
        <f t="shared" si="125"/>
        <v>293.33333333333815</v>
      </c>
      <c r="DT193" s="62">
        <f ca="1">AVERAGE(OFFSET($DS$3,0,0,'Données projet'!$E$14+1,1))-AVERAGE(OFFSET($H$3,0,0,'Données projet'!$E$14+1,1))</f>
        <v>223.63222290670075</v>
      </c>
      <c r="DU193" s="62">
        <f t="shared" si="152"/>
        <v>290.02663909417248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5.792054535528723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2.5827983860945999E-18</v>
      </c>
      <c r="ED193" s="24">
        <f t="shared" si="178"/>
        <v>5.792054535528723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487.03094385904706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192.24617268603629</v>
      </c>
      <c r="T194" s="62">
        <f t="shared" si="142"/>
        <v>192.48585280662832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6.5723476058259447</v>
      </c>
      <c r="AA194" s="23">
        <f>EXP(-LN(2)/25)*AA193+(1-EXP(-LN(2)/25))/(LN(2)/25)*Calculateur!V194*Calculateur!X194*VLOOKUP('Données projet'!$B$9,Paramètres!$A$1:$I$89,3,0)*0.475*44/12</f>
        <v>0.83884782241475808</v>
      </c>
      <c r="AB194" s="23">
        <f>EXP(-LN(2)/2)*AB193+(1-EXP(-LN(2)/2))/(LN(2)/2)*V194*Y194*VLOOKUP('Données projet'!$B$9,Paramètres!$A$1:$I$89,3,0)*0.475*44/12</f>
        <v>8.0433836126861347E-19</v>
      </c>
      <c r="AC194" s="24">
        <f t="shared" si="163"/>
        <v>7.4111954282407027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1.9999999998958629E-3</v>
      </c>
      <c r="AJ194" s="14">
        <f>AI194*VLOOKUP('Données projet'!$B$10,Paramètres!$A$1:$I$89,3,0)*VLOOKUP('Données projet'!$B$10,Paramètres!$A$1:$I$89,5,0)</f>
        <v>1.195999999937726E-3</v>
      </c>
      <c r="AK194" s="14">
        <f t="shared" si="164"/>
        <v>1.2062444695752218E-3</v>
      </c>
      <c r="AL194" s="22">
        <f t="shared" si="165"/>
        <v>4.1839091177350513E-3</v>
      </c>
      <c r="AM194" s="62">
        <f t="shared" si="113"/>
        <v>293.33751724245104</v>
      </c>
      <c r="AN194" s="62">
        <f ca="1">AVERAGE(OFFSET($AM$3,0,0,'Données projet'!$E$10+1,1))-AVERAGE(OFFSET($H$3,0,0,'Données projet'!$E$10+1,1))</f>
        <v>164.64952352018145</v>
      </c>
      <c r="AO194" s="62">
        <f t="shared" si="144"/>
        <v>280.08682720086921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3.2867077378299983</v>
      </c>
      <c r="AV194" s="23">
        <f>EXP(-LN(2)/25)*AV193+(1-EXP(-LN(2)/25))/(LN(2)/25)*Calculateur!AQ194*Calculateur!AS194*VLOOKUP('Données projet'!$B$10,Paramètres!$A$1:$I$89,3,0)*0.475*44/12</f>
        <v>0.37049573363490867</v>
      </c>
      <c r="AW194" s="23">
        <f>EXP(-LN(2)/2)*AW193+(1-EXP(-LN(2)/2))/(LN(2)/2)*AQ194*AT194*VLOOKUP('Données projet'!$B$10,Paramètres!$A$1:$I$89,3,0)*0.475*44/12</f>
        <v>3.1714900162616569E-22</v>
      </c>
      <c r="AX194" s="23">
        <f t="shared" si="166"/>
        <v>3.6572034714649071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-1.7053025658242404E-13</v>
      </c>
      <c r="BE194" s="14">
        <f>BD194*VLOOKUP('Données projet'!$B$11,Paramètres!$A$1:$I$89,3,0)*VLOOKUP('Données projet'!$B$11,Paramètres!$A$1:$I$89,5,0)</f>
        <v>-1.4365468814503402E-13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339.58585574836434</v>
      </c>
      <c r="BJ194" s="62">
        <f t="shared" si="146"/>
        <v>42.267525972379588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118.68371682927045</v>
      </c>
      <c r="BQ194" s="23">
        <f>EXP(-LN(2)/25)*BQ193+(1-EXP(-LN(2)/25))/(LN(2)/25)*Calculateur!BL194*Calculateur!BN194*VLOOKUP('Données projet'!$B$11,Paramètres!$A$1:$I$89,3,0)*0.475*44/12</f>
        <v>0.78989122928144451</v>
      </c>
      <c r="BR194" s="23">
        <f>EXP(-LN(2)/2)*BR193+(1-EXP(-LN(2)/2))/(LN(2)/2)*BL194*BO194*VLOOKUP('Données projet'!$B$11,Paramètres!$A$1:$I$89,3,0)*0.475*44/12</f>
        <v>1.8282526682424474E-19</v>
      </c>
      <c r="BS194" s="24">
        <f t="shared" si="169"/>
        <v>119.4736080585519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112.34884104798977</v>
      </c>
      <c r="CE194" s="62">
        <f t="shared" si="148"/>
        <v>18.665658139749326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14.13386145315989</v>
      </c>
      <c r="CL194" s="23">
        <f>EXP(-LN(2)/25)*CL193+(1-EXP(-LN(2)/25))/(LN(2)/25)*Calculateur!CG194*Calculateur!CI194*VLOOKUP('Données projet'!$B$12,Paramètres!$A$1:$I$89,3,0)*0.475*44/12</f>
        <v>0.5431948645018152</v>
      </c>
      <c r="CM194" s="23">
        <f>EXP(-LN(2)/2)*CM193+(1-EXP(-LN(2)/2))/(LN(2)/2)*CG194*CJ194*VLOOKUP('Données projet'!$B$12,Paramètres!$A$1:$I$89,3,0)*0.475*44/12</f>
        <v>2.327205706029259E-21</v>
      </c>
      <c r="CN194" s="24">
        <f t="shared" si="172"/>
        <v>14.677056317661705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-1.1368683772161603E-13</v>
      </c>
      <c r="CU194" s="18">
        <f>CT194*VLOOKUP('Données projet'!$B$13,Paramètres!$A$1:$I$89,3,0)*VLOOKUP('Données projet'!$B$13,Paramètres!$A$1:$I$89,5,0)</f>
        <v>-1.2414602679200469E-13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205.21073681197737</v>
      </c>
      <c r="CZ194" s="62">
        <f t="shared" si="150"/>
        <v>175.16446313750316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5.3326336325062274</v>
      </c>
      <c r="DG194" s="23">
        <f>EXP(-LN(2)/25)*DG193+(1-EXP(-LN(2)/25))/(LN(2)/25)*Calculateur!DB194*Calculateur!DD194*VLOOKUP('Données projet'!$B$13,Paramètres!$A$1:$I$89,3,0)*0.475*44/12</f>
        <v>0.83961752029153425</v>
      </c>
      <c r="DH194" s="23">
        <f>EXP(-LN(2)/2)*DH193+(1-EXP(-LN(2)/2))/(LN(2)/2)*DB194*DE194*VLOOKUP('Données projet'!$B$13,Paramètres!$A$1:$I$89,3,0)*0.475*44/12</f>
        <v>2.0794124016866788E-21</v>
      </c>
      <c r="DI194" s="24">
        <f t="shared" si="175"/>
        <v>6.1722511527977613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2.2737367544323206E-13</v>
      </c>
      <c r="DP194" s="18">
        <f>DO194*VLOOKUP('Données projet'!$B$14,Paramètres!$A$1:$I$89,3,0)*VLOOKUP('Données projet'!$B$14,Paramètres!$A$1:$I$89,5,0)</f>
        <v>1.8444552551954985E-13</v>
      </c>
      <c r="DQ194" s="14">
        <f t="shared" si="176"/>
        <v>2.580317449479618E-12</v>
      </c>
      <c r="DR194" s="22">
        <f t="shared" si="177"/>
        <v>4.8152955147902165E-12</v>
      </c>
      <c r="DS194" s="62">
        <f t="shared" si="125"/>
        <v>293.33333333333815</v>
      </c>
      <c r="DT194" s="62">
        <f ca="1">AVERAGE(OFFSET($DS$3,0,0,'Données projet'!$E$14+1,1))-AVERAGE(OFFSET($H$3,0,0,'Données projet'!$E$14+1,1))</f>
        <v>223.63222290670075</v>
      </c>
      <c r="DU194" s="62">
        <f t="shared" si="152"/>
        <v>290.02663909417248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5.6784758788914358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1.8263142532451623E-18</v>
      </c>
      <c r="ED194" s="24">
        <f t="shared" si="178"/>
        <v>5.6784758788914358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488.20727202973239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192.24617268603629</v>
      </c>
      <c r="T195" s="62">
        <f t="shared" si="142"/>
        <v>192.48585280662832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6.4434678780119077</v>
      </c>
      <c r="AA195" s="23">
        <f>EXP(-LN(2)/25)*AA194+(1-EXP(-LN(2)/25))/(LN(2)/25)*Calculateur!V195*Calculateur!X195*VLOOKUP('Données projet'!$B$9,Paramètres!$A$1:$I$89,3,0)*0.475*44/12</f>
        <v>0.81590948459773671</v>
      </c>
      <c r="AB195" s="23">
        <f>EXP(-LN(2)/2)*AB194+(1-EXP(-LN(2)/2))/(LN(2)/2)*V195*Y195*VLOOKUP('Données projet'!$B$9,Paramètres!$A$1:$I$89,3,0)*0.475*44/12</f>
        <v>5.6875310962151167E-19</v>
      </c>
      <c r="AC195" s="24">
        <f t="shared" si="163"/>
        <v>7.2593773626096443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1.9999999998958629E-3</v>
      </c>
      <c r="AJ195" s="14">
        <f>AI195*VLOOKUP('Données projet'!$B$10,Paramètres!$A$1:$I$89,3,0)*VLOOKUP('Données projet'!$B$10,Paramètres!$A$1:$I$89,5,0)</f>
        <v>1.195999999937726E-3</v>
      </c>
      <c r="AK195" s="14">
        <f t="shared" si="164"/>
        <v>1.2062444695752218E-3</v>
      </c>
      <c r="AL195" s="22">
        <f t="shared" si="165"/>
        <v>4.1839091177350513E-3</v>
      </c>
      <c r="AM195" s="62">
        <f t="shared" si="113"/>
        <v>293.33751724245104</v>
      </c>
      <c r="AN195" s="62">
        <f ca="1">AVERAGE(OFFSET($AM$3,0,0,'Données projet'!$E$10+1,1))-AVERAGE(OFFSET($H$3,0,0,'Données projet'!$E$10+1,1))</f>
        <v>164.64952352018145</v>
      </c>
      <c r="AO195" s="62">
        <f t="shared" si="144"/>
        <v>280.08682720086921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3.222257403784925</v>
      </c>
      <c r="AV195" s="23">
        <f>EXP(-LN(2)/25)*AV194+(1-EXP(-LN(2)/25))/(LN(2)/25)*Calculateur!AQ195*Calculateur!AS195*VLOOKUP('Données projet'!$B$10,Paramètres!$A$1:$I$89,3,0)*0.475*44/12</f>
        <v>0.36036450831513822</v>
      </c>
      <c r="AW195" s="23">
        <f>EXP(-LN(2)/2)*AW194+(1-EXP(-LN(2)/2))/(LN(2)/2)*AQ195*AT195*VLOOKUP('Données projet'!$B$10,Paramètres!$A$1:$I$89,3,0)*0.475*44/12</f>
        <v>2.2425820969640515E-22</v>
      </c>
      <c r="AX195" s="23">
        <f t="shared" si="166"/>
        <v>3.5826219121000631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-1.7053025658242404E-13</v>
      </c>
      <c r="BE195" s="14">
        <f>BD195*VLOOKUP('Données projet'!$B$11,Paramètres!$A$1:$I$89,3,0)*VLOOKUP('Données projet'!$B$11,Paramètres!$A$1:$I$89,5,0)</f>
        <v>-1.4365468814503402E-13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339.58585574836434</v>
      </c>
      <c r="BJ195" s="62">
        <f t="shared" si="146"/>
        <v>42.267525972379588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116.35640153216781</v>
      </c>
      <c r="BQ195" s="23">
        <f>EXP(-LN(2)/25)*BQ194+(1-EXP(-LN(2)/25))/(LN(2)/25)*Calculateur!BL195*Calculateur!BN195*VLOOKUP('Données projet'!$B$11,Paramètres!$A$1:$I$89,3,0)*0.475*44/12</f>
        <v>0.76829161207816898</v>
      </c>
      <c r="BR195" s="23">
        <f>EXP(-LN(2)/2)*BR194+(1-EXP(-LN(2)/2))/(LN(2)/2)*BL195*BO195*VLOOKUP('Données projet'!$B$11,Paramètres!$A$1:$I$89,3,0)*0.475*44/12</f>
        <v>1.2927698594366339E-19</v>
      </c>
      <c r="BS195" s="24">
        <f t="shared" si="169"/>
        <v>117.12469314424598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112.34884104798977</v>
      </c>
      <c r="CE195" s="62">
        <f t="shared" si="148"/>
        <v>18.665658139749326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13.856705050867676</v>
      </c>
      <c r="CL195" s="23">
        <f>EXP(-LN(2)/25)*CL194+(1-EXP(-LN(2)/25))/(LN(2)/25)*Calculateur!CG195*Calculateur!CI195*VLOOKUP('Données projet'!$B$12,Paramètres!$A$1:$I$89,3,0)*0.475*44/12</f>
        <v>0.52834117236663658</v>
      </c>
      <c r="CM195" s="23">
        <f>EXP(-LN(2)/2)*CM194+(1-EXP(-LN(2)/2))/(LN(2)/2)*CG195*CJ195*VLOOKUP('Données projet'!$B$12,Paramètres!$A$1:$I$89,3,0)*0.475*44/12</f>
        <v>1.6455829359493161E-21</v>
      </c>
      <c r="CN195" s="24">
        <f t="shared" si="172"/>
        <v>14.385046223234312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-1.1368683772161603E-13</v>
      </c>
      <c r="CU195" s="18">
        <f>CT195*VLOOKUP('Données projet'!$B$13,Paramètres!$A$1:$I$89,3,0)*VLOOKUP('Données projet'!$B$13,Paramètres!$A$1:$I$89,5,0)</f>
        <v>-1.2414602679200469E-13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205.21073681197737</v>
      </c>
      <c r="CZ195" s="62">
        <f t="shared" si="150"/>
        <v>175.16446313750316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5.2280639395581296</v>
      </c>
      <c r="DG195" s="23">
        <f>EXP(-LN(2)/25)*DG194+(1-EXP(-LN(2)/25))/(LN(2)/25)*Calculateur!DB195*Calculateur!DD195*VLOOKUP('Données projet'!$B$13,Paramètres!$A$1:$I$89,3,0)*0.475*44/12</f>
        <v>0.81665813504559581</v>
      </c>
      <c r="DH195" s="23">
        <f>EXP(-LN(2)/2)*DH194+(1-EXP(-LN(2)/2))/(LN(2)/2)*DB195*DE195*VLOOKUP('Données projet'!$B$13,Paramètres!$A$1:$I$89,3,0)*0.475*44/12</f>
        <v>1.4703666101160557E-21</v>
      </c>
      <c r="DI195" s="24">
        <f t="shared" si="175"/>
        <v>6.0447220746037251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2.2737367544323206E-13</v>
      </c>
      <c r="DP195" s="18">
        <f>DO195*VLOOKUP('Données projet'!$B$14,Paramètres!$A$1:$I$89,3,0)*VLOOKUP('Données projet'!$B$14,Paramètres!$A$1:$I$89,5,0)</f>
        <v>1.8444552551954985E-13</v>
      </c>
      <c r="DQ195" s="14">
        <f t="shared" si="176"/>
        <v>2.580317449479618E-12</v>
      </c>
      <c r="DR195" s="22">
        <f t="shared" si="177"/>
        <v>4.8152955147902165E-12</v>
      </c>
      <c r="DS195" s="62">
        <f t="shared" si="125"/>
        <v>293.33333333333815</v>
      </c>
      <c r="DT195" s="62">
        <f ca="1">AVERAGE(OFFSET($DS$3,0,0,'Données projet'!$E$14+1,1))-AVERAGE(OFFSET($H$3,0,0,'Données projet'!$E$14+1,1))</f>
        <v>223.63222290670075</v>
      </c>
      <c r="DU195" s="62">
        <f t="shared" si="152"/>
        <v>290.02663909417248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5.5671244304346654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1.2913991930473E-18</v>
      </c>
      <c r="ED195" s="24">
        <f t="shared" si="178"/>
        <v>5.5671244304346654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489.38346360565777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192.24617268603629</v>
      </c>
      <c r="T196" s="62">
        <f t="shared" si="142"/>
        <v>192.48585280662832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6.3171154030514316</v>
      </c>
      <c r="AA196" s="23">
        <f>EXP(-LN(2)/25)*AA195+(1-EXP(-LN(2)/25))/(LN(2)/25)*Calculateur!V196*Calculateur!X196*VLOOKUP('Données projet'!$B$9,Paramètres!$A$1:$I$89,3,0)*0.475*44/12</f>
        <v>0.79359839683459654</v>
      </c>
      <c r="AB196" s="23">
        <f>EXP(-LN(2)/2)*AB195+(1-EXP(-LN(2)/2))/(LN(2)/2)*V196*Y196*VLOOKUP('Données projet'!$B$9,Paramètres!$A$1:$I$89,3,0)*0.475*44/12</f>
        <v>4.0216918063430674E-19</v>
      </c>
      <c r="AC196" s="24">
        <f t="shared" si="163"/>
        <v>7.1107137998860281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1.9999999998958629E-3</v>
      </c>
      <c r="AJ196" s="14">
        <f>AI196*VLOOKUP('Données projet'!$B$10,Paramètres!$A$1:$I$89,3,0)*VLOOKUP('Données projet'!$B$10,Paramètres!$A$1:$I$89,5,0)</f>
        <v>1.195999999937726E-3</v>
      </c>
      <c r="AK196" s="14">
        <f t="shared" si="164"/>
        <v>1.2062444695752218E-3</v>
      </c>
      <c r="AL196" s="22">
        <f t="shared" si="165"/>
        <v>4.1839091177350513E-3</v>
      </c>
      <c r="AM196" s="62">
        <f t="shared" ref="AM196:AM203" si="193">AL196+(AD196+AE196)*44/12</f>
        <v>293.33751724245104</v>
      </c>
      <c r="AN196" s="62">
        <f ca="1">AVERAGE(OFFSET($AM$3,0,0,'Données projet'!$E$10+1,1))-AVERAGE(OFFSET($H$3,0,0,'Données projet'!$E$10+1,1))</f>
        <v>164.64952352018145</v>
      </c>
      <c r="AO196" s="62">
        <f t="shared" si="144"/>
        <v>280.08682720086921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3.1590709014796534</v>
      </c>
      <c r="AV196" s="23">
        <f>EXP(-LN(2)/25)*AV195+(1-EXP(-LN(2)/25))/(LN(2)/25)*Calculateur!AQ196*Calculateur!AS196*VLOOKUP('Données projet'!$B$10,Paramètres!$A$1:$I$89,3,0)*0.475*44/12</f>
        <v>0.35051032188451492</v>
      </c>
      <c r="AW196" s="23">
        <f>EXP(-LN(2)/2)*AW195+(1-EXP(-LN(2)/2))/(LN(2)/2)*AQ196*AT196*VLOOKUP('Données projet'!$B$10,Paramètres!$A$1:$I$89,3,0)*0.475*44/12</f>
        <v>1.5857450081308285E-22</v>
      </c>
      <c r="AX196" s="23">
        <f t="shared" si="166"/>
        <v>3.5095812233641683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-1.7053025658242404E-13</v>
      </c>
      <c r="BE196" s="14">
        <f>BD196*VLOOKUP('Données projet'!$B$11,Paramètres!$A$1:$I$89,3,0)*VLOOKUP('Données projet'!$B$11,Paramètres!$A$1:$I$89,5,0)</f>
        <v>-1.4365468814503402E-13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339.58585574836434</v>
      </c>
      <c r="BJ196" s="62">
        <f t="shared" si="146"/>
        <v>42.267525972379588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114.07472346851918</v>
      </c>
      <c r="BQ196" s="23">
        <f>EXP(-LN(2)/25)*BQ195+(1-EXP(-LN(2)/25))/(LN(2)/25)*Calculateur!BL196*Calculateur!BN196*VLOOKUP('Données projet'!$B$11,Paramètres!$A$1:$I$89,3,0)*0.475*44/12</f>
        <v>0.74728263754319157</v>
      </c>
      <c r="BR196" s="23">
        <f>EXP(-LN(2)/2)*BR195+(1-EXP(-LN(2)/2))/(LN(2)/2)*BL196*BO196*VLOOKUP('Données projet'!$B$11,Paramètres!$A$1:$I$89,3,0)*0.475*44/12</f>
        <v>9.1412633412122372E-20</v>
      </c>
      <c r="BS196" s="24">
        <f t="shared" si="169"/>
        <v>114.82200610606237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112.34884104798977</v>
      </c>
      <c r="CE196" s="62">
        <f t="shared" si="148"/>
        <v>18.665658139749326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13.584983516575701</v>
      </c>
      <c r="CL196" s="23">
        <f>EXP(-LN(2)/25)*CL195+(1-EXP(-LN(2)/25))/(LN(2)/25)*Calculateur!CG196*Calculateur!CI196*VLOOKUP('Données projet'!$B$12,Paramètres!$A$1:$I$89,3,0)*0.475*44/12</f>
        <v>0.5138936552240162</v>
      </c>
      <c r="CM196" s="23">
        <f>EXP(-LN(2)/2)*CM195+(1-EXP(-LN(2)/2))/(LN(2)/2)*CG196*CJ196*VLOOKUP('Données projet'!$B$12,Paramètres!$A$1:$I$89,3,0)*0.475*44/12</f>
        <v>1.1636028530146295E-21</v>
      </c>
      <c r="CN196" s="24">
        <f t="shared" si="172"/>
        <v>14.098877171799717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-1.1368683772161603E-13</v>
      </c>
      <c r="CU196" s="18">
        <f>CT196*VLOOKUP('Données projet'!$B$13,Paramètres!$A$1:$I$89,3,0)*VLOOKUP('Données projet'!$B$13,Paramètres!$A$1:$I$89,5,0)</f>
        <v>-1.2414602679200469E-13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205.21073681197737</v>
      </c>
      <c r="CZ196" s="62">
        <f t="shared" si="150"/>
        <v>175.16446313750316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5.1255447945075296</v>
      </c>
      <c r="DG196" s="23">
        <f>EXP(-LN(2)/25)*DG195+(1-EXP(-LN(2)/25))/(LN(2)/25)*Calculateur!DB196*Calculateur!DD196*VLOOKUP('Données projet'!$B$13,Paramètres!$A$1:$I$89,3,0)*0.475*44/12</f>
        <v>0.79432657539658913</v>
      </c>
      <c r="DH196" s="23">
        <f>EXP(-LN(2)/2)*DH195+(1-EXP(-LN(2)/2))/(LN(2)/2)*DB196*DE196*VLOOKUP('Données projet'!$B$13,Paramètres!$A$1:$I$89,3,0)*0.475*44/12</f>
        <v>1.0397062008433394E-21</v>
      </c>
      <c r="DI196" s="24">
        <f t="shared" si="175"/>
        <v>5.9198713699041186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2.2737367544323206E-13</v>
      </c>
      <c r="DP196" s="18">
        <f>DO196*VLOOKUP('Données projet'!$B$14,Paramètres!$A$1:$I$89,3,0)*VLOOKUP('Données projet'!$B$14,Paramètres!$A$1:$I$89,5,0)</f>
        <v>1.8444552551954985E-13</v>
      </c>
      <c r="DQ196" s="14">
        <f t="shared" si="176"/>
        <v>2.580317449479618E-12</v>
      </c>
      <c r="DR196" s="22">
        <f t="shared" si="177"/>
        <v>4.8152955147902165E-12</v>
      </c>
      <c r="DS196" s="62">
        <f t="shared" ref="DS196:DS203" si="197">DR196+(DJ196+DK196)*44/12</f>
        <v>293.33333333333815</v>
      </c>
      <c r="DT196" s="62">
        <f ca="1">AVERAGE(OFFSET($DS$3,0,0,'Données projet'!$E$14+1,1))-AVERAGE(OFFSET($H$3,0,0,'Données projet'!$E$14+1,1))</f>
        <v>223.63222290670075</v>
      </c>
      <c r="DU196" s="62">
        <f t="shared" si="152"/>
        <v>290.02663909417248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5.4579565159644554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9.1315712662258117E-19</v>
      </c>
      <c r="ED196" s="24">
        <f t="shared" si="178"/>
        <v>5.4579565159644554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490.55951937671841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192.24617268603629</v>
      </c>
      <c r="T197" s="62">
        <f t="shared" ref="T197:T203" si="204">$T$3</f>
        <v>192.48585280662832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6.1932406230575312</v>
      </c>
      <c r="AA197" s="23">
        <f>EXP(-LN(2)/25)*AA196+(1-EXP(-LN(2)/25))/(LN(2)/25)*Calculateur!V197*Calculateur!X197*VLOOKUP('Données projet'!$B$9,Paramètres!$A$1:$I$89,3,0)*0.475*44/12</f>
        <v>0.77189740693962861</v>
      </c>
      <c r="AB197" s="23">
        <f>EXP(-LN(2)/2)*AB196+(1-EXP(-LN(2)/2))/(LN(2)/2)*V197*Y197*VLOOKUP('Données projet'!$B$9,Paramètres!$A$1:$I$89,3,0)*0.475*44/12</f>
        <v>2.8437655481075584E-19</v>
      </c>
      <c r="AC197" s="24">
        <f t="shared" si="163"/>
        <v>6.9651380299971599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1.9999999998958629E-3</v>
      </c>
      <c r="AJ197" s="14">
        <f>AI197*VLOOKUP('Données projet'!$B$10,Paramètres!$A$1:$I$89,3,0)*VLOOKUP('Données projet'!$B$10,Paramètres!$A$1:$I$89,5,0)</f>
        <v>1.195999999937726E-3</v>
      </c>
      <c r="AK197" s="14">
        <f t="shared" si="164"/>
        <v>1.2062444695752218E-3</v>
      </c>
      <c r="AL197" s="22">
        <f t="shared" si="165"/>
        <v>4.1839091177350513E-3</v>
      </c>
      <c r="AM197" s="62">
        <f t="shared" si="193"/>
        <v>293.33751724245104</v>
      </c>
      <c r="AN197" s="62">
        <f ca="1">AVERAGE(OFFSET($AM$3,0,0,'Données projet'!$E$10+1,1))-AVERAGE(OFFSET($H$3,0,0,'Données projet'!$E$10+1,1))</f>
        <v>164.64952352018145</v>
      </c>
      <c r="AO197" s="62">
        <f t="shared" ref="AO197:AO203" si="205">$AO$3</f>
        <v>280.08682720086921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3.0971234479446275</v>
      </c>
      <c r="AV197" s="23">
        <f>EXP(-LN(2)/25)*AV196+(1-EXP(-LN(2)/25))/(LN(2)/25)*Calculateur!AQ197*Calculateur!AS197*VLOOKUP('Données projet'!$B$10,Paramètres!$A$1:$I$89,3,0)*0.475*44/12</f>
        <v>0.34092559870004613</v>
      </c>
      <c r="AW197" s="23">
        <f>EXP(-LN(2)/2)*AW196+(1-EXP(-LN(2)/2))/(LN(2)/2)*AQ197*AT197*VLOOKUP('Données projet'!$B$10,Paramètres!$A$1:$I$89,3,0)*0.475*44/12</f>
        <v>1.1212910484820257E-22</v>
      </c>
      <c r="AX197" s="23">
        <f t="shared" si="166"/>
        <v>3.4380490466446734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-1.7053025658242404E-13</v>
      </c>
      <c r="BE197" s="14">
        <f>BD197*VLOOKUP('Données projet'!$B$11,Paramètres!$A$1:$I$89,3,0)*VLOOKUP('Données projet'!$B$11,Paramètres!$A$1:$I$89,5,0)</f>
        <v>-1.4365468814503402E-13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339.58585574836434</v>
      </c>
      <c r="BJ197" s="62">
        <f t="shared" ref="BJ197:BJ203" si="206">$BJ$3</f>
        <v>42.267525972379588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111.83778772001251</v>
      </c>
      <c r="BQ197" s="23">
        <f>EXP(-LN(2)/25)*BQ196+(1-EXP(-LN(2)/25))/(LN(2)/25)*Calculateur!BL197*Calculateur!BN197*VLOOKUP('Données projet'!$B$11,Paramètres!$A$1:$I$89,3,0)*0.475*44/12</f>
        <v>0.72684815452168705</v>
      </c>
      <c r="BR197" s="23">
        <f>EXP(-LN(2)/2)*BR196+(1-EXP(-LN(2)/2))/(LN(2)/2)*BL197*BO197*VLOOKUP('Données projet'!$B$11,Paramètres!$A$1:$I$89,3,0)*0.475*44/12</f>
        <v>6.4638492971831696E-20</v>
      </c>
      <c r="BS197" s="24">
        <f t="shared" si="169"/>
        <v>112.5646358745342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112.34884104798977</v>
      </c>
      <c r="CE197" s="62">
        <f t="shared" ref="CE197:CE203" si="207">$CE$3</f>
        <v>18.665658139749326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13.318590275837419</v>
      </c>
      <c r="CL197" s="23">
        <f>EXP(-LN(2)/25)*CL196+(1-EXP(-LN(2)/25))/(LN(2)/25)*Calculateur!CG197*Calculateur!CI197*VLOOKUP('Données projet'!$B$12,Paramètres!$A$1:$I$89,3,0)*0.475*44/12</f>
        <v>0.49984120619742267</v>
      </c>
      <c r="CM197" s="23">
        <f>EXP(-LN(2)/2)*CM196+(1-EXP(-LN(2)/2))/(LN(2)/2)*CG197*CJ197*VLOOKUP('Données projet'!$B$12,Paramètres!$A$1:$I$89,3,0)*0.475*44/12</f>
        <v>8.2279146797465804E-22</v>
      </c>
      <c r="CN197" s="24">
        <f t="shared" si="172"/>
        <v>13.818431482034843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-1.1368683772161603E-13</v>
      </c>
      <c r="CU197" s="18">
        <f>CT197*VLOOKUP('Données projet'!$B$13,Paramètres!$A$1:$I$89,3,0)*VLOOKUP('Données projet'!$B$13,Paramètres!$A$1:$I$89,5,0)</f>
        <v>-1.2414602679200469E-13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205.21073681197737</v>
      </c>
      <c r="CZ197" s="62">
        <f t="shared" ref="CZ197:CZ203" si="208">$CZ$3</f>
        <v>175.16446313750316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5.0250359873608677</v>
      </c>
      <c r="DG197" s="23">
        <f>EXP(-LN(2)/25)*DG196+(1-EXP(-LN(2)/25))/(LN(2)/25)*Calculateur!DB197*Calculateur!DD197*VLOOKUP('Données projet'!$B$13,Paramètres!$A$1:$I$89,3,0)*0.475*44/12</f>
        <v>0.77260567342055031</v>
      </c>
      <c r="DH197" s="23">
        <f>EXP(-LN(2)/2)*DH196+(1-EXP(-LN(2)/2))/(LN(2)/2)*DB197*DE197*VLOOKUP('Données projet'!$B$13,Paramètres!$A$1:$I$89,3,0)*0.475*44/12</f>
        <v>7.3518330505802784E-22</v>
      </c>
      <c r="DI197" s="24">
        <f t="shared" si="175"/>
        <v>5.7976416607814176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2.2737367544323206E-13</v>
      </c>
      <c r="DP197" s="18">
        <f>DO197*VLOOKUP('Données projet'!$B$14,Paramètres!$A$1:$I$89,3,0)*VLOOKUP('Données projet'!$B$14,Paramètres!$A$1:$I$89,5,0)</f>
        <v>1.8444552551954985E-13</v>
      </c>
      <c r="DQ197" s="14">
        <f t="shared" si="176"/>
        <v>2.580317449479618E-12</v>
      </c>
      <c r="DR197" s="22">
        <f t="shared" si="177"/>
        <v>4.8152955147902165E-12</v>
      </c>
      <c r="DS197" s="62">
        <f t="shared" si="197"/>
        <v>293.33333333333815</v>
      </c>
      <c r="DT197" s="62">
        <f ca="1">AVERAGE(OFFSET($DS$3,0,0,'Données projet'!$E$14+1,1))-AVERAGE(OFFSET($H$3,0,0,'Données projet'!$E$14+1,1))</f>
        <v>223.63222290670075</v>
      </c>
      <c r="DU197" s="62">
        <f t="shared" ref="DU197:DU203" si="209">$DU$3</f>
        <v>290.02663909417248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5.3509293177111532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6.4569959652364998E-19</v>
      </c>
      <c r="ED197" s="24">
        <f t="shared" si="178"/>
        <v>5.3509293177111532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491.73544012419472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192.24617268603629</v>
      </c>
      <c r="T198" s="62">
        <f t="shared" si="204"/>
        <v>192.48585280662832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6.071794951943156</v>
      </c>
      <c r="AA198" s="23">
        <f>EXP(-LN(2)/25)*AA197+(1-EXP(-LN(2)/25))/(LN(2)/25)*Calculateur!V198*Calculateur!X198*VLOOKUP('Données projet'!$B$9,Paramètres!$A$1:$I$89,3,0)*0.475*44/12</f>
        <v>0.75078983175454406</v>
      </c>
      <c r="AB198" s="23">
        <f>EXP(-LN(2)/2)*AB197+(1-EXP(-LN(2)/2))/(LN(2)/2)*V198*Y198*VLOOKUP('Données projet'!$B$9,Paramètres!$A$1:$I$89,3,0)*0.475*44/12</f>
        <v>2.0108459031715337E-19</v>
      </c>
      <c r="AC198" s="24">
        <f t="shared" si="163"/>
        <v>6.8225847836976996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1.9999999998958629E-3</v>
      </c>
      <c r="AJ198" s="14">
        <f>AI198*VLOOKUP('Données projet'!$B$10,Paramètres!$A$1:$I$89,3,0)*VLOOKUP('Données projet'!$B$10,Paramètres!$A$1:$I$89,5,0)</f>
        <v>1.195999999937726E-3</v>
      </c>
      <c r="AK198" s="14">
        <f t="shared" si="164"/>
        <v>1.2062444695752218E-3</v>
      </c>
      <c r="AL198" s="22">
        <f t="shared" si="165"/>
        <v>4.1839091177350513E-3</v>
      </c>
      <c r="AM198" s="62">
        <f t="shared" si="193"/>
        <v>293.33751724245104</v>
      </c>
      <c r="AN198" s="62">
        <f ca="1">AVERAGE(OFFSET($AM$3,0,0,'Données projet'!$E$10+1,1))-AVERAGE(OFFSET($H$3,0,0,'Données projet'!$E$10+1,1))</f>
        <v>164.64952352018145</v>
      </c>
      <c r="AO198" s="62">
        <f t="shared" si="205"/>
        <v>280.08682720086921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3.0363907461892077</v>
      </c>
      <c r="AV198" s="23">
        <f>EXP(-LN(2)/25)*AV197+(1-EXP(-LN(2)/25))/(LN(2)/25)*Calculateur!AQ198*Calculateur!AS198*VLOOKUP('Données projet'!$B$10,Paramètres!$A$1:$I$89,3,0)*0.475*44/12</f>
        <v>0.33160297027509533</v>
      </c>
      <c r="AW198" s="23">
        <f>EXP(-LN(2)/2)*AW197+(1-EXP(-LN(2)/2))/(LN(2)/2)*AQ198*AT198*VLOOKUP('Données projet'!$B$10,Paramètres!$A$1:$I$89,3,0)*0.475*44/12</f>
        <v>7.9287250406541423E-23</v>
      </c>
      <c r="AX198" s="23">
        <f t="shared" si="166"/>
        <v>3.3679937164643032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-1.7053025658242404E-13</v>
      </c>
      <c r="BE198" s="14">
        <f>BD198*VLOOKUP('Données projet'!$B$11,Paramètres!$A$1:$I$89,3,0)*VLOOKUP('Données projet'!$B$11,Paramètres!$A$1:$I$89,5,0)</f>
        <v>-1.4365468814503402E-13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339.58585574836434</v>
      </c>
      <c r="BJ198" s="62">
        <f t="shared" si="206"/>
        <v>42.267525972379588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109.64471691713797</v>
      </c>
      <c r="BQ198" s="23">
        <f>EXP(-LN(2)/25)*BQ197+(1-EXP(-LN(2)/25))/(LN(2)/25)*Calculateur!BL198*Calculateur!BN198*VLOOKUP('Données projet'!$B$11,Paramètres!$A$1:$I$89,3,0)*0.475*44/12</f>
        <v>0.7069724535130083</v>
      </c>
      <c r="BR198" s="23">
        <f>EXP(-LN(2)/2)*BR197+(1-EXP(-LN(2)/2))/(LN(2)/2)*BL198*BO198*VLOOKUP('Données projet'!$B$11,Paramètres!$A$1:$I$89,3,0)*0.475*44/12</f>
        <v>4.5706316706061186E-20</v>
      </c>
      <c r="BS198" s="24">
        <f t="shared" si="169"/>
        <v>110.35168937065097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112.34884104798977</v>
      </c>
      <c r="CE198" s="62">
        <f t="shared" si="207"/>
        <v>18.665658139749326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13.057420844066183</v>
      </c>
      <c r="CL198" s="23">
        <f>EXP(-LN(2)/25)*CL197+(1-EXP(-LN(2)/25))/(LN(2)/25)*Calculateur!CG198*Calculateur!CI198*VLOOKUP('Données projet'!$B$12,Paramètres!$A$1:$I$89,3,0)*0.475*44/12</f>
        <v>0.48617302212844754</v>
      </c>
      <c r="CM198" s="23">
        <f>EXP(-LN(2)/2)*CM197+(1-EXP(-LN(2)/2))/(LN(2)/2)*CG198*CJ198*VLOOKUP('Données projet'!$B$12,Paramètres!$A$1:$I$89,3,0)*0.475*44/12</f>
        <v>5.8180142650731474E-22</v>
      </c>
      <c r="CN198" s="24">
        <f t="shared" si="172"/>
        <v>13.54359386619463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-1.1368683772161603E-13</v>
      </c>
      <c r="CU198" s="18">
        <f>CT198*VLOOKUP('Données projet'!$B$13,Paramètres!$A$1:$I$89,3,0)*VLOOKUP('Données projet'!$B$13,Paramètres!$A$1:$I$89,5,0)</f>
        <v>-1.2414602679200469E-13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205.21073681197737</v>
      </c>
      <c r="CZ198" s="62">
        <f t="shared" si="208"/>
        <v>175.16446313750316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4.9264980966180332</v>
      </c>
      <c r="DG198" s="23">
        <f>EXP(-LN(2)/25)*DG197+(1-EXP(-LN(2)/25))/(LN(2)/25)*Calculateur!DB198*Calculateur!DD198*VLOOKUP('Données projet'!$B$13,Paramètres!$A$1:$I$89,3,0)*0.475*44/12</f>
        <v>0.75147873065129878</v>
      </c>
      <c r="DH198" s="23">
        <f>EXP(-LN(2)/2)*DH197+(1-EXP(-LN(2)/2))/(LN(2)/2)*DB198*DE198*VLOOKUP('Données projet'!$B$13,Paramètres!$A$1:$I$89,3,0)*0.475*44/12</f>
        <v>5.198531004216697E-22</v>
      </c>
      <c r="DI198" s="24">
        <f t="shared" si="175"/>
        <v>5.6779768272693323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2.2737367544323206E-13</v>
      </c>
      <c r="DP198" s="18">
        <f>DO198*VLOOKUP('Données projet'!$B$14,Paramètres!$A$1:$I$89,3,0)*VLOOKUP('Données projet'!$B$14,Paramètres!$A$1:$I$89,5,0)</f>
        <v>1.8444552551954985E-13</v>
      </c>
      <c r="DQ198" s="14">
        <f t="shared" si="176"/>
        <v>2.580317449479618E-12</v>
      </c>
      <c r="DR198" s="22">
        <f t="shared" si="177"/>
        <v>4.8152955147902165E-12</v>
      </c>
      <c r="DS198" s="62">
        <f t="shared" si="197"/>
        <v>293.33333333333815</v>
      </c>
      <c r="DT198" s="62">
        <f ca="1">AVERAGE(OFFSET($DS$3,0,0,'Données projet'!$E$14+1,1))-AVERAGE(OFFSET($H$3,0,0,'Données projet'!$E$14+1,1))</f>
        <v>223.63222290670075</v>
      </c>
      <c r="DU198" s="62">
        <f t="shared" si="209"/>
        <v>290.02663909417248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5.2460008575354529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4.5657856331129058E-19</v>
      </c>
      <c r="ED198" s="24">
        <f t="shared" si="178"/>
        <v>5.2460008575354529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492.91122662089026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192.24617268603629</v>
      </c>
      <c r="T199" s="62">
        <f t="shared" si="204"/>
        <v>192.48585280662832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5.9527307563647884</v>
      </c>
      <c r="AA199" s="23">
        <f>EXP(-LN(2)/25)*AA198+(1-EXP(-LN(2)/25))/(LN(2)/25)*Calculateur!V199*Calculateur!X199*VLOOKUP('Données projet'!$B$9,Paramètres!$A$1:$I$89,3,0)*0.475*44/12</f>
        <v>0.7302594443228948</v>
      </c>
      <c r="AB199" s="23">
        <f>EXP(-LN(2)/2)*AB198+(1-EXP(-LN(2)/2))/(LN(2)/2)*V199*Y199*VLOOKUP('Données projet'!$B$9,Paramètres!$A$1:$I$89,3,0)*0.475*44/12</f>
        <v>1.4218827740537792E-19</v>
      </c>
      <c r="AC199" s="24">
        <f t="shared" si="163"/>
        <v>6.6829902006876836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1.9999999998958629E-3</v>
      </c>
      <c r="AJ199" s="14">
        <f>AI199*VLOOKUP('Données projet'!$B$10,Paramètres!$A$1:$I$89,3,0)*VLOOKUP('Données projet'!$B$10,Paramètres!$A$1:$I$89,5,0)</f>
        <v>1.195999999937726E-3</v>
      </c>
      <c r="AK199" s="14">
        <f t="shared" si="164"/>
        <v>1.2062444695752218E-3</v>
      </c>
      <c r="AL199" s="22">
        <f t="shared" si="165"/>
        <v>4.1839091177350513E-3</v>
      </c>
      <c r="AM199" s="62">
        <f t="shared" si="193"/>
        <v>293.33751724245104</v>
      </c>
      <c r="AN199" s="62">
        <f ca="1">AVERAGE(OFFSET($AM$3,0,0,'Données projet'!$E$10+1,1))-AVERAGE(OFFSET($H$3,0,0,'Données projet'!$E$10+1,1))</f>
        <v>164.64952352018145</v>
      </c>
      <c r="AO199" s="62">
        <f t="shared" si="205"/>
        <v>280.08682720086921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2.976848975671921</v>
      </c>
      <c r="AV199" s="23">
        <f>EXP(-LN(2)/25)*AV198+(1-EXP(-LN(2)/25))/(LN(2)/25)*Calculateur!AQ199*Calculateur!AS199*VLOOKUP('Données projet'!$B$10,Paramètres!$A$1:$I$89,3,0)*0.475*44/12</f>
        <v>0.32253526961468054</v>
      </c>
      <c r="AW199" s="23">
        <f>EXP(-LN(2)/2)*AW198+(1-EXP(-LN(2)/2))/(LN(2)/2)*AQ199*AT199*VLOOKUP('Données projet'!$B$10,Paramètres!$A$1:$I$89,3,0)*0.475*44/12</f>
        <v>5.6064552424101287E-23</v>
      </c>
      <c r="AX199" s="23">
        <f t="shared" si="166"/>
        <v>3.2993842452866016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-1.7053025658242404E-13</v>
      </c>
      <c r="BE199" s="14">
        <f>BD199*VLOOKUP('Données projet'!$B$11,Paramètres!$A$1:$I$89,3,0)*VLOOKUP('Données projet'!$B$11,Paramètres!$A$1:$I$89,5,0)</f>
        <v>-1.4365468814503402E-13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339.58585574836434</v>
      </c>
      <c r="BJ199" s="62">
        <f t="shared" si="206"/>
        <v>42.267525972379588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107.49465089506668</v>
      </c>
      <c r="BQ199" s="23">
        <f>EXP(-LN(2)/25)*BQ198+(1-EXP(-LN(2)/25))/(LN(2)/25)*Calculateur!BL199*Calculateur!BN199*VLOOKUP('Données projet'!$B$11,Paramètres!$A$1:$I$89,3,0)*0.475*44/12</f>
        <v>0.68764025459362954</v>
      </c>
      <c r="BR199" s="23">
        <f>EXP(-LN(2)/2)*BR198+(1-EXP(-LN(2)/2))/(LN(2)/2)*BL199*BO199*VLOOKUP('Données projet'!$B$11,Paramètres!$A$1:$I$89,3,0)*0.475*44/12</f>
        <v>3.2319246485915848E-20</v>
      </c>
      <c r="BS199" s="24">
        <f t="shared" si="169"/>
        <v>108.18229114966032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112.34884104798977</v>
      </c>
      <c r="CE199" s="62">
        <f t="shared" si="207"/>
        <v>18.665658139749326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12.801372785554356</v>
      </c>
      <c r="CL199" s="23">
        <f>EXP(-LN(2)/25)*CL198+(1-EXP(-LN(2)/25))/(LN(2)/25)*Calculateur!CG199*Calculateur!CI199*VLOOKUP('Données projet'!$B$12,Paramètres!$A$1:$I$89,3,0)*0.475*44/12</f>
        <v>0.47287859527161707</v>
      </c>
      <c r="CM199" s="23">
        <f>EXP(-LN(2)/2)*CM198+(1-EXP(-LN(2)/2))/(LN(2)/2)*CG199*CJ199*VLOOKUP('Données projet'!$B$12,Paramètres!$A$1:$I$89,3,0)*0.475*44/12</f>
        <v>4.1139573398732902E-22</v>
      </c>
      <c r="CN199" s="24">
        <f t="shared" si="172"/>
        <v>13.274251380825973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-1.1368683772161603E-13</v>
      </c>
      <c r="CU199" s="18">
        <f>CT199*VLOOKUP('Données projet'!$B$13,Paramètres!$A$1:$I$89,3,0)*VLOOKUP('Données projet'!$B$13,Paramètres!$A$1:$I$89,5,0)</f>
        <v>-1.2414602679200469E-13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205.21073681197737</v>
      </c>
      <c r="CZ199" s="62">
        <f t="shared" si="208"/>
        <v>175.16446313750316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4.8298924738104869</v>
      </c>
      <c r="DG199" s="23">
        <f>EXP(-LN(2)/25)*DG198+(1-EXP(-LN(2)/25))/(LN(2)/25)*Calculateur!DB199*Calculateur!DD199*VLOOKUP('Données projet'!$B$13,Paramètres!$A$1:$I$89,3,0)*0.475*44/12</f>
        <v>0.73092950524309008</v>
      </c>
      <c r="DH199" s="23">
        <f>EXP(-LN(2)/2)*DH198+(1-EXP(-LN(2)/2))/(LN(2)/2)*DB199*DE199*VLOOKUP('Données projet'!$B$13,Paramètres!$A$1:$I$89,3,0)*0.475*44/12</f>
        <v>3.6759165252901392E-22</v>
      </c>
      <c r="DI199" s="24">
        <f t="shared" si="175"/>
        <v>5.5608219790535767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2.2737367544323206E-13</v>
      </c>
      <c r="DP199" s="18">
        <f>DO199*VLOOKUP('Données projet'!$B$14,Paramètres!$A$1:$I$89,3,0)*VLOOKUP('Données projet'!$B$14,Paramètres!$A$1:$I$89,5,0)</f>
        <v>1.8444552551954985E-13</v>
      </c>
      <c r="DQ199" s="14">
        <f t="shared" si="176"/>
        <v>2.580317449479618E-12</v>
      </c>
      <c r="DR199" s="22">
        <f t="shared" si="177"/>
        <v>4.8152955147902165E-12</v>
      </c>
      <c r="DS199" s="62">
        <f t="shared" si="197"/>
        <v>293.33333333333815</v>
      </c>
      <c r="DT199" s="62">
        <f ca="1">AVERAGE(OFFSET($DS$3,0,0,'Données projet'!$E$14+1,1))-AVERAGE(OFFSET($H$3,0,0,'Données projet'!$E$14+1,1))</f>
        <v>223.63222290670075</v>
      </c>
      <c r="DU199" s="62">
        <f t="shared" si="209"/>
        <v>290.02663909417248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5.1431299804637574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3.2284979826182499E-19</v>
      </c>
      <c r="ED199" s="24">
        <f t="shared" si="178"/>
        <v>5.1431299804637574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494.08687963126607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192.24617268603629</v>
      </c>
      <c r="T200" s="62">
        <f t="shared" si="204"/>
        <v>192.48585280662832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5.8360013370397237</v>
      </c>
      <c r="AA200" s="23">
        <f>EXP(-LN(2)/25)*AA199+(1-EXP(-LN(2)/25))/(LN(2)/25)*Calculateur!V200*Calculateur!X200*VLOOKUP('Données projet'!$B$9,Paramètres!$A$1:$I$89,3,0)*0.475*44/12</f>
        <v>0.71029046141521013</v>
      </c>
      <c r="AB200" s="23">
        <f>EXP(-LN(2)/2)*AB199+(1-EXP(-LN(2)/2))/(LN(2)/2)*V200*Y200*VLOOKUP('Données projet'!$B$9,Paramètres!$A$1:$I$89,3,0)*0.475*44/12</f>
        <v>1.0054229515857668E-19</v>
      </c>
      <c r="AC200" s="24">
        <f t="shared" si="163"/>
        <v>6.5462917984549343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1.9999999998958629E-3</v>
      </c>
      <c r="AJ200" s="14">
        <f>AI200*VLOOKUP('Données projet'!$B$10,Paramètres!$A$1:$I$89,3,0)*VLOOKUP('Données projet'!$B$10,Paramètres!$A$1:$I$89,5,0)</f>
        <v>1.195999999937726E-3</v>
      </c>
      <c r="AK200" s="14">
        <f t="shared" si="164"/>
        <v>1.2062444695752218E-3</v>
      </c>
      <c r="AL200" s="22">
        <f t="shared" si="165"/>
        <v>4.1839091177350513E-3</v>
      </c>
      <c r="AM200" s="62">
        <f t="shared" si="193"/>
        <v>293.33751724245104</v>
      </c>
      <c r="AN200" s="62">
        <f ca="1">AVERAGE(OFFSET($AM$3,0,0,'Données projet'!$E$10+1,1))-AVERAGE(OFFSET($H$3,0,0,'Données projet'!$E$10+1,1))</f>
        <v>164.64952352018145</v>
      </c>
      <c r="AO200" s="62">
        <f t="shared" si="205"/>
        <v>280.08682720086921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2.9184747829575843</v>
      </c>
      <c r="AV200" s="23">
        <f>EXP(-LN(2)/25)*AV199+(1-EXP(-LN(2)/25))/(LN(2)/25)*Calculateur!AQ200*Calculateur!AS200*VLOOKUP('Données projet'!$B$10,Paramètres!$A$1:$I$89,3,0)*0.475*44/12</f>
        <v>0.31371552570567446</v>
      </c>
      <c r="AW200" s="23">
        <f>EXP(-LN(2)/2)*AW199+(1-EXP(-LN(2)/2))/(LN(2)/2)*AQ200*AT200*VLOOKUP('Données projet'!$B$10,Paramètres!$A$1:$I$89,3,0)*0.475*44/12</f>
        <v>3.9643625203270712E-23</v>
      </c>
      <c r="AX200" s="23">
        <f t="shared" si="166"/>
        <v>3.2321903086632586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-1.7053025658242404E-13</v>
      </c>
      <c r="BE200" s="14">
        <f>BD200*VLOOKUP('Données projet'!$B$11,Paramètres!$A$1:$I$89,3,0)*VLOOKUP('Données projet'!$B$11,Paramètres!$A$1:$I$89,5,0)</f>
        <v>-1.4365468814503402E-13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339.58585574836434</v>
      </c>
      <c r="BJ200" s="62">
        <f t="shared" si="206"/>
        <v>42.267525972379588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105.38674635627744</v>
      </c>
      <c r="BQ200" s="23">
        <f>EXP(-LN(2)/25)*BQ199+(1-EXP(-LN(2)/25))/(LN(2)/25)*Calculateur!BL200*Calculateur!BN200*VLOOKUP('Données projet'!$B$11,Paramètres!$A$1:$I$89,3,0)*0.475*44/12</f>
        <v>0.66883669567033732</v>
      </c>
      <c r="BR200" s="23">
        <f>EXP(-LN(2)/2)*BR199+(1-EXP(-LN(2)/2))/(LN(2)/2)*BL200*BO200*VLOOKUP('Données projet'!$B$11,Paramètres!$A$1:$I$89,3,0)*0.475*44/12</f>
        <v>2.2853158353030593E-20</v>
      </c>
      <c r="BS200" s="24">
        <f t="shared" si="169"/>
        <v>106.05558305194778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112.34884104798977</v>
      </c>
      <c r="CE200" s="62">
        <f t="shared" si="207"/>
        <v>18.665658139749326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12.550345673296052</v>
      </c>
      <c r="CL200" s="23">
        <f>EXP(-LN(2)/25)*CL199+(1-EXP(-LN(2)/25))/(LN(2)/25)*Calculateur!CG200*Calculateur!CI200*VLOOKUP('Données projet'!$B$12,Paramètres!$A$1:$I$89,3,0)*0.475*44/12</f>
        <v>0.45994770521631018</v>
      </c>
      <c r="CM200" s="23">
        <f>EXP(-LN(2)/2)*CM199+(1-EXP(-LN(2)/2))/(LN(2)/2)*CG200*CJ200*VLOOKUP('Données projet'!$B$12,Paramètres!$A$1:$I$89,3,0)*0.475*44/12</f>
        <v>2.9090071325365737E-22</v>
      </c>
      <c r="CN200" s="24">
        <f t="shared" si="172"/>
        <v>13.010293378512362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-1.1368683772161603E-13</v>
      </c>
      <c r="CU200" s="18">
        <f>CT200*VLOOKUP('Données projet'!$B$13,Paramètres!$A$1:$I$89,3,0)*VLOOKUP('Données projet'!$B$13,Paramètres!$A$1:$I$89,5,0)</f>
        <v>-1.2414602679200469E-13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205.21073681197737</v>
      </c>
      <c r="CZ200" s="62">
        <f t="shared" si="208"/>
        <v>175.16446313750316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4.7351812283425847</v>
      </c>
      <c r="DG200" s="23">
        <f>EXP(-LN(2)/25)*DG199+(1-EXP(-LN(2)/25))/(LN(2)/25)*Calculateur!DB200*Calculateur!DD200*VLOOKUP('Données projet'!$B$13,Paramètres!$A$1:$I$89,3,0)*0.475*44/12</f>
        <v>0.7109421994843057</v>
      </c>
      <c r="DH200" s="23">
        <f>EXP(-LN(2)/2)*DH199+(1-EXP(-LN(2)/2))/(LN(2)/2)*DB200*DE200*VLOOKUP('Données projet'!$B$13,Paramètres!$A$1:$I$89,3,0)*0.475*44/12</f>
        <v>2.5992655021083485E-22</v>
      </c>
      <c r="DI200" s="24">
        <f t="shared" si="175"/>
        <v>5.4461234278268904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2.2737367544323206E-13</v>
      </c>
      <c r="DP200" s="18">
        <f>DO200*VLOOKUP('Données projet'!$B$14,Paramètres!$A$1:$I$89,3,0)*VLOOKUP('Données projet'!$B$14,Paramètres!$A$1:$I$89,5,0)</f>
        <v>1.8444552551954985E-13</v>
      </c>
      <c r="DQ200" s="14">
        <f t="shared" si="176"/>
        <v>2.580317449479618E-12</v>
      </c>
      <c r="DR200" s="22">
        <f t="shared" si="177"/>
        <v>4.8152955147902165E-12</v>
      </c>
      <c r="DS200" s="62">
        <f t="shared" si="197"/>
        <v>293.33333333333815</v>
      </c>
      <c r="DT200" s="62">
        <f ca="1">AVERAGE(OFFSET($DS$3,0,0,'Données projet'!$E$14+1,1))-AVERAGE(OFFSET($H$3,0,0,'Données projet'!$E$14+1,1))</f>
        <v>223.63222290670075</v>
      </c>
      <c r="DU200" s="62">
        <f t="shared" si="209"/>
        <v>290.02663909417248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5.0422763385463982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2.2828928165564529E-19</v>
      </c>
      <c r="ED200" s="24">
        <f t="shared" si="178"/>
        <v>5.0422763385463982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495.26239991157297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192.24617268603629</v>
      </c>
      <c r="T201" s="62">
        <f t="shared" si="204"/>
        <v>192.48585280662832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5.7215609104297078</v>
      </c>
      <c r="AA201" s="23">
        <f>EXP(-LN(2)/25)*AA200+(1-EXP(-LN(2)/25))/(LN(2)/25)*Calculateur!V201*Calculateur!X201*VLOOKUP('Données projet'!$B$9,Paramètres!$A$1:$I$89,3,0)*0.475*44/12</f>
        <v>0.69086753139525925</v>
      </c>
      <c r="AB201" s="23">
        <f>EXP(-LN(2)/2)*AB200+(1-EXP(-LN(2)/2))/(LN(2)/2)*V201*Y201*VLOOKUP('Données projet'!$B$9,Paramètres!$A$1:$I$89,3,0)*0.475*44/12</f>
        <v>7.1094138702688959E-20</v>
      </c>
      <c r="AC201" s="24">
        <f t="shared" si="163"/>
        <v>6.4124284418249671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1.9999999998958629E-3</v>
      </c>
      <c r="AJ201" s="14">
        <f>AI201*VLOOKUP('Données projet'!$B$10,Paramètres!$A$1:$I$89,3,0)*VLOOKUP('Données projet'!$B$10,Paramètres!$A$1:$I$89,5,0)</f>
        <v>1.195999999937726E-3</v>
      </c>
      <c r="AK201" s="14">
        <f t="shared" si="164"/>
        <v>1.2062444695752218E-3</v>
      </c>
      <c r="AL201" s="22">
        <f t="shared" si="165"/>
        <v>4.1839091177350513E-3</v>
      </c>
      <c r="AM201" s="62">
        <f t="shared" si="193"/>
        <v>293.33751724245104</v>
      </c>
      <c r="AN201" s="62">
        <f ca="1">AVERAGE(OFFSET($AM$3,0,0,'Données projet'!$E$10+1,1))-AVERAGE(OFFSET($H$3,0,0,'Données projet'!$E$10+1,1))</f>
        <v>164.64952352018145</v>
      </c>
      <c r="AO201" s="62">
        <f t="shared" si="205"/>
        <v>280.08682720086921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2.8612452725576341</v>
      </c>
      <c r="AV201" s="23">
        <f>EXP(-LN(2)/25)*AV200+(1-EXP(-LN(2)/25))/(LN(2)/25)*Calculateur!AQ201*Calculateur!AS201*VLOOKUP('Données projet'!$B$10,Paramètres!$A$1:$I$89,3,0)*0.475*44/12</f>
        <v>0.30513695815767028</v>
      </c>
      <c r="AW201" s="23">
        <f>EXP(-LN(2)/2)*AW200+(1-EXP(-LN(2)/2))/(LN(2)/2)*AQ201*AT201*VLOOKUP('Données projet'!$B$10,Paramètres!$A$1:$I$89,3,0)*0.475*44/12</f>
        <v>2.8032276212050643E-23</v>
      </c>
      <c r="AX201" s="23">
        <f t="shared" si="166"/>
        <v>3.1663822307153042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-1.7053025658242404E-13</v>
      </c>
      <c r="BE201" s="14">
        <f>BD201*VLOOKUP('Données projet'!$B$11,Paramètres!$A$1:$I$89,3,0)*VLOOKUP('Données projet'!$B$11,Paramètres!$A$1:$I$89,5,0)</f>
        <v>-1.4365468814503402E-13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339.58585574836434</v>
      </c>
      <c r="BJ201" s="62">
        <f t="shared" si="206"/>
        <v>42.267525972379588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103.32017653979904</v>
      </c>
      <c r="BQ201" s="23">
        <f>EXP(-LN(2)/25)*BQ200+(1-EXP(-LN(2)/25))/(LN(2)/25)*Calculateur!BL201*Calculateur!BN201*VLOOKUP('Données projet'!$B$11,Paramètres!$A$1:$I$89,3,0)*0.475*44/12</f>
        <v>0.65054732105463875</v>
      </c>
      <c r="BR201" s="23">
        <f>EXP(-LN(2)/2)*BR200+(1-EXP(-LN(2)/2))/(LN(2)/2)*BL201*BO201*VLOOKUP('Données projet'!$B$11,Paramètres!$A$1:$I$89,3,0)*0.475*44/12</f>
        <v>1.6159623242957924E-20</v>
      </c>
      <c r="BS201" s="24">
        <f t="shared" si="169"/>
        <v>103.97072386085368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112.34884104798977</v>
      </c>
      <c r="CE201" s="62">
        <f t="shared" si="207"/>
        <v>18.665658139749326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12.304241049597714</v>
      </c>
      <c r="CL201" s="23">
        <f>EXP(-LN(2)/25)*CL200+(1-EXP(-LN(2)/25))/(LN(2)/25)*Calculateur!CG201*Calculateur!CI201*VLOOKUP('Données projet'!$B$12,Paramètres!$A$1:$I$89,3,0)*0.475*44/12</f>
        <v>0.44737041102957159</v>
      </c>
      <c r="CM201" s="23">
        <f>EXP(-LN(2)/2)*CM200+(1-EXP(-LN(2)/2))/(LN(2)/2)*CG201*CJ201*VLOOKUP('Données projet'!$B$12,Paramètres!$A$1:$I$89,3,0)*0.475*44/12</f>
        <v>2.0569786699366451E-22</v>
      </c>
      <c r="CN201" s="24">
        <f t="shared" si="172"/>
        <v>12.751611460627286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-1.1368683772161603E-13</v>
      </c>
      <c r="CU201" s="18">
        <f>CT201*VLOOKUP('Données projet'!$B$13,Paramètres!$A$1:$I$89,3,0)*VLOOKUP('Données projet'!$B$13,Paramètres!$A$1:$I$89,5,0)</f>
        <v>-1.2414602679200469E-13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205.21073681197737</v>
      </c>
      <c r="CZ201" s="62">
        <f t="shared" si="208"/>
        <v>175.16446313750316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4.6423272126301525</v>
      </c>
      <c r="DG201" s="23">
        <f>EXP(-LN(2)/25)*DG200+(1-EXP(-LN(2)/25))/(LN(2)/25)*Calculateur!DB201*Calculateur!DD201*VLOOKUP('Données projet'!$B$13,Paramètres!$A$1:$I$89,3,0)*0.475*44/12</f>
        <v>0.69150144765258192</v>
      </c>
      <c r="DH201" s="23">
        <f>EXP(-LN(2)/2)*DH200+(1-EXP(-LN(2)/2))/(LN(2)/2)*DB201*DE201*VLOOKUP('Données projet'!$B$13,Paramètres!$A$1:$I$89,3,0)*0.475*44/12</f>
        <v>1.8379582626450696E-22</v>
      </c>
      <c r="DI201" s="24">
        <f t="shared" si="175"/>
        <v>5.3338286602827347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2.2737367544323206E-13</v>
      </c>
      <c r="DP201" s="18">
        <f>DO201*VLOOKUP('Données projet'!$B$14,Paramètres!$A$1:$I$89,3,0)*VLOOKUP('Données projet'!$B$14,Paramètres!$A$1:$I$89,5,0)</f>
        <v>1.8444552551954985E-13</v>
      </c>
      <c r="DQ201" s="14">
        <f t="shared" si="176"/>
        <v>2.580317449479618E-12</v>
      </c>
      <c r="DR201" s="22">
        <f t="shared" si="177"/>
        <v>4.8152955147902165E-12</v>
      </c>
      <c r="DS201" s="62">
        <f t="shared" si="197"/>
        <v>293.33333333333815</v>
      </c>
      <c r="DT201" s="62">
        <f ca="1">AVERAGE(OFFSET($DS$3,0,0,'Données projet'!$E$14+1,1))-AVERAGE(OFFSET($H$3,0,0,'Données projet'!$E$14+1,1))</f>
        <v>223.63222290670075</v>
      </c>
      <c r="DU201" s="62">
        <f t="shared" si="209"/>
        <v>290.02663909417248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4.9434003750323914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1.614248991309125E-19</v>
      </c>
      <c r="ED201" s="24">
        <f t="shared" si="178"/>
        <v>4.9434003750323914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496.43778820998034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192.24617268603629</v>
      </c>
      <c r="T202" s="62">
        <f t="shared" si="204"/>
        <v>192.48585280662832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5.6093645907837466</v>
      </c>
      <c r="AA202" s="23">
        <f>EXP(-LN(2)/25)*AA201+(1-EXP(-LN(2)/25))/(LN(2)/25)*Calculateur!V202*Calculateur!X202*VLOOKUP('Données projet'!$B$9,Paramètres!$A$1:$I$89,3,0)*0.475*44/12</f>
        <v>0.67197572241811143</v>
      </c>
      <c r="AB202" s="23">
        <f>EXP(-LN(2)/2)*AB201+(1-EXP(-LN(2)/2))/(LN(2)/2)*V202*Y202*VLOOKUP('Données projet'!$B$9,Paramètres!$A$1:$I$89,3,0)*0.475*44/12</f>
        <v>5.0271147579288342E-20</v>
      </c>
      <c r="AC202" s="24">
        <f t="shared" si="163"/>
        <v>6.2813403132018584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1.9999999998958629E-3</v>
      </c>
      <c r="AJ202" s="14">
        <f>AI202*VLOOKUP('Données projet'!$B$10,Paramètres!$A$1:$I$89,3,0)*VLOOKUP('Données projet'!$B$10,Paramètres!$A$1:$I$89,5,0)</f>
        <v>1.195999999937726E-3</v>
      </c>
      <c r="AK202" s="14">
        <f t="shared" si="164"/>
        <v>1.2062444695752218E-3</v>
      </c>
      <c r="AL202" s="22">
        <f t="shared" si="165"/>
        <v>4.1839091177350513E-3</v>
      </c>
      <c r="AM202" s="62">
        <f t="shared" si="193"/>
        <v>293.33751724245104</v>
      </c>
      <c r="AN202" s="62">
        <f ca="1">AVERAGE(OFFSET($AM$3,0,0,'Données projet'!$E$10+1,1))-AVERAGE(OFFSET($H$3,0,0,'Données projet'!$E$10+1,1))</f>
        <v>164.64952352018145</v>
      </c>
      <c r="AO202" s="62">
        <f t="shared" si="205"/>
        <v>280.08682720086921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2.8051379979500721</v>
      </c>
      <c r="AV202" s="23">
        <f>EXP(-LN(2)/25)*AV201+(1-EXP(-LN(2)/25))/(LN(2)/25)*Calculateur!AQ202*Calculateur!AS202*VLOOKUP('Données projet'!$B$10,Paramètres!$A$1:$I$89,3,0)*0.475*44/12</f>
        <v>0.29679297199039356</v>
      </c>
      <c r="AW202" s="23">
        <f>EXP(-LN(2)/2)*AW201+(1-EXP(-LN(2)/2))/(LN(2)/2)*AQ202*AT202*VLOOKUP('Données projet'!$B$10,Paramètres!$A$1:$I$89,3,0)*0.475*44/12</f>
        <v>1.9821812601635356E-23</v>
      </c>
      <c r="AX202" s="23">
        <f t="shared" si="166"/>
        <v>3.1019309699404656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-1.7053025658242404E-13</v>
      </c>
      <c r="BE202" s="14">
        <f>BD202*VLOOKUP('Données projet'!$B$11,Paramètres!$A$1:$I$89,3,0)*VLOOKUP('Données projet'!$B$11,Paramètres!$A$1:$I$89,5,0)</f>
        <v>-1.4365468814503402E-13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339.58585574836434</v>
      </c>
      <c r="BJ202" s="62">
        <f t="shared" si="206"/>
        <v>42.267525972379588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101.29413089693865</v>
      </c>
      <c r="BQ202" s="23">
        <f>EXP(-LN(2)/25)*BQ201+(1-EXP(-LN(2)/25))/(LN(2)/25)*Calculateur!BL202*Calculateur!BN202*VLOOKUP('Données projet'!$B$11,Paramètres!$A$1:$I$89,3,0)*0.475*44/12</f>
        <v>0.63275807034960285</v>
      </c>
      <c r="BR202" s="23">
        <f>EXP(-LN(2)/2)*BR201+(1-EXP(-LN(2)/2))/(LN(2)/2)*BL202*BO202*VLOOKUP('Données projet'!$B$11,Paramètres!$A$1:$I$89,3,0)*0.475*44/12</f>
        <v>1.1426579176515296E-20</v>
      </c>
      <c r="BS202" s="24">
        <f t="shared" si="169"/>
        <v>101.92688896728826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112.34884104798977</v>
      </c>
      <c r="CE202" s="62">
        <f t="shared" si="207"/>
        <v>18.665658139749326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12.0629623874611</v>
      </c>
      <c r="CL202" s="23">
        <f>EXP(-LN(2)/25)*CL201+(1-EXP(-LN(2)/25))/(LN(2)/25)*Calculateur!CG202*Calculateur!CI202*VLOOKUP('Données projet'!$B$12,Paramètres!$A$1:$I$89,3,0)*0.475*44/12</f>
        <v>0.43513704361378053</v>
      </c>
      <c r="CM202" s="23">
        <f>EXP(-LN(2)/2)*CM201+(1-EXP(-LN(2)/2))/(LN(2)/2)*CG202*CJ202*VLOOKUP('Données projet'!$B$12,Paramètres!$A$1:$I$89,3,0)*0.475*44/12</f>
        <v>1.4545035662682869E-22</v>
      </c>
      <c r="CN202" s="24">
        <f t="shared" si="172"/>
        <v>12.498099431074881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-1.1368683772161603E-13</v>
      </c>
      <c r="CU202" s="18">
        <f>CT202*VLOOKUP('Données projet'!$B$13,Paramètres!$A$1:$I$89,3,0)*VLOOKUP('Données projet'!$B$13,Paramètres!$A$1:$I$89,5,0)</f>
        <v>-1.2414602679200469E-13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205.21073681197737</v>
      </c>
      <c r="CZ202" s="62">
        <f t="shared" si="208"/>
        <v>175.16446313750316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4.5512940075304833</v>
      </c>
      <c r="DG202" s="23">
        <f>EXP(-LN(2)/25)*DG201+(1-EXP(-LN(2)/25))/(LN(2)/25)*Calculateur!DB202*Calculateur!DD202*VLOOKUP('Données projet'!$B$13,Paramètres!$A$1:$I$89,3,0)*0.475*44/12</f>
        <v>0.67259230420204141</v>
      </c>
      <c r="DH202" s="23">
        <f>EXP(-LN(2)/2)*DH201+(1-EXP(-LN(2)/2))/(LN(2)/2)*DB202*DE202*VLOOKUP('Données projet'!$B$13,Paramètres!$A$1:$I$89,3,0)*0.475*44/12</f>
        <v>1.2996327510541743E-22</v>
      </c>
      <c r="DI202" s="24">
        <f t="shared" si="175"/>
        <v>5.2238863117325245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2.2737367544323206E-13</v>
      </c>
      <c r="DP202" s="18">
        <f>DO202*VLOOKUP('Données projet'!$B$14,Paramètres!$A$1:$I$89,3,0)*VLOOKUP('Données projet'!$B$14,Paramètres!$A$1:$I$89,5,0)</f>
        <v>1.8444552551954985E-13</v>
      </c>
      <c r="DQ202" s="14">
        <f t="shared" si="176"/>
        <v>2.580317449479618E-12</v>
      </c>
      <c r="DR202" s="22">
        <f t="shared" si="177"/>
        <v>4.8152955147902165E-12</v>
      </c>
      <c r="DS202" s="62">
        <f t="shared" si="197"/>
        <v>293.33333333333815</v>
      </c>
      <c r="DT202" s="62">
        <f ca="1">AVERAGE(OFFSET($DS$3,0,0,'Données projet'!$E$14+1,1))-AVERAGE(OFFSET($H$3,0,0,'Données projet'!$E$14+1,1))</f>
        <v>223.63222290670075</v>
      </c>
      <c r="DU202" s="62">
        <f t="shared" si="209"/>
        <v>290.02663909417248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4.8464633088545108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1.1414464082782265E-19</v>
      </c>
      <c r="ED202" s="24">
        <f t="shared" si="178"/>
        <v>4.8464633088545108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497.61304526670318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192.24617268603629</v>
      </c>
      <c r="T203" s="62">
        <f t="shared" si="204"/>
        <v>192.48585280662832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5.4993683725330449</v>
      </c>
      <c r="AA203" s="23">
        <f>EXP(-LN(2)/25)*AA202+(1-EXP(-LN(2)/25))/(LN(2)/25)*Calculateur!V203*Calculateur!X203*VLOOKUP('Données projet'!$B$9,Paramètres!$A$1:$I$89,3,0)*0.475*44/12</f>
        <v>0.65360051095092075</v>
      </c>
      <c r="AB203" s="23">
        <f>EXP(-LN(2)/2)*AB202+(1-EXP(-LN(2)/2))/(LN(2)/2)*V203*Y203*VLOOKUP('Données projet'!$B$9,Paramètres!$A$1:$I$89,3,0)*0.475*44/12</f>
        <v>3.5547069351344479E-20</v>
      </c>
      <c r="AC203" s="24">
        <f t="shared" si="163"/>
        <v>6.1529688834839655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1.9999999998958629E-3</v>
      </c>
      <c r="AJ203" s="14">
        <f>AI203*VLOOKUP('Données projet'!$B$10,Paramètres!$A$1:$I$89,3,0)*VLOOKUP('Données projet'!$B$10,Paramètres!$A$1:$I$89,5,0)</f>
        <v>1.195999999937726E-3</v>
      </c>
      <c r="AK203" s="14">
        <f t="shared" si="164"/>
        <v>1.2062444695752218E-3</v>
      </c>
      <c r="AL203" s="22">
        <f t="shared" si="165"/>
        <v>4.1839091177350513E-3</v>
      </c>
      <c r="AM203" s="62">
        <f t="shared" si="193"/>
        <v>293.33751724245104</v>
      </c>
      <c r="AN203" s="62">
        <f ca="1">AVERAGE(OFFSET($AM$3,0,0,'Données projet'!$E$10+1,1))-AVERAGE(OFFSET($H$3,0,0,'Données projet'!$E$10+1,1))</f>
        <v>164.64952352018145</v>
      </c>
      <c r="AO203" s="62">
        <f t="shared" si="205"/>
        <v>280.08682720086921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2.750130952775506</v>
      </c>
      <c r="AV203" s="23">
        <f>EXP(-LN(2)/25)*AV202+(1-EXP(-LN(2)/25))/(LN(2)/25)*Calculateur!AQ203*Calculateur!AS203*VLOOKUP('Données projet'!$B$10,Paramètres!$A$1:$I$89,3,0)*0.475*44/12</f>
        <v>0.28867715256365217</v>
      </c>
      <c r="AW203" s="23">
        <f>EXP(-LN(2)/2)*AW202+(1-EXP(-LN(2)/2))/(LN(2)/2)*AQ203*AT203*VLOOKUP('Données projet'!$B$10,Paramètres!$A$1:$I$89,3,0)*0.475*44/12</f>
        <v>1.4016138106025322E-23</v>
      </c>
      <c r="AX203" s="23">
        <f t="shared" si="166"/>
        <v>3.0388081053391582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-1.7053025658242404E-13</v>
      </c>
      <c r="BE203" s="14">
        <f>BD203*VLOOKUP('Données projet'!$B$11,Paramètres!$A$1:$I$89,3,0)*VLOOKUP('Données projet'!$B$11,Paramètres!$A$1:$I$89,5,0)</f>
        <v>-1.4365468814503402E-13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339.58585574836434</v>
      </c>
      <c r="BJ203" s="62">
        <f t="shared" si="206"/>
        <v>42.267525972379588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99.307814773368932</v>
      </c>
      <c r="BQ203" s="23">
        <f>EXP(-LN(2)/25)*BQ202+(1-EXP(-LN(2)/25))/(LN(2)/25)*Calculateur!BL203*Calculateur!BN203*VLOOKUP('Données projet'!$B$11,Paramètres!$A$1:$I$89,3,0)*0.475*44/12</f>
        <v>0.61545526764059222</v>
      </c>
      <c r="BR203" s="23">
        <f>EXP(-LN(2)/2)*BR202+(1-EXP(-LN(2)/2))/(LN(2)/2)*BL203*BO203*VLOOKUP('Données projet'!$B$11,Paramètres!$A$1:$I$89,3,0)*0.475*44/12</f>
        <v>8.079811621478962E-21</v>
      </c>
      <c r="BS203" s="24">
        <f t="shared" si="169"/>
        <v>99.92327004100953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112.34884104798977</v>
      </c>
      <c r="CE203" s="62">
        <f t="shared" si="207"/>
        <v>18.665658139749326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11.826415052723533</v>
      </c>
      <c r="CL203" s="23">
        <f>EXP(-LN(2)/25)*CL202+(1-EXP(-LN(2)/25))/(LN(2)/25)*Calculateur!CG203*Calculateur!CI203*VLOOKUP('Données projet'!$B$12,Paramètres!$A$1:$I$89,3,0)*0.475*44/12</f>
        <v>0.42323819827329912</v>
      </c>
      <c r="CM203" s="23">
        <f>EXP(-LN(2)/2)*CM202+(1-EXP(-LN(2)/2))/(LN(2)/2)*CG203*CJ203*VLOOKUP('Données projet'!$B$12,Paramètres!$A$1:$I$89,3,0)*0.475*44/12</f>
        <v>1.0284893349683225E-22</v>
      </c>
      <c r="CN203" s="24">
        <f t="shared" si="172"/>
        <v>12.249653250996833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-1.1368683772161603E-13</v>
      </c>
      <c r="CU203" s="18">
        <f>CT203*VLOOKUP('Données projet'!$B$13,Paramètres!$A$1:$I$89,3,0)*VLOOKUP('Données projet'!$B$13,Paramètres!$A$1:$I$89,5,0)</f>
        <v>-1.2414602679200469E-13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205.21073681197737</v>
      </c>
      <c r="CZ203" s="62">
        <f t="shared" si="208"/>
        <v>175.16446313750316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4.4620459080580464</v>
      </c>
      <c r="DG203" s="23">
        <f>EXP(-LN(2)/25)*DG202+(1-EXP(-LN(2)/25))/(LN(2)/25)*Calculateur!DB203*Calculateur!DD203*VLOOKUP('Données projet'!$B$13,Paramètres!$A$1:$I$89,3,0)*0.475*44/12</f>
        <v>0.65420023227354451</v>
      </c>
      <c r="DH203" s="23">
        <f>EXP(-LN(2)/2)*DH202+(1-EXP(-LN(2)/2))/(LN(2)/2)*DB203*DE203*VLOOKUP('Données projet'!$B$13,Paramètres!$A$1:$I$89,3,0)*0.475*44/12</f>
        <v>9.189791313225348E-23</v>
      </c>
      <c r="DI203" s="24">
        <f t="shared" si="175"/>
        <v>5.1162461403315911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2.2737367544323206E-13</v>
      </c>
      <c r="DP203" s="18">
        <f>DO203*VLOOKUP('Données projet'!$B$14,Paramètres!$A$1:$I$89,3,0)*VLOOKUP('Données projet'!$B$14,Paramètres!$A$1:$I$89,5,0)</f>
        <v>1.8444552551954985E-13</v>
      </c>
      <c r="DQ203" s="14">
        <f t="shared" si="176"/>
        <v>2.580317449479618E-12</v>
      </c>
      <c r="DR203" s="22">
        <f t="shared" si="177"/>
        <v>4.8152955147902165E-12</v>
      </c>
      <c r="DS203" s="62">
        <f t="shared" si="197"/>
        <v>293.33333333333815</v>
      </c>
      <c r="DT203" s="62">
        <f ca="1">AVERAGE(OFFSET($DS$3,0,0,'Données projet'!$E$14+1,1))-AVERAGE(OFFSET($H$3,0,0,'Données projet'!$E$14+1,1))</f>
        <v>223.63222290670075</v>
      </c>
      <c r="DU203" s="62">
        <f t="shared" si="209"/>
        <v>290.02663909417248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4.7514271194186062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8.0712449565456248E-20</v>
      </c>
      <c r="ED203" s="24">
        <f t="shared" si="178"/>
        <v>4.7514271194186062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1.3467515989204495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1.4618516052938832</v>
      </c>
      <c r="BA205" s="88">
        <f>EXP(LN('Données projet'!B88)/'Données projet'!A88)</f>
        <v>1.1091959298378664</v>
      </c>
      <c r="BV205" s="88">
        <f>EXP(LN('Données projet'!B114)/'Données projet'!A114)</f>
        <v>1.0738149523565488</v>
      </c>
      <c r="CQ205" s="88">
        <f>EXP(LN('Données projet'!B140)/'Données projet'!A140)</f>
        <v>1.3056010199611705</v>
      </c>
      <c r="DL205" s="88">
        <f>EXP(LN('Données projet'!B166)/'Données projet'!A166)</f>
        <v>1.2773401706166525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2" workbookViewId="0">
      <selection activeCell="K24" sqref="K24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Pin maritime</v>
      </c>
      <c r="B6" s="155">
        <f>'Données projet'!D9</f>
        <v>20.107970283408235</v>
      </c>
      <c r="C6" s="156">
        <f ca="1">IF(OR('Données projet'!B9="",'Données projet'!C9="",'Données projet'!C9=0%),0,Calculateur!S3)</f>
        <v>192.24617268603629</v>
      </c>
      <c r="D6" s="156">
        <f>IF(OR('Données projet'!B9="",'Données projet'!C9="",'Données projet'!C9=0%),0,Calculateur!T3)</f>
        <v>192.48585280662832</v>
      </c>
      <c r="E6" s="156">
        <f ca="1">MIN(C6,D6)</f>
        <v>192.24617268603629</v>
      </c>
      <c r="F6" s="156">
        <f ca="1">E6*B6</f>
        <v>3865.6803274697859</v>
      </c>
      <c r="G6" s="156">
        <f ca="1">F6*(100%-'Données projet'!$C$24)*(100%-'Données projet'!$C$25)*(100%-'Données projet'!$C$26)*(100%-'Données projet'!$C$27)</f>
        <v>2957.245450514386</v>
      </c>
      <c r="H6" s="157">
        <f>IF(OR('Données projet'!B9="",'Données projet'!C9="",'Données projet'!C9=0%),0,AVERAGE(Calculateur!$AC$3:$AC$33)*B6)</f>
        <v>64.361164546056102</v>
      </c>
      <c r="I6" s="158">
        <f>H6*(100%-'Données projet'!$C$24)*(100%-'Données projet'!$C$25)*(100%-'Données projet'!$C$26)*(100%-'Données projet'!$C$27)</f>
        <v>49.23629087773292</v>
      </c>
      <c r="J6" s="159">
        <f>IF(OR('Données projet'!B9="",'Données projet'!C9="",'Données projet'!C9=0%),0,SUM(Calculateur!$V$3:$V$33)*VLOOKUP('Données projet'!$B$9,Paramètres!$A$1:$I$89,9,0)*B6)</f>
        <v>1246.8751293038611</v>
      </c>
      <c r="K6" s="160">
        <f>J6*(100%-'Données projet'!$C$24)*(100%-'Données projet'!$C$25)*(100%-'Données projet'!$C$26)*(100%-'Données projet'!$C$27)</f>
        <v>953.85947391745378</v>
      </c>
      <c r="L6" s="161">
        <f ca="1">G6+I6+K6</f>
        <v>3960.3412153095724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>Pin taeda</v>
      </c>
      <c r="B7" s="163">
        <f>'Données projet'!D10</f>
        <v>5.814913326607356</v>
      </c>
      <c r="C7" s="156">
        <f ca="1">IF(OR('Données projet'!B10="",'Données projet'!C10="",'Données projet'!C10=0%),0,Calculateur!AN3)</f>
        <v>164.64952352018145</v>
      </c>
      <c r="D7" s="156">
        <f>IF(OR('Données projet'!B10="",'Données projet'!C10="",'Données projet'!C10=0%),0,Calculateur!AO3)</f>
        <v>280.08682720086921</v>
      </c>
      <c r="E7" s="156">
        <f t="shared" ref="E7:E15" ca="1" si="0">MIN(C7,D7)</f>
        <v>164.64952352018145</v>
      </c>
      <c r="F7" s="156">
        <f t="shared" ref="F7:F15" ca="1" si="1">E7*B7</f>
        <v>957.4227085370544</v>
      </c>
      <c r="G7" s="156">
        <f ca="1">F7*(100%-'Données projet'!$C$24)*(100%-'Données projet'!$C$25)*(100%-'Données projet'!$C$26)*(100%-'Données projet'!$C$27)</f>
        <v>732.42837203084662</v>
      </c>
      <c r="H7" s="164">
        <f>IF(OR('Données projet'!B10="",'Données projet'!C10="",'Données projet'!C10=0%),0,AVERAGE(Calculateur!$AX$3:$AX$33)*B7)</f>
        <v>16.222244386069733</v>
      </c>
      <c r="I7" s="158">
        <f>H7*(100%-'Données projet'!$C$24)*(100%-'Données projet'!$C$25)*(100%-'Données projet'!$C$26)*(100%-'Données projet'!$C$27)</f>
        <v>12.410016955343346</v>
      </c>
      <c r="J7" s="159">
        <f>IF(OR('Données projet'!B10="",'Données projet'!C10="",'Données projet'!C10=0%),0,SUM(Calculateur!$AQ$3:$AQ$33)*VLOOKUP('Données projet'!$B$10,Paramètres!$A$1:$I$89,9,0)*B7)</f>
        <v>255.4421645418692</v>
      </c>
      <c r="K7" s="160">
        <f>J7*(100%-'Données projet'!$C$24)*(100%-'Données projet'!$C$25)*(100%-'Données projet'!$C$26)*(100%-'Données projet'!$C$27)</f>
        <v>195.41325587452994</v>
      </c>
      <c r="L7" s="161">
        <f t="shared" ref="L7:L15" ca="1" si="2">G7+I7+K7</f>
        <v>940.25164486071992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>Chêne pédonculé</v>
      </c>
      <c r="B8" s="163">
        <f>'Données projet'!D11</f>
        <v>0.83444006236815549</v>
      </c>
      <c r="C8" s="156">
        <f ca="1">IF(OR('Données projet'!B11="",'Données projet'!C11="",'Données projet'!C11=0%),0,Calculateur!BI3)</f>
        <v>339.58585574836434</v>
      </c>
      <c r="D8" s="156">
        <f>IF(OR('Données projet'!B11="",'Données projet'!C11="",'Données projet'!C11=0%),0,Calculateur!BJ3)</f>
        <v>42.267525972379588</v>
      </c>
      <c r="E8" s="156">
        <f t="shared" ca="1" si="0"/>
        <v>42.267525972379588</v>
      </c>
      <c r="F8" s="156">
        <f t="shared" ca="1" si="1"/>
        <v>35.269717008540056</v>
      </c>
      <c r="G8" s="156">
        <f ca="1">F8*(100%-'Données projet'!$C$24)*(100%-'Données projet'!$C$25)*(100%-'Données projet'!$C$26)*(100%-'Données projet'!$C$27)</f>
        <v>26.981333511533141</v>
      </c>
      <c r="H8" s="164">
        <f>IF(OR('Données projet'!B11="",'Données projet'!C11="",'Données projet'!C11=0%),0,AVERAGE(Calculateur!$BS$3:$BS$33)*B8)</f>
        <v>3.2092042850912099E-2</v>
      </c>
      <c r="I8" s="158">
        <f>H8*(100%-'Données projet'!$C$24)*(100%-'Données projet'!$C$25)*(100%-'Données projet'!$C$26)*(100%-'Données projet'!$C$27)</f>
        <v>2.4550412780947758E-2</v>
      </c>
      <c r="J8" s="159">
        <f>IF(OR('Données projet'!B11="",'Données projet'!C11="",'Données projet'!C11=0%),0,SUM(Calculateur!$BL$3:$BL$33)*VLOOKUP('Données projet'!$B$11,Paramètres!$A$1:$I$89,9,0)*B8)</f>
        <v>1.0430500779601943</v>
      </c>
      <c r="K8" s="160">
        <f>J8*(100%-'Données projet'!$C$24)*(100%-'Données projet'!$C$25)*(100%-'Données projet'!$C$26)*(100%-'Données projet'!$C$27)</f>
        <v>0.79793330963954867</v>
      </c>
      <c r="L8" s="161">
        <f t="shared" ca="1" si="2"/>
        <v>27.803817233953637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>Chêne tauzin</v>
      </c>
      <c r="B9" s="163">
        <f>'Données projet'!D12</f>
        <v>1.1629826653214712</v>
      </c>
      <c r="C9" s="156">
        <f ca="1">IF(OR('Données projet'!B12="",'Données projet'!C12="",'Données projet'!C12=0%),0,Calculateur!CD3)</f>
        <v>112.34884104798977</v>
      </c>
      <c r="D9" s="156">
        <f>IF(OR('Données projet'!B12="",'Données projet'!C12="",'Données projet'!C12=0%),0,Calculateur!CE3)</f>
        <v>18.665658139749326</v>
      </c>
      <c r="E9" s="156">
        <f t="shared" ca="1" si="0"/>
        <v>18.665658139749326</v>
      </c>
      <c r="F9" s="156">
        <f t="shared" ca="1" si="1"/>
        <v>21.707836853345086</v>
      </c>
      <c r="G9" s="156">
        <f ca="1">F9*(100%-'Données projet'!$C$24)*(100%-'Données projet'!$C$25)*(100%-'Données projet'!$C$26)*(100%-'Données projet'!$C$27)</f>
        <v>16.606495192808989</v>
      </c>
      <c r="H9" s="164">
        <f>IF(OR('Données projet'!B12="",'Données projet'!C12="",'Données projet'!C12=0%),0,AVERAGE(Calculateur!$CN$3:$CN$33)*B9)</f>
        <v>1.6433246358551971E-2</v>
      </c>
      <c r="I9" s="158">
        <f>H9*(100%-'Données projet'!$C$24)*(100%-'Données projet'!$C$25)*(100%-'Données projet'!$C$26)*(100%-'Données projet'!$C$27)</f>
        <v>1.2571433464292259E-2</v>
      </c>
      <c r="J9" s="159">
        <f>IF(OR('Données projet'!B12="",'Données projet'!C12="",'Données projet'!C12=0%),0,SUM(Calculateur!$CG$3:$CG$33)*VLOOKUP('Données projet'!$B$12,Paramètres!$A$1:$I$89,9,0)*B9)</f>
        <v>0.45065578281207008</v>
      </c>
      <c r="K9" s="160">
        <f>J9*(100%-'Données projet'!$C$24)*(100%-'Données projet'!$C$25)*(100%-'Données projet'!$C$26)*(100%-'Données projet'!$C$27)</f>
        <v>0.34475167385123362</v>
      </c>
      <c r="L9" s="161">
        <f t="shared" ca="1" si="2"/>
        <v>16.963818300124515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>Chêne-liège</v>
      </c>
      <c r="B10" s="163">
        <f>'Données projet'!D13</f>
        <v>1.1629826653214712</v>
      </c>
      <c r="C10" s="156">
        <f ca="1">IF(OR('Données projet'!B13="",'Données projet'!C13="",'Données projet'!C13=0%),0,Calculateur!CY3)</f>
        <v>205.21073681197737</v>
      </c>
      <c r="D10" s="156">
        <f>IF(OR('Données projet'!B13="",'Données projet'!C13="",'Données projet'!C13=0%),0,Calculateur!CZ3)</f>
        <v>175.16446313750316</v>
      </c>
      <c r="E10" s="156">
        <f t="shared" ca="1" si="0"/>
        <v>175.16446313750316</v>
      </c>
      <c r="F10" s="156">
        <f t="shared" ca="1" si="1"/>
        <v>203.71323420925802</v>
      </c>
      <c r="G10" s="156">
        <f ca="1">F10*(100%-'Données projet'!$C$24)*(100%-'Données projet'!$C$25)*(100%-'Données projet'!$C$26)*(100%-'Données projet'!$C$27)</f>
        <v>155.84062417008238</v>
      </c>
      <c r="H10" s="164">
        <f>IF(OR('Données projet'!B13="",'Données projet'!C13="",'Données projet'!C13=0%),0,AVERAGE(Calculateur!$DI$3:$DI$33)*B10)</f>
        <v>3.0713842283432844</v>
      </c>
      <c r="I10" s="158">
        <f>H10*(100%-'Données projet'!$C$24)*(100%-'Données projet'!$C$25)*(100%-'Données projet'!$C$26)*(100%-'Données projet'!$C$27)</f>
        <v>2.3496089346826126</v>
      </c>
      <c r="J10" s="159">
        <f>IF(OR('Données projet'!B13="",'Données projet'!C13="",'Données projet'!C13=0%),0,SUM(Calculateur!$DB$3:$DB$33)*VLOOKUP('Données projet'!$B$13,Paramètres!$A$1:$I$89,9,0)*B10)</f>
        <v>25.341392277354856</v>
      </c>
      <c r="K10" s="160">
        <f>J10*(100%-'Données projet'!$C$24)*(100%-'Données projet'!$C$25)*(100%-'Données projet'!$C$26)*(100%-'Données projet'!$C$27)</f>
        <v>19.386165092176466</v>
      </c>
      <c r="L10" s="161">
        <f t="shared" ca="1" si="2"/>
        <v>177.57639819694145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>Bouleau verruqueux</v>
      </c>
      <c r="B11" s="163">
        <f>'Données projet'!D14</f>
        <v>2.2190000000000003</v>
      </c>
      <c r="C11" s="156">
        <f ca="1">IF(OR('Données projet'!B14="",'Données projet'!C14="",'Données projet'!C14=0%),0,Calculateur!DT3)</f>
        <v>223.63222290670075</v>
      </c>
      <c r="D11" s="156">
        <f>IF(OR('Données projet'!B14="",'Données projet'!C14="",'Données projet'!C14=0%),0,Calculateur!DU3)</f>
        <v>290.02663909417248</v>
      </c>
      <c r="E11" s="156">
        <f t="shared" ca="1" si="0"/>
        <v>223.63222290670075</v>
      </c>
      <c r="F11" s="156">
        <f t="shared" ca="1" si="1"/>
        <v>496.23990262996904</v>
      </c>
      <c r="G11" s="156">
        <f ca="1">F11*(100%-'Données projet'!$C$24)*(100%-'Données projet'!$C$25)*(100%-'Données projet'!$C$26)*(100%-'Données projet'!$C$27)</f>
        <v>379.62352551192635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43.936200000000007</v>
      </c>
      <c r="K11" s="160">
        <f>J11*(100%-'Données projet'!$C$24)*(100%-'Données projet'!$C$25)*(100%-'Données projet'!$C$26)*(100%-'Données projet'!$C$27)</f>
        <v>33.611193000000007</v>
      </c>
      <c r="L11" s="161">
        <f t="shared" ca="1" si="2"/>
        <v>413.23471851192636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6"/>
      <c r="B16" s="233"/>
      <c r="C16" s="234"/>
      <c r="D16" s="25"/>
      <c r="E16" s="25"/>
      <c r="F16" s="174">
        <f t="shared" ref="F16:L16" ca="1" si="3">SUM(F6:F15)</f>
        <v>5580.0337267079522</v>
      </c>
      <c r="G16" s="175">
        <f t="shared" ca="1" si="3"/>
        <v>4268.7258009315829</v>
      </c>
      <c r="H16" s="176">
        <f t="shared" si="3"/>
        <v>83.703318449678576</v>
      </c>
      <c r="I16" s="176">
        <f t="shared" si="3"/>
        <v>64.033038614004113</v>
      </c>
      <c r="J16" s="177">
        <f t="shared" si="3"/>
        <v>1573.0885919838574</v>
      </c>
      <c r="K16" s="177">
        <f t="shared" si="3"/>
        <v>1203.412772867651</v>
      </c>
      <c r="L16" s="178">
        <f t="shared" ca="1" si="3"/>
        <v>5536.1716124132381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>Pin taeda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>Chêne pédonculé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>Chêne tauzin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>Chêne-liège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>Bouleau verruqueux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" zoomScale="90" zoomScaleNormal="90" workbookViewId="0">
      <selection activeCell="G30" sqref="G30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623.86528899307768</v>
      </c>
      <c r="U10" s="190">
        <f>'Données projet'!D9</f>
        <v>20.107970283408235</v>
      </c>
      <c r="V10" s="189">
        <f>U10*T10</f>
        <v>12544.664691922697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taeda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978.87207591907156</v>
      </c>
      <c r="U11" s="190">
        <f>'Données projet'!D10</f>
        <v>5.814913326607356</v>
      </c>
      <c r="V11" s="189">
        <f t="shared" ref="V11" si="0">U11*T11</f>
        <v>5692.056279305617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pédonculé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264.53911351199059</v>
      </c>
      <c r="U12" s="190">
        <f>'Données projet'!D11</f>
        <v>0.83444006236815549</v>
      </c>
      <c r="V12" s="189">
        <f t="shared" ref="V12:V19" si="1">U12*T12</f>
        <v>220.742034377762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tauzin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103.97782920586475</v>
      </c>
      <c r="U13" s="190">
        <f>'Données projet'!D12</f>
        <v>1.1629826653214712</v>
      </c>
      <c r="V13" s="189">
        <f t="shared" si="1"/>
        <v>120.92441294417731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Chêne-liège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351.87231181254253</v>
      </c>
      <c r="U14" s="190">
        <f>'Données projet'!D13</f>
        <v>1.1629826653214712</v>
      </c>
      <c r="V14" s="189">
        <f t="shared" si="1"/>
        <v>409.2213990445785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Bouleau verruqueux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816.34812788850707</v>
      </c>
      <c r="U15" s="190">
        <f>'Données projet'!D14</f>
        <v>2.2190000000000003</v>
      </c>
      <c r="V15" s="189">
        <f t="shared" si="1"/>
        <v>1811.4764957845973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449</v>
      </c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59.999999999999957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1199.9999999999991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1</v>
      </c>
      <c r="I20" s="204">
        <v>687.5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12</v>
      </c>
      <c r="B23" s="193">
        <f>'Données projet'!D36</f>
        <v>2</v>
      </c>
      <c r="C23" s="206">
        <v>10</v>
      </c>
      <c r="D23" s="194">
        <f>B23*C23</f>
        <v>20</v>
      </c>
      <c r="E23" s="206">
        <v>0</v>
      </c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-56.177844515306788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16</v>
      </c>
      <c r="B24" s="193">
        <f>'Données projet'!D37</f>
        <v>14.8</v>
      </c>
      <c r="C24" s="206">
        <v>10</v>
      </c>
      <c r="D24" s="194">
        <f t="shared" ref="D24:D42" si="2">B24*C24</f>
        <v>148</v>
      </c>
      <c r="E24" s="206">
        <v>0</v>
      </c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2711.8338749993418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20</v>
      </c>
      <c r="B25" s="193">
        <f>'Données projet'!D38</f>
        <v>22.1</v>
      </c>
      <c r="C25" s="206">
        <v>17</v>
      </c>
      <c r="D25" s="194">
        <f t="shared" si="2"/>
        <v>375.70000000000005</v>
      </c>
      <c r="E25" s="206">
        <v>0</v>
      </c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2">
        <f ca="1">T23-T24</f>
        <v>-2768.0117195146486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24</v>
      </c>
      <c r="B26" s="193">
        <f>'Données projet'!D39</f>
        <v>30.8</v>
      </c>
      <c r="C26" s="206">
        <v>17</v>
      </c>
      <c r="D26" s="194">
        <f t="shared" si="2"/>
        <v>523.6</v>
      </c>
      <c r="E26" s="206">
        <v>0</v>
      </c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28</v>
      </c>
      <c r="B27" s="193">
        <f>'Données projet'!D40</f>
        <v>35.4</v>
      </c>
      <c r="C27" s="206">
        <v>20</v>
      </c>
      <c r="D27" s="194">
        <f t="shared" si="2"/>
        <v>708</v>
      </c>
      <c r="E27" s="206">
        <v>0</v>
      </c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34</v>
      </c>
      <c r="B28" s="193">
        <f>'Données projet'!D41</f>
        <v>46.2</v>
      </c>
      <c r="C28" s="206">
        <v>20</v>
      </c>
      <c r="D28" s="194">
        <f t="shared" si="2"/>
        <v>924</v>
      </c>
      <c r="E28" s="206">
        <v>0</v>
      </c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40</v>
      </c>
      <c r="B29" s="193">
        <f>'Données projet'!D42</f>
        <v>41.3</v>
      </c>
      <c r="C29" s="206">
        <v>20</v>
      </c>
      <c r="D29" s="194">
        <f t="shared" si="2"/>
        <v>826</v>
      </c>
      <c r="E29" s="206">
        <v>0</v>
      </c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46</v>
      </c>
      <c r="B30" s="193">
        <f>'Données projet'!D43</f>
        <v>28.7</v>
      </c>
      <c r="C30" s="206">
        <v>25</v>
      </c>
      <c r="D30" s="194">
        <f t="shared" si="2"/>
        <v>717.5</v>
      </c>
      <c r="E30" s="206">
        <v>0</v>
      </c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54</v>
      </c>
      <c r="B31" s="193">
        <f>'Données projet'!D44</f>
        <v>15.6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62</v>
      </c>
      <c r="B32" s="193">
        <f>'Données projet'!D45</f>
        <v>308.8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>Pin taeda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170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10</v>
      </c>
      <c r="B54" s="193">
        <f>'Données projet'!D62</f>
        <v>6.74</v>
      </c>
      <c r="C54" s="204">
        <v>10</v>
      </c>
      <c r="D54" s="191">
        <f>B54*C54</f>
        <v>67.400000000000006</v>
      </c>
      <c r="E54" s="206">
        <v>0</v>
      </c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13</v>
      </c>
      <c r="B55" s="193">
        <f>'Données projet'!D63</f>
        <v>7.21</v>
      </c>
      <c r="C55" s="204">
        <v>10</v>
      </c>
      <c r="D55" s="191">
        <f t="shared" ref="D55:D73" si="4">B55*C55</f>
        <v>72.099999999999994</v>
      </c>
      <c r="E55" s="206">
        <v>0</v>
      </c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20</v>
      </c>
      <c r="B56" s="193">
        <f>'Données projet'!D64</f>
        <v>18.399999999999999</v>
      </c>
      <c r="C56" s="204">
        <v>10</v>
      </c>
      <c r="D56" s="191">
        <f t="shared" si="4"/>
        <v>184</v>
      </c>
      <c r="E56" s="206">
        <v>0</v>
      </c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23</v>
      </c>
      <c r="B57" s="193">
        <f>'Données projet'!D65</f>
        <v>30.98</v>
      </c>
      <c r="C57" s="204">
        <v>10</v>
      </c>
      <c r="D57" s="191">
        <f t="shared" si="4"/>
        <v>309.8</v>
      </c>
      <c r="E57" s="206">
        <v>0</v>
      </c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30</v>
      </c>
      <c r="B58" s="193">
        <f>'Données projet'!D66</f>
        <v>38.83</v>
      </c>
      <c r="C58" s="204">
        <v>10</v>
      </c>
      <c r="D58" s="191">
        <f t="shared" si="4"/>
        <v>388.29999999999995</v>
      </c>
      <c r="E58" s="206">
        <v>0</v>
      </c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33</v>
      </c>
      <c r="B59" s="193">
        <f>'Données projet'!D67</f>
        <v>41.17</v>
      </c>
      <c r="C59" s="204">
        <v>10</v>
      </c>
      <c r="D59" s="191">
        <f t="shared" si="4"/>
        <v>411.70000000000005</v>
      </c>
      <c r="E59" s="206">
        <v>0</v>
      </c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40</v>
      </c>
      <c r="B60" s="193">
        <f>'Données projet'!D68</f>
        <v>245.18</v>
      </c>
      <c r="C60" s="204">
        <v>17</v>
      </c>
      <c r="D60" s="191">
        <f t="shared" si="4"/>
        <v>4168.0600000000004</v>
      </c>
      <c r="E60" s="206">
        <v>0</v>
      </c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0</v>
      </c>
      <c r="B61" s="193">
        <f>'Données projet'!D69</f>
        <v>0</v>
      </c>
      <c r="C61" s="204">
        <v>17</v>
      </c>
      <c r="D61" s="191">
        <f t="shared" si="4"/>
        <v>0</v>
      </c>
      <c r="E61" s="206">
        <v>0</v>
      </c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0</v>
      </c>
      <c r="B62" s="193">
        <f>'Données projet'!D70</f>
        <v>0</v>
      </c>
      <c r="C62" s="204">
        <v>20</v>
      </c>
      <c r="D62" s="191">
        <f t="shared" si="4"/>
        <v>0</v>
      </c>
      <c r="E62" s="206">
        <v>0</v>
      </c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0</v>
      </c>
      <c r="B63" s="193">
        <f>'Données projet'!D71</f>
        <v>0</v>
      </c>
      <c r="C63" s="204">
        <v>20</v>
      </c>
      <c r="D63" s="191">
        <f t="shared" si="4"/>
        <v>0</v>
      </c>
      <c r="E63" s="206">
        <v>0</v>
      </c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>
        <v>25</v>
      </c>
      <c r="D64" s="191">
        <f t="shared" si="4"/>
        <v>0</v>
      </c>
      <c r="E64" s="206">
        <v>0</v>
      </c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str">
        <f>IF(O73+1&lt;=MIN('Données projet'!$E$9:$E$18),O73+1,"STOP")</f>
        <v>STOP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>Chêne pédonculé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207</v>
      </c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30</v>
      </c>
      <c r="B85" s="193">
        <f>'Données projet'!D88</f>
        <v>5</v>
      </c>
      <c r="C85" s="204">
        <v>10</v>
      </c>
      <c r="D85" s="191">
        <f>B85*C85</f>
        <v>50</v>
      </c>
      <c r="E85" s="206">
        <v>0</v>
      </c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36</v>
      </c>
      <c r="B86" s="193">
        <f>'Données projet'!D89</f>
        <v>12</v>
      </c>
      <c r="C86" s="204">
        <v>10</v>
      </c>
      <c r="D86" s="191">
        <f t="shared" ref="D86:D104" si="6">B86*C86</f>
        <v>120</v>
      </c>
      <c r="E86" s="206">
        <v>0</v>
      </c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42</v>
      </c>
      <c r="B87" s="193">
        <f>'Données projet'!D90</f>
        <v>16</v>
      </c>
      <c r="C87" s="204">
        <v>10</v>
      </c>
      <c r="D87" s="191">
        <f t="shared" si="6"/>
        <v>160</v>
      </c>
      <c r="E87" s="206">
        <v>0</v>
      </c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48</v>
      </c>
      <c r="B88" s="193">
        <f>'Données projet'!D91</f>
        <v>28.799999999999997</v>
      </c>
      <c r="C88" s="204">
        <v>10</v>
      </c>
      <c r="D88" s="191">
        <f t="shared" si="6"/>
        <v>288</v>
      </c>
      <c r="E88" s="206">
        <v>0</v>
      </c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54</v>
      </c>
      <c r="B89" s="193">
        <f>'Données projet'!D92</f>
        <v>51.2</v>
      </c>
      <c r="C89" s="204">
        <v>10</v>
      </c>
      <c r="D89" s="191">
        <f t="shared" si="6"/>
        <v>512</v>
      </c>
      <c r="E89" s="206">
        <v>0</v>
      </c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60</v>
      </c>
      <c r="B90" s="193">
        <f>'Données projet'!D93</f>
        <v>33.120000000000005</v>
      </c>
      <c r="C90" s="204">
        <v>17</v>
      </c>
      <c r="D90" s="191">
        <f t="shared" si="6"/>
        <v>563.04000000000008</v>
      </c>
      <c r="E90" s="206">
        <v>0</v>
      </c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66</v>
      </c>
      <c r="B91" s="193">
        <f>'Données projet'!D94</f>
        <v>31</v>
      </c>
      <c r="C91" s="204">
        <v>45</v>
      </c>
      <c r="D91" s="191">
        <f t="shared" si="6"/>
        <v>1395</v>
      </c>
      <c r="E91" s="206">
        <v>0</v>
      </c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72</v>
      </c>
      <c r="B92" s="193">
        <f>'Données projet'!D95</f>
        <v>33.6</v>
      </c>
      <c r="C92" s="204">
        <v>55</v>
      </c>
      <c r="D92" s="191">
        <f t="shared" si="6"/>
        <v>1848</v>
      </c>
      <c r="E92" s="206">
        <v>0</v>
      </c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78</v>
      </c>
      <c r="B93" s="193">
        <f>'Données projet'!D96</f>
        <v>29.4</v>
      </c>
      <c r="C93" s="204">
        <v>75</v>
      </c>
      <c r="D93" s="191">
        <f t="shared" si="6"/>
        <v>2205</v>
      </c>
      <c r="E93" s="206">
        <v>0</v>
      </c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84</v>
      </c>
      <c r="B94" s="193">
        <f>'Données projet'!D97</f>
        <v>28.799999999999997</v>
      </c>
      <c r="C94" s="204">
        <v>85</v>
      </c>
      <c r="D94" s="191">
        <f t="shared" si="6"/>
        <v>2447.9999999999995</v>
      </c>
      <c r="E94" s="206">
        <v>0</v>
      </c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90</v>
      </c>
      <c r="B95" s="193">
        <f>'Données projet'!D98</f>
        <v>31.24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98</v>
      </c>
      <c r="B96" s="193">
        <f>'Données projet'!D99</f>
        <v>38.72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106</v>
      </c>
      <c r="B97" s="193">
        <f>'Données projet'!D100</f>
        <v>45.78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114</v>
      </c>
      <c r="B98" s="193">
        <f>'Données projet'!D101</f>
        <v>56.28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122</v>
      </c>
      <c r="B99" s="193">
        <f>'Données projet'!D102</f>
        <v>44.52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130</v>
      </c>
      <c r="B100" s="193">
        <f>'Données projet'!D103</f>
        <v>44.88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140</v>
      </c>
      <c r="B101" s="193">
        <f>'Données projet'!D104</f>
        <v>59.02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150</v>
      </c>
      <c r="B102" s="193">
        <f>'Données projet'!D105</f>
        <v>47.88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160</v>
      </c>
      <c r="B103" s="193">
        <f>'Données projet'!D106</f>
        <v>491.2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>Chêne tauzin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v>207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30</v>
      </c>
      <c r="B116" s="193">
        <f>'Données projet'!D114</f>
        <v>1.55</v>
      </c>
      <c r="C116" s="204">
        <v>10</v>
      </c>
      <c r="D116" s="191">
        <f>B116*C116</f>
        <v>15.5</v>
      </c>
      <c r="E116" s="206">
        <v>0</v>
      </c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35</v>
      </c>
      <c r="B117" s="193">
        <f>'Données projet'!D115</f>
        <v>3.82</v>
      </c>
      <c r="C117" s="204">
        <v>10</v>
      </c>
      <c r="D117" s="191">
        <f t="shared" ref="D117:D135" si="8">B117*C117</f>
        <v>38.199999999999996</v>
      </c>
      <c r="E117" s="206">
        <v>0</v>
      </c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45</v>
      </c>
      <c r="B118" s="193">
        <f>'Données projet'!D116</f>
        <v>7.22</v>
      </c>
      <c r="C118" s="204">
        <v>10</v>
      </c>
      <c r="D118" s="191">
        <f t="shared" si="8"/>
        <v>72.2</v>
      </c>
      <c r="E118" s="206">
        <v>0</v>
      </c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50</v>
      </c>
      <c r="B119" s="193">
        <f>'Données projet'!D117</f>
        <v>12.45</v>
      </c>
      <c r="C119" s="204">
        <v>10</v>
      </c>
      <c r="D119" s="191">
        <f t="shared" si="8"/>
        <v>124.5</v>
      </c>
      <c r="E119" s="206">
        <v>0</v>
      </c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60</v>
      </c>
      <c r="B120" s="193">
        <f>'Données projet'!D118</f>
        <v>38.11</v>
      </c>
      <c r="C120" s="204">
        <v>17</v>
      </c>
      <c r="D120" s="191">
        <f t="shared" si="8"/>
        <v>647.87</v>
      </c>
      <c r="E120" s="206">
        <v>0</v>
      </c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70</v>
      </c>
      <c r="B121" s="193">
        <f>'Données projet'!D119</f>
        <v>29.15</v>
      </c>
      <c r="C121" s="204">
        <v>45</v>
      </c>
      <c r="D121" s="191">
        <f t="shared" si="8"/>
        <v>1311.75</v>
      </c>
      <c r="E121" s="206">
        <v>0</v>
      </c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80</v>
      </c>
      <c r="B122" s="193">
        <f>'Données projet'!D120</f>
        <v>13.5</v>
      </c>
      <c r="C122" s="204">
        <v>45</v>
      </c>
      <c r="D122" s="191">
        <f t="shared" si="8"/>
        <v>607.5</v>
      </c>
      <c r="E122" s="206">
        <v>0</v>
      </c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90</v>
      </c>
      <c r="B123" s="193">
        <f>'Données projet'!D121</f>
        <v>32.229999999999997</v>
      </c>
      <c r="C123" s="204">
        <v>45</v>
      </c>
      <c r="D123" s="191">
        <f t="shared" si="8"/>
        <v>1450.35</v>
      </c>
      <c r="E123" s="206">
        <v>0</v>
      </c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100</v>
      </c>
      <c r="B124" s="193">
        <f>'Données projet'!D122</f>
        <v>182.38</v>
      </c>
      <c r="C124" s="204">
        <v>55</v>
      </c>
      <c r="D124" s="191">
        <f t="shared" si="8"/>
        <v>10030.9</v>
      </c>
      <c r="E124" s="206">
        <v>0</v>
      </c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>
        <v>55</v>
      </c>
      <c r="D125" s="191">
        <f t="shared" si="8"/>
        <v>0</v>
      </c>
      <c r="E125" s="206">
        <v>0</v>
      </c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>
        <v>75</v>
      </c>
      <c r="D126" s="191">
        <f t="shared" si="8"/>
        <v>0</v>
      </c>
      <c r="E126" s="206">
        <v>0</v>
      </c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>
        <v>75</v>
      </c>
      <c r="D127" s="191">
        <f t="shared" si="8"/>
        <v>0</v>
      </c>
      <c r="E127" s="206">
        <v>0</v>
      </c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>
        <v>75</v>
      </c>
      <c r="D128" s="191">
        <f t="shared" si="8"/>
        <v>0</v>
      </c>
      <c r="E128" s="206">
        <v>0</v>
      </c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>
        <v>75</v>
      </c>
      <c r="D129" s="191">
        <f t="shared" si="8"/>
        <v>0</v>
      </c>
      <c r="E129" s="206">
        <v>0</v>
      </c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>
        <v>85</v>
      </c>
      <c r="D130" s="191">
        <f t="shared" si="8"/>
        <v>0</v>
      </c>
      <c r="E130" s="206">
        <v>0</v>
      </c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>
        <v>100</v>
      </c>
      <c r="D131" s="191">
        <f t="shared" si="8"/>
        <v>0</v>
      </c>
      <c r="E131" s="206">
        <v>0</v>
      </c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>
        <v>100</v>
      </c>
      <c r="D132" s="191">
        <f t="shared" si="8"/>
        <v>0</v>
      </c>
      <c r="E132" s="206">
        <v>0</v>
      </c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>Chêne-liège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10">
        <v>0</v>
      </c>
      <c r="B141" s="213" t="s">
        <v>132</v>
      </c>
      <c r="C141" s="212" t="s">
        <v>132</v>
      </c>
      <c r="D141" s="211" t="s">
        <v>132</v>
      </c>
      <c r="E141" s="206">
        <v>207</v>
      </c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16</v>
      </c>
      <c r="B147" s="187">
        <f>'Données projet'!D140</f>
        <v>42.77</v>
      </c>
      <c r="C147" s="204">
        <v>10</v>
      </c>
      <c r="D147" s="194">
        <f>B147*C147</f>
        <v>427.70000000000005</v>
      </c>
      <c r="E147" s="206">
        <v>0</v>
      </c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28</v>
      </c>
      <c r="B148" s="187">
        <f>'Données projet'!D141</f>
        <v>44.39</v>
      </c>
      <c r="C148" s="204">
        <v>10</v>
      </c>
      <c r="D148" s="194">
        <f t="shared" ref="D148:D166" si="10">B148*C148</f>
        <v>443.9</v>
      </c>
      <c r="E148" s="206">
        <v>0</v>
      </c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46</v>
      </c>
      <c r="B149" s="187">
        <f>'Données projet'!D142</f>
        <v>67.260000000000005</v>
      </c>
      <c r="C149" s="204">
        <v>10</v>
      </c>
      <c r="D149" s="194">
        <f t="shared" si="10"/>
        <v>672.6</v>
      </c>
      <c r="E149" s="206">
        <v>0</v>
      </c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72</v>
      </c>
      <c r="B150" s="187">
        <f>'Données projet'!D143</f>
        <v>180.74</v>
      </c>
      <c r="C150" s="204">
        <v>17</v>
      </c>
      <c r="D150" s="194">
        <f t="shared" si="10"/>
        <v>3072.58</v>
      </c>
      <c r="E150" s="206">
        <v>0</v>
      </c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>
        <v>45</v>
      </c>
      <c r="D151" s="194">
        <f t="shared" si="10"/>
        <v>0</v>
      </c>
      <c r="E151" s="206">
        <v>0</v>
      </c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>
        <v>55</v>
      </c>
      <c r="D152" s="194">
        <f t="shared" si="10"/>
        <v>0</v>
      </c>
      <c r="E152" s="206">
        <v>0</v>
      </c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>Bouleau verruqueux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10">
        <v>0</v>
      </c>
      <c r="B172" s="213" t="s">
        <v>132</v>
      </c>
      <c r="C172" s="212" t="s">
        <v>132</v>
      </c>
      <c r="D172" s="211" t="s">
        <v>132</v>
      </c>
      <c r="E172" s="206">
        <v>207</v>
      </c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20</v>
      </c>
      <c r="B178" s="193">
        <f>'Données projet'!D166</f>
        <v>79.2</v>
      </c>
      <c r="C178" s="206">
        <v>10</v>
      </c>
      <c r="D178" s="191">
        <f>B178*C178</f>
        <v>792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35</v>
      </c>
      <c r="B179" s="193">
        <f>'Données projet'!D167</f>
        <v>114.1</v>
      </c>
      <c r="C179" s="206">
        <v>13</v>
      </c>
      <c r="D179" s="191">
        <f t="shared" ref="D179:D197" si="11">B179*C179</f>
        <v>1483.3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60</v>
      </c>
      <c r="B180" s="193">
        <f>'Données projet'!D168</f>
        <v>311.2</v>
      </c>
      <c r="C180" s="206">
        <v>17</v>
      </c>
      <c r="D180" s="191">
        <f t="shared" si="11"/>
        <v>5290.4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2022-08-09T13:59:57Z</dcterms:modified>
</cp:coreProperties>
</file>